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sdx" ContentType="application/vnd.ms-visio.drawing"/>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omments1.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drawings/drawing2.xml" ContentType="application/vnd.openxmlformats-officedocument.drawing+xml"/>
  <Override PartName="/xl/embeddings/oleObject1.bin" ContentType="application/vnd.openxmlformats-officedocument.oleObject"/>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chart4.xml" ContentType="application/vnd.openxmlformats-officedocument.drawingml.chart+xml"/>
  <Override PartName="/xl/drawings/drawing4.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drawings/drawing5.xml" ContentType="application/vnd.openxmlformats-officedocument.drawing+xml"/>
  <Override PartName="/xl/drawings/drawing6.xml" ContentType="application/vnd.openxmlformats-officedocument.drawing+xml"/>
  <Override PartName="/xl/charts/chart11.xml" ContentType="application/vnd.openxmlformats-officedocument.drawingml.chart+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9"/>
  <workbookPr codeName="ThisWorkbook" defaultThemeVersion="124226"/>
  <mc:AlternateContent xmlns:mc="http://schemas.openxmlformats.org/markup-compatibility/2006">
    <mc:Choice Requires="x15">
      <x15ac:absPath xmlns:x15ac="http://schemas.microsoft.com/office/spreadsheetml/2010/11/ac" url="C:\Users\a0232460\Documents\BMC-BCS\LM5123\EVM\EVM_HP\Ver1p0\440kHz\Quickstart_Calculator_Revisions\"/>
    </mc:Choice>
  </mc:AlternateContent>
  <xr:revisionPtr revIDLastSave="0" documentId="13_ncr:1_{1943BB37-85D5-4BA8-9E2D-DA89546E1AC6}" xr6:coauthVersionLast="36" xr6:coauthVersionMax="36" xr10:uidLastSave="{00000000-0000-0000-0000-000000000000}"/>
  <workbookProtection workbookAlgorithmName="SHA-512" workbookHashValue="9Tu4NBv68gmIzXyJYbUSzn8PsZr1TFCYodfdXFLY1IFFgROBuyYld0CXgEClOR7X+OH+rO3M4mpmiuMjhvlEHw==" workbookSaltValue="EUSOMyJ7N4N2o3mpQWAtPA==" workbookSpinCount="100000" lockStructure="1"/>
  <bookViews>
    <workbookView xWindow="19188" yWindow="-12" windowWidth="19212" windowHeight="17448" xr2:uid="{00000000-000D-0000-FFFF-FFFF00000000}"/>
  </bookViews>
  <sheets>
    <sheet name="Design Converter" sheetId="1" r:id="rId1"/>
    <sheet name="Variable_Management" sheetId="2" state="hidden" r:id="rId2"/>
    <sheet name="Eff_vs_IOUT" sheetId="4" state="hidden" r:id="rId3"/>
    <sheet name="Loop_Modeling" sheetId="5" state="hidden" r:id="rId4"/>
    <sheet name="Constants" sheetId="3" state="hidden" r:id="rId5"/>
    <sheet name="Plot_Management_Eff" sheetId="6" state="hidden" r:id="rId6"/>
    <sheet name="Plot_Management_Sch" sheetId="7" state="hidden" r:id="rId7"/>
    <sheet name="Lists" sheetId="8" state="hidden" r:id="rId8"/>
    <sheet name="Sheet1" sheetId="9" state="hidden" r:id="rId9"/>
  </sheets>
  <definedNames>
    <definedName name="Acs">Constants!$B$33</definedName>
    <definedName name="Adc">Loop_Modeling!$B$38</definedName>
    <definedName name="Adc_ea">Loop_Modeling!$B$62</definedName>
    <definedName name="ADC_VINmin">Variable_Management!$B$160</definedName>
    <definedName name="CCOMP">Variable_Management!$B$225</definedName>
    <definedName name="CCOMP_Calc">Variable_Management!$B$224</definedName>
    <definedName name="CCOMP_calc_CCM">Variable_Management!$B$189</definedName>
    <definedName name="CCOMP_CALC_DCM">Variable_Management!$B$215</definedName>
    <definedName name="CHF">Variable_Management!$B$227</definedName>
    <definedName name="CHF_calc">Variable_Management!$B$226</definedName>
    <definedName name="CHF_CALC_CCM">Variable_Management!$B$190</definedName>
    <definedName name="CHF_CALC_DCM">Variable_Management!$B$216</definedName>
    <definedName name="Comp_calc_CCM">Variable_Management!$B$189</definedName>
    <definedName name="Cout">Variable_Management!$B$110</definedName>
    <definedName name="Cout_min">Variable_Management!$B$108</definedName>
    <definedName name="D_limit_max">Constants!$B$18</definedName>
    <definedName name="D_limit_min">Constants!$B$16</definedName>
    <definedName name="D_limit_nom">Constants!$B$17</definedName>
    <definedName name="DC_DCM_max">Variable_Management!$B$39</definedName>
    <definedName name="Dc_max_IC">Variable_Management!$B$23</definedName>
    <definedName name="Dc_max_ideal">Variable_Management!$A$22</definedName>
    <definedName name="DC_rip">Variable_Management!$B$32</definedName>
    <definedName name="Dc_rip_max">Variable_Management!$B$31</definedName>
    <definedName name="Dc_VIN_max">Variable_Management!$B$71</definedName>
    <definedName name="Dc_VIN_min">Variable_Management!$B$55</definedName>
    <definedName name="Dc_VIN_nom">Variable_Management!$B$63</definedName>
    <definedName name="DC_VIN_var_DCM">Loop_Modeling!$B$70</definedName>
    <definedName name="EFF_est">Variable_Management!$B$16</definedName>
    <definedName name="Eff_vs_IOUT">Plot_Management_Eff!$C$3</definedName>
    <definedName name="fcross">Variable_Management!$B$220</definedName>
    <definedName name="fcross_est">Variable_Management!$B$219</definedName>
    <definedName name="fp_ea_est">Variable_Management!$B$182</definedName>
    <definedName name="Fsw">Variable_Management!$B$10</definedName>
    <definedName name="fz_ea_est">Variable_Management!$B$181</definedName>
    <definedName name="fz_rhp">Variable_Management!$B$169</definedName>
    <definedName name="Gcomp">Constants!$B$32</definedName>
    <definedName name="Gea_mid_calc">Variable_Management!#REF!</definedName>
    <definedName name="gfs">Variable_Management!$B$243</definedName>
    <definedName name="gm_ea">Constants!$B$37</definedName>
    <definedName name="Gplant_fc_dB">Loop_Modeling!$AD$7</definedName>
    <definedName name="IIN_33">Variable_Management!$B$35</definedName>
    <definedName name="IL_avg_VIN_max">Variable_Management!$B$73</definedName>
    <definedName name="IL_avg_VIN_min">Variable_Management!$B$57</definedName>
    <definedName name="IL_avg_VIN_nom">Variable_Management!$B$65</definedName>
    <definedName name="IL_pk">Variable_Management!$B$94</definedName>
    <definedName name="IL_pk_max">Variable_Management!$B$95</definedName>
    <definedName name="ILp_VINmax">Variable_Management!$B$75</definedName>
    <definedName name="ILp_VINmin">Variable_Management!$B$59</definedName>
    <definedName name="ILp_VINnom">Variable_Management!$B$67</definedName>
    <definedName name="ILrip">Variable_Management!$B$30</definedName>
    <definedName name="ILrip_VINmax">Variable_Management!$B$74</definedName>
    <definedName name="ILrip_VINmin">Variable_Management!$B$58</definedName>
    <definedName name="ILrip_VINnom">Variable_Management!$B$66</definedName>
    <definedName name="IOUT">Variable_Management!$B$13</definedName>
    <definedName name="IOUT_VAR">Loop_Modeling!$B$17</definedName>
    <definedName name="Ipk_margin">Variable_Management!$B$78</definedName>
    <definedName name="Ipk_selected">Variable_Management!$B$80</definedName>
    <definedName name="IQ">Constants!$B$58</definedName>
    <definedName name="IRMS_COUT">Variable_Management!$B$109</definedName>
    <definedName name="Isl">Constants!$B$26</definedName>
    <definedName name="Iss">Constants!$B$47</definedName>
    <definedName name="Kd">Loop_Modeling!$B$36</definedName>
    <definedName name="Kd_VINmin">Variable_Management!$B$156</definedName>
    <definedName name="Kex">Loop_Modeling!$B$34</definedName>
    <definedName name="Kex_VINmin">Variable_Management!$B$154</definedName>
    <definedName name="Kfb">Variable_Management!$B$139</definedName>
    <definedName name="Kfb_high">Constants!$B$39</definedName>
    <definedName name="Kfb_low">Constants!$B$38</definedName>
    <definedName name="Km">Loop_Modeling!$B$35</definedName>
    <definedName name="Km_VINmin">Variable_Management!$B$155</definedName>
    <definedName name="Kslope">Variable_Management!#REF!</definedName>
    <definedName name="Lm">Variable_Management!$B$47</definedName>
    <definedName name="Lopt">Variable_Management!#REF!</definedName>
    <definedName name="Lopt_2">Variable_Management!$B$36</definedName>
    <definedName name="M_L_DCM">Variable_Management!$B$41</definedName>
    <definedName name="Np">Variable_Management!$B$17</definedName>
    <definedName name="POUT">Variable_Management!$B$15</definedName>
    <definedName name="_xlnm.Print_Area" localSheetId="0">'Design Converter'!$A$1:$Z$97</definedName>
    <definedName name="Q">Loop_Modeling!$B$52</definedName>
    <definedName name="Q_VINmin">Variable_Management!$B$177</definedName>
    <definedName name="Qg_tot">Variable_Management!$B$238</definedName>
    <definedName name="Qg_tot_HS">Variable_Management!$B$255</definedName>
    <definedName name="Qgd">Variable_Management!$B$239</definedName>
    <definedName name="Qgs">Variable_Management!$B$240</definedName>
    <definedName name="Qrr">Variable_Management!$B$263</definedName>
    <definedName name="R_cs">Variable_Management!$B$90</definedName>
    <definedName name="R_sl">Variable_Management!$B$91</definedName>
    <definedName name="RCOMP">Variable_Management!$B$223</definedName>
    <definedName name="RCOMP_Calc">Variable_Management!$B$222</definedName>
    <definedName name="Rcomp_calc_CCM">Variable_Management!$B$188</definedName>
    <definedName name="RCOMP_CALC_DCM">Variable_Management!$B$214</definedName>
    <definedName name="Rcs_max">Variable_Management!$B$83</definedName>
    <definedName name="Rcs_w_sl">Variable_Management!#REF!</definedName>
    <definedName name="Rcs_wo_sl">Variable_Management!$B$84</definedName>
    <definedName name="Rdcr">Variable_Management!$B$48</definedName>
    <definedName name="RDS_on">Variable_Management!$B$237</definedName>
    <definedName name="RDS_on_HS">Variable_Management!$B$254</definedName>
    <definedName name="Resr">Variable_Management!$B$111</definedName>
    <definedName name="RFBB">Variable_Management!$B$147</definedName>
    <definedName name="RFBB_calc">Variable_Management!$B$146</definedName>
    <definedName name="RFBT">Variable_Management!$B$145</definedName>
    <definedName name="Rgate">Variable_Management!$B$241</definedName>
    <definedName name="Rmax">Variable_Management!$B$140</definedName>
    <definedName name="Rmax_high">Constants!$B$41</definedName>
    <definedName name="Rmax_low">Constants!$B$40</definedName>
    <definedName name="Rmin">Variable_Management!$B$141</definedName>
    <definedName name="Rmin_high">Constants!$B$43</definedName>
    <definedName name="Rmin_low">Constants!$B$42</definedName>
    <definedName name="ROUT">Variable_Management!$B$14</definedName>
    <definedName name="Rsl_int">Constants!$B$27</definedName>
    <definedName name="RT">Variable_Management!$B$11</definedName>
    <definedName name="Ruvlo_bottom_calc">Variable_Management!$B$129</definedName>
    <definedName name="Ruvlo_top">Variable_Management!$B$128</definedName>
    <definedName name="Ruvlo_top_calc">Variable_Management!$B$127</definedName>
    <definedName name="SCH">INDIRECT(Plot_Management_Sch!$A$1)</definedName>
    <definedName name="SCH_1">Plot_Management_Sch!$B$2</definedName>
    <definedName name="SCH_2">Plot_Management_Sch!$B$5</definedName>
    <definedName name="SCH_3">Plot_Management_Sch!$B$7</definedName>
    <definedName name="Se_VINmin">Variable_Management!$B$173</definedName>
    <definedName name="Sn_VINmin">Variable_Management!$B$174</definedName>
    <definedName name="t_dead">Constants!$B$24</definedName>
    <definedName name="tf_sw">Variable_Management!$B$250</definedName>
    <definedName name="tr_sw">Variable_Management!$B$249</definedName>
    <definedName name="tss">Variable_Management!$B$118</definedName>
    <definedName name="UV_fall">Constants!$B$51</definedName>
    <definedName name="UV_I_hyst">Constants!$B$52</definedName>
    <definedName name="UV_rise">Constants!$B$50</definedName>
    <definedName name="Vcc">Constants!$B$55</definedName>
    <definedName name="Vcl">Constants!$B$30</definedName>
    <definedName name="Vd_rect">Variable_Management!$B$264</definedName>
    <definedName name="VIN_33">Variable_Management!$B$33</definedName>
    <definedName name="VIN_max">Variable_Management!$B$9</definedName>
    <definedName name="VIN_min">Variable_Management!$B$7</definedName>
    <definedName name="VIN_nom">Variable_Management!$B$8</definedName>
    <definedName name="VIN_op_max">Constants!$B$62</definedName>
    <definedName name="VIN_op_min">Constants!$B$61</definedName>
    <definedName name="VIN_var">Variable_Management!$B$8</definedName>
    <definedName name="VOUT">Variable_Management!$B$12</definedName>
    <definedName name="VOUT_range">Variable_Management!$B$19</definedName>
    <definedName name="Vout_rip_sel">Variable_Management!$B$106</definedName>
    <definedName name="Vref">Constants!$B$36</definedName>
    <definedName name="Vsl">Constants!$B$28</definedName>
    <definedName name="Vth">Variable_Management!$B$244</definedName>
    <definedName name="VTRK">Variable_Management!$B$142</definedName>
    <definedName name="Vuvlo_off">Variable_Management!$B$123</definedName>
    <definedName name="Vuvlo_on">Variable_Management!$B$122</definedName>
    <definedName name="wp_lf">Loop_Modeling!$B$39</definedName>
    <definedName name="wp_lf_DCM">Loop_Modeling!$B$73</definedName>
    <definedName name="wp_lf_VINmin">Variable_Management!$B$162</definedName>
    <definedName name="wp0_ea">Loop_Modeling!$B$64</definedName>
    <definedName name="wp1_ea">Loop_Modeling!$B$65</definedName>
    <definedName name="wsl">Loop_Modeling!$B$51</definedName>
    <definedName name="wsl_VINmin">Variable_Management!$B$176</definedName>
    <definedName name="wz_ea">Loop_Modeling!$B$63</definedName>
    <definedName name="wz_esr">Loop_Modeling!$B$45</definedName>
    <definedName name="wz_esr_VINmin">Variable_Management!$B$165</definedName>
    <definedName name="wz_rhp">Loop_Modeling!$B$42</definedName>
    <definedName name="wz_RHP_VINmin">Variable_Management!$B$168</definedName>
    <definedName name="wz1_dcm">Loop_Modeling!$B$75</definedName>
    <definedName name="wz2_dcm">Loop_Modeling!$B$77</definedName>
  </definedNames>
  <calcPr calcId="191029"/>
</workbook>
</file>

<file path=xl/calcChain.xml><?xml version="1.0" encoding="utf-8"?>
<calcChain xmlns="http://schemas.openxmlformats.org/spreadsheetml/2006/main">
  <c r="A1" i="7" l="1"/>
  <c r="H11" i="1" l="1"/>
  <c r="B78" i="2"/>
  <c r="B24" i="3" l="1"/>
  <c r="B264" i="2"/>
  <c r="B263" i="2"/>
  <c r="B20" i="2"/>
  <c r="B8" i="2"/>
  <c r="T8" i="4" s="1"/>
  <c r="B12" i="2"/>
  <c r="R15" i="4" s="1"/>
  <c r="B7" i="2"/>
  <c r="B3" i="8" s="1"/>
  <c r="B10" i="2"/>
  <c r="B19" i="3" s="1"/>
  <c r="B20" i="3" s="1"/>
  <c r="B23" i="2" s="1"/>
  <c r="B12" i="3"/>
  <c r="B254" i="2"/>
  <c r="T9" i="4"/>
  <c r="R10" i="4"/>
  <c r="T12" i="4"/>
  <c r="R21" i="4"/>
  <c r="R29" i="4"/>
  <c r="R37" i="4"/>
  <c r="R42" i="4"/>
  <c r="R43" i="4"/>
  <c r="R46" i="4"/>
  <c r="R47" i="4"/>
  <c r="R50" i="4"/>
  <c r="R51" i="4"/>
  <c r="R54" i="4"/>
  <c r="R55" i="4"/>
  <c r="T56" i="4"/>
  <c r="R58" i="4"/>
  <c r="T59" i="4"/>
  <c r="R59" i="4"/>
  <c r="T62" i="4"/>
  <c r="R62" i="4"/>
  <c r="R63" i="4"/>
  <c r="R64" i="4"/>
  <c r="T70" i="4"/>
  <c r="R74" i="4"/>
  <c r="R75" i="4"/>
  <c r="R76" i="4"/>
  <c r="R78" i="4"/>
  <c r="R79" i="4"/>
  <c r="R80" i="4"/>
  <c r="R82" i="4"/>
  <c r="R83" i="4"/>
  <c r="R84" i="4"/>
  <c r="R85" i="4"/>
  <c r="R86" i="4"/>
  <c r="R87" i="4"/>
  <c r="R88" i="4"/>
  <c r="R89" i="4"/>
  <c r="R90" i="4"/>
  <c r="R91" i="4"/>
  <c r="R92" i="4"/>
  <c r="R93" i="4"/>
  <c r="R94" i="4"/>
  <c r="R95" i="4"/>
  <c r="R96" i="4"/>
  <c r="R97" i="4"/>
  <c r="R98" i="4"/>
  <c r="R99" i="4"/>
  <c r="R100" i="4"/>
  <c r="R101" i="4"/>
  <c r="R102" i="4"/>
  <c r="R103" i="4"/>
  <c r="R104" i="4"/>
  <c r="R105" i="4"/>
  <c r="R106" i="4"/>
  <c r="R107" i="4"/>
  <c r="R108" i="4"/>
  <c r="R109" i="4"/>
  <c r="R110" i="4"/>
  <c r="R111" i="4"/>
  <c r="R112" i="4"/>
  <c r="R113" i="4"/>
  <c r="R114" i="4"/>
  <c r="R115" i="4"/>
  <c r="R116" i="4"/>
  <c r="R117" i="4"/>
  <c r="R118" i="4"/>
  <c r="R119" i="4"/>
  <c r="R120" i="4"/>
  <c r="R121" i="4"/>
  <c r="R122" i="4"/>
  <c r="R123" i="4"/>
  <c r="R124" i="4"/>
  <c r="R125" i="4"/>
  <c r="R126" i="4"/>
  <c r="R127" i="4"/>
  <c r="R128" i="4"/>
  <c r="R129" i="4"/>
  <c r="R130" i="4"/>
  <c r="R131" i="4"/>
  <c r="R132" i="4"/>
  <c r="R133" i="4"/>
  <c r="R134" i="4"/>
  <c r="R135" i="4"/>
  <c r="R136" i="4"/>
  <c r="R137" i="4"/>
  <c r="R138" i="4"/>
  <c r="R139" i="4"/>
  <c r="R140" i="4"/>
  <c r="R141" i="4"/>
  <c r="R142" i="4"/>
  <c r="R143" i="4"/>
  <c r="R144" i="4"/>
  <c r="R145" i="4"/>
  <c r="R146" i="4"/>
  <c r="R147" i="4"/>
  <c r="R148" i="4"/>
  <c r="R149" i="4"/>
  <c r="R150" i="4"/>
  <c r="R151" i="4"/>
  <c r="R152" i="4"/>
  <c r="R153" i="4"/>
  <c r="R154" i="4"/>
  <c r="R155" i="4"/>
  <c r="R156" i="4"/>
  <c r="R157" i="4"/>
  <c r="R7" i="4"/>
  <c r="B244" i="2"/>
  <c r="B256" i="2"/>
  <c r="B257" i="2"/>
  <c r="B258" i="2"/>
  <c r="B261" i="2"/>
  <c r="B255" i="2"/>
  <c r="B262" i="2"/>
  <c r="E143" i="2"/>
  <c r="B128" i="2"/>
  <c r="B123" i="2"/>
  <c r="B122" i="2"/>
  <c r="B52" i="3"/>
  <c r="B39" i="2"/>
  <c r="F5" i="8"/>
  <c r="F4" i="8"/>
  <c r="F3" i="8"/>
  <c r="B37" i="3"/>
  <c r="B29" i="5"/>
  <c r="B58" i="3"/>
  <c r="B47" i="3"/>
  <c r="B2" i="6"/>
  <c r="B245" i="2"/>
  <c r="B241" i="2"/>
  <c r="B240" i="2"/>
  <c r="B239" i="2"/>
  <c r="B238" i="2"/>
  <c r="B237" i="2"/>
  <c r="B126" i="2"/>
  <c r="B125" i="2"/>
  <c r="B124" i="2"/>
  <c r="G127" i="2" s="1"/>
  <c r="B118" i="2"/>
  <c r="B116" i="2"/>
  <c r="B220" i="2"/>
  <c r="B180" i="2" s="1"/>
  <c r="O548" i="5"/>
  <c r="O549" i="5"/>
  <c r="O550" i="5"/>
  <c r="O551" i="5"/>
  <c r="O552" i="5"/>
  <c r="O553" i="5"/>
  <c r="O554" i="5"/>
  <c r="O555" i="5"/>
  <c r="O556" i="5"/>
  <c r="O557" i="5"/>
  <c r="O558" i="5"/>
  <c r="O559" i="5"/>
  <c r="O560" i="5"/>
  <c r="O537" i="5"/>
  <c r="O538" i="5"/>
  <c r="O539" i="5"/>
  <c r="O540" i="5"/>
  <c r="O541" i="5"/>
  <c r="O542" i="5"/>
  <c r="O543" i="5"/>
  <c r="O544" i="5"/>
  <c r="O545" i="5"/>
  <c r="O546" i="5"/>
  <c r="O547" i="5"/>
  <c r="O520" i="5"/>
  <c r="O521" i="5"/>
  <c r="O522" i="5"/>
  <c r="O523" i="5"/>
  <c r="O524" i="5"/>
  <c r="O525" i="5"/>
  <c r="O526" i="5"/>
  <c r="O527" i="5"/>
  <c r="O528" i="5"/>
  <c r="O529" i="5"/>
  <c r="O530" i="5"/>
  <c r="O531" i="5"/>
  <c r="O532" i="5"/>
  <c r="O533" i="5"/>
  <c r="O534" i="5"/>
  <c r="O535" i="5"/>
  <c r="O536" i="5"/>
  <c r="O519" i="5"/>
  <c r="O420" i="5"/>
  <c r="O421" i="5"/>
  <c r="O422" i="5"/>
  <c r="O423" i="5"/>
  <c r="O424" i="5"/>
  <c r="O425" i="5"/>
  <c r="O426" i="5"/>
  <c r="O427" i="5"/>
  <c r="O428" i="5"/>
  <c r="O429" i="5"/>
  <c r="O430" i="5"/>
  <c r="O431" i="5"/>
  <c r="O432" i="5"/>
  <c r="O433" i="5"/>
  <c r="O434" i="5"/>
  <c r="O435" i="5"/>
  <c r="O436" i="5"/>
  <c r="O437" i="5"/>
  <c r="O438" i="5"/>
  <c r="O439" i="5"/>
  <c r="O440" i="5"/>
  <c r="O441" i="5"/>
  <c r="O442" i="5"/>
  <c r="O443" i="5"/>
  <c r="O444" i="5"/>
  <c r="O445" i="5"/>
  <c r="O446" i="5"/>
  <c r="O447" i="5"/>
  <c r="O448" i="5"/>
  <c r="O449" i="5"/>
  <c r="O450" i="5"/>
  <c r="O451" i="5"/>
  <c r="O452" i="5"/>
  <c r="O453" i="5"/>
  <c r="O454" i="5"/>
  <c r="O455" i="5"/>
  <c r="O456" i="5"/>
  <c r="O457" i="5"/>
  <c r="O458" i="5"/>
  <c r="O459" i="5"/>
  <c r="O460" i="5"/>
  <c r="O461" i="5"/>
  <c r="O462" i="5"/>
  <c r="O463" i="5"/>
  <c r="O464" i="5"/>
  <c r="O465" i="5"/>
  <c r="O466" i="5"/>
  <c r="O467" i="5"/>
  <c r="O468" i="5"/>
  <c r="O469" i="5"/>
  <c r="O470" i="5"/>
  <c r="O471" i="5"/>
  <c r="O472" i="5"/>
  <c r="O473" i="5"/>
  <c r="O474" i="5"/>
  <c r="O475" i="5"/>
  <c r="O476" i="5"/>
  <c r="O477" i="5"/>
  <c r="O478" i="5"/>
  <c r="O479" i="5"/>
  <c r="O480" i="5"/>
  <c r="O481" i="5"/>
  <c r="O482" i="5"/>
  <c r="O483" i="5"/>
  <c r="O484" i="5"/>
  <c r="O485" i="5"/>
  <c r="O486" i="5"/>
  <c r="O487" i="5"/>
  <c r="O488" i="5"/>
  <c r="O489" i="5"/>
  <c r="O490" i="5"/>
  <c r="O491" i="5"/>
  <c r="O492" i="5"/>
  <c r="O493" i="5"/>
  <c r="O494" i="5"/>
  <c r="O495" i="5"/>
  <c r="O496" i="5"/>
  <c r="O497" i="5"/>
  <c r="O498" i="5"/>
  <c r="O499" i="5"/>
  <c r="O500" i="5"/>
  <c r="O501" i="5"/>
  <c r="O502" i="5"/>
  <c r="O503" i="5"/>
  <c r="O504" i="5"/>
  <c r="O505" i="5"/>
  <c r="O506" i="5"/>
  <c r="O507" i="5"/>
  <c r="O508" i="5"/>
  <c r="O509" i="5"/>
  <c r="O510" i="5"/>
  <c r="O511" i="5"/>
  <c r="O512" i="5"/>
  <c r="O513" i="5"/>
  <c r="O514" i="5"/>
  <c r="O515" i="5"/>
  <c r="O516" i="5"/>
  <c r="O517" i="5"/>
  <c r="O518" i="5"/>
  <c r="O419" i="5"/>
  <c r="O320" i="5"/>
  <c r="O321" i="5"/>
  <c r="O322" i="5"/>
  <c r="O323" i="5"/>
  <c r="O324" i="5"/>
  <c r="O325" i="5"/>
  <c r="O326" i="5"/>
  <c r="O327" i="5"/>
  <c r="O328" i="5"/>
  <c r="O329" i="5"/>
  <c r="O330" i="5"/>
  <c r="O331" i="5"/>
  <c r="O332" i="5"/>
  <c r="O333" i="5"/>
  <c r="O334" i="5"/>
  <c r="O335" i="5"/>
  <c r="O336" i="5"/>
  <c r="O337" i="5"/>
  <c r="O338" i="5"/>
  <c r="O339" i="5"/>
  <c r="O340" i="5"/>
  <c r="O341" i="5"/>
  <c r="O342" i="5"/>
  <c r="O343" i="5"/>
  <c r="O344" i="5"/>
  <c r="O345" i="5"/>
  <c r="O346" i="5"/>
  <c r="O347" i="5"/>
  <c r="O348" i="5"/>
  <c r="O349" i="5"/>
  <c r="O350" i="5"/>
  <c r="O351" i="5"/>
  <c r="O352" i="5"/>
  <c r="O353" i="5"/>
  <c r="O354" i="5"/>
  <c r="O355" i="5"/>
  <c r="O356" i="5"/>
  <c r="O357" i="5"/>
  <c r="O358" i="5"/>
  <c r="O359" i="5"/>
  <c r="O360" i="5"/>
  <c r="O361" i="5"/>
  <c r="O362" i="5"/>
  <c r="O363" i="5"/>
  <c r="O364" i="5"/>
  <c r="O365" i="5"/>
  <c r="O366" i="5"/>
  <c r="O367" i="5"/>
  <c r="O368" i="5"/>
  <c r="O369" i="5"/>
  <c r="O370" i="5"/>
  <c r="O371" i="5"/>
  <c r="O372" i="5"/>
  <c r="O373" i="5"/>
  <c r="O374" i="5"/>
  <c r="O375" i="5"/>
  <c r="O376" i="5"/>
  <c r="O377" i="5"/>
  <c r="O378" i="5"/>
  <c r="O379" i="5"/>
  <c r="O380" i="5"/>
  <c r="O381" i="5"/>
  <c r="O382" i="5"/>
  <c r="O383" i="5"/>
  <c r="O384" i="5"/>
  <c r="O385" i="5"/>
  <c r="O386" i="5"/>
  <c r="O387" i="5"/>
  <c r="O388" i="5"/>
  <c r="O389" i="5"/>
  <c r="O390" i="5"/>
  <c r="O391" i="5"/>
  <c r="O392" i="5"/>
  <c r="O393" i="5"/>
  <c r="O394" i="5"/>
  <c r="O395" i="5"/>
  <c r="O396" i="5"/>
  <c r="O397" i="5"/>
  <c r="O398" i="5"/>
  <c r="O399" i="5"/>
  <c r="O400" i="5"/>
  <c r="O401" i="5"/>
  <c r="O402" i="5"/>
  <c r="O403" i="5"/>
  <c r="O404" i="5"/>
  <c r="O405" i="5"/>
  <c r="O406" i="5"/>
  <c r="O407" i="5"/>
  <c r="O408" i="5"/>
  <c r="O409" i="5"/>
  <c r="O410" i="5"/>
  <c r="O411" i="5"/>
  <c r="O412" i="5"/>
  <c r="O413" i="5"/>
  <c r="O414" i="5"/>
  <c r="O415" i="5"/>
  <c r="O416" i="5"/>
  <c r="O417" i="5"/>
  <c r="O418" i="5"/>
  <c r="O319" i="5"/>
  <c r="O220" i="5"/>
  <c r="O221" i="5"/>
  <c r="O222" i="5"/>
  <c r="O223" i="5"/>
  <c r="O224" i="5"/>
  <c r="O225" i="5"/>
  <c r="O226" i="5"/>
  <c r="O227" i="5"/>
  <c r="O228" i="5"/>
  <c r="O229" i="5"/>
  <c r="O230" i="5"/>
  <c r="O231" i="5"/>
  <c r="O232" i="5"/>
  <c r="O233" i="5"/>
  <c r="O234" i="5"/>
  <c r="O235" i="5"/>
  <c r="O236" i="5"/>
  <c r="O237" i="5"/>
  <c r="O238" i="5"/>
  <c r="O239" i="5"/>
  <c r="O240" i="5"/>
  <c r="O241" i="5"/>
  <c r="O242" i="5"/>
  <c r="O243" i="5"/>
  <c r="O244" i="5"/>
  <c r="O245" i="5"/>
  <c r="O246" i="5"/>
  <c r="O247" i="5"/>
  <c r="O248" i="5"/>
  <c r="O249" i="5"/>
  <c r="O250" i="5"/>
  <c r="O251" i="5"/>
  <c r="O252" i="5"/>
  <c r="O253" i="5"/>
  <c r="O254" i="5"/>
  <c r="O255" i="5"/>
  <c r="O256" i="5"/>
  <c r="O257" i="5"/>
  <c r="O258" i="5"/>
  <c r="O259" i="5"/>
  <c r="O260" i="5"/>
  <c r="O261" i="5"/>
  <c r="O262" i="5"/>
  <c r="O263" i="5"/>
  <c r="O264" i="5"/>
  <c r="O265" i="5"/>
  <c r="O266" i="5"/>
  <c r="O267" i="5"/>
  <c r="O268" i="5"/>
  <c r="O269" i="5"/>
  <c r="O270" i="5"/>
  <c r="O271" i="5"/>
  <c r="O272" i="5"/>
  <c r="O273" i="5"/>
  <c r="O274" i="5"/>
  <c r="O275" i="5"/>
  <c r="O276" i="5"/>
  <c r="O277" i="5"/>
  <c r="O278" i="5"/>
  <c r="O279" i="5"/>
  <c r="O280" i="5"/>
  <c r="O281" i="5"/>
  <c r="O282" i="5"/>
  <c r="O283" i="5"/>
  <c r="O284" i="5"/>
  <c r="O285" i="5"/>
  <c r="O286" i="5"/>
  <c r="O287" i="5"/>
  <c r="O288" i="5"/>
  <c r="O289" i="5"/>
  <c r="O290" i="5"/>
  <c r="O291" i="5"/>
  <c r="O292" i="5"/>
  <c r="O293" i="5"/>
  <c r="O294" i="5"/>
  <c r="O295" i="5"/>
  <c r="O296" i="5"/>
  <c r="O297" i="5"/>
  <c r="O298" i="5"/>
  <c r="O299" i="5"/>
  <c r="O300" i="5"/>
  <c r="O301" i="5"/>
  <c r="O302" i="5"/>
  <c r="O303" i="5"/>
  <c r="O304" i="5"/>
  <c r="O305" i="5"/>
  <c r="O306" i="5"/>
  <c r="O307" i="5"/>
  <c r="O308" i="5"/>
  <c r="O309" i="5"/>
  <c r="O310" i="5"/>
  <c r="O311" i="5"/>
  <c r="O312" i="5"/>
  <c r="O313" i="5"/>
  <c r="O314" i="5"/>
  <c r="O315" i="5"/>
  <c r="O316" i="5"/>
  <c r="O317" i="5"/>
  <c r="O318" i="5"/>
  <c r="O219" i="5"/>
  <c r="O120" i="5"/>
  <c r="O121" i="5"/>
  <c r="O122" i="5"/>
  <c r="O123" i="5"/>
  <c r="O124" i="5"/>
  <c r="O125" i="5"/>
  <c r="O126" i="5"/>
  <c r="O127" i="5"/>
  <c r="O128" i="5"/>
  <c r="O129" i="5"/>
  <c r="O130" i="5"/>
  <c r="O131" i="5"/>
  <c r="O132" i="5"/>
  <c r="O133" i="5"/>
  <c r="O134" i="5"/>
  <c r="O135" i="5"/>
  <c r="O136" i="5"/>
  <c r="O137" i="5"/>
  <c r="O138" i="5"/>
  <c r="O139" i="5"/>
  <c r="O140" i="5"/>
  <c r="O141" i="5"/>
  <c r="O142" i="5"/>
  <c r="O143" i="5"/>
  <c r="O144" i="5"/>
  <c r="O145" i="5"/>
  <c r="O146" i="5"/>
  <c r="O147" i="5"/>
  <c r="O148" i="5"/>
  <c r="O149" i="5"/>
  <c r="O150" i="5"/>
  <c r="O151" i="5"/>
  <c r="O152" i="5"/>
  <c r="O153" i="5"/>
  <c r="O154" i="5"/>
  <c r="O155" i="5"/>
  <c r="O156" i="5"/>
  <c r="O157" i="5"/>
  <c r="O158" i="5"/>
  <c r="O159" i="5"/>
  <c r="O160" i="5"/>
  <c r="O161" i="5"/>
  <c r="O162" i="5"/>
  <c r="O163" i="5"/>
  <c r="O164" i="5"/>
  <c r="O165" i="5"/>
  <c r="O166" i="5"/>
  <c r="O167" i="5"/>
  <c r="O168" i="5"/>
  <c r="O169" i="5"/>
  <c r="O170" i="5"/>
  <c r="O171" i="5"/>
  <c r="O172" i="5"/>
  <c r="O173" i="5"/>
  <c r="O174" i="5"/>
  <c r="O175" i="5"/>
  <c r="O176" i="5"/>
  <c r="O177" i="5"/>
  <c r="O178" i="5"/>
  <c r="O179" i="5"/>
  <c r="O180" i="5"/>
  <c r="O181" i="5"/>
  <c r="O182" i="5"/>
  <c r="O183" i="5"/>
  <c r="O184" i="5"/>
  <c r="O185" i="5"/>
  <c r="O186" i="5"/>
  <c r="O187" i="5"/>
  <c r="O188" i="5"/>
  <c r="O189" i="5"/>
  <c r="O190" i="5"/>
  <c r="O191" i="5"/>
  <c r="O192" i="5"/>
  <c r="O193" i="5"/>
  <c r="O194" i="5"/>
  <c r="O195" i="5"/>
  <c r="O196" i="5"/>
  <c r="O197" i="5"/>
  <c r="O198" i="5"/>
  <c r="O199" i="5"/>
  <c r="O200" i="5"/>
  <c r="O201" i="5"/>
  <c r="O202" i="5"/>
  <c r="O203" i="5"/>
  <c r="O204" i="5"/>
  <c r="O205" i="5"/>
  <c r="O206" i="5"/>
  <c r="O207" i="5"/>
  <c r="O208" i="5"/>
  <c r="O209" i="5"/>
  <c r="O210" i="5"/>
  <c r="O211" i="5"/>
  <c r="O212" i="5"/>
  <c r="O213" i="5"/>
  <c r="O214" i="5"/>
  <c r="O215" i="5"/>
  <c r="O216" i="5"/>
  <c r="O217" i="5"/>
  <c r="O218" i="5"/>
  <c r="O119" i="5"/>
  <c r="O20" i="5"/>
  <c r="O21" i="5"/>
  <c r="O22" i="5"/>
  <c r="O23" i="5"/>
  <c r="O24" i="5"/>
  <c r="O25" i="5"/>
  <c r="O26" i="5"/>
  <c r="O27" i="5"/>
  <c r="O28" i="5"/>
  <c r="O29" i="5"/>
  <c r="O30" i="5"/>
  <c r="O31" i="5"/>
  <c r="O32" i="5"/>
  <c r="O33" i="5"/>
  <c r="O34" i="5"/>
  <c r="O35" i="5"/>
  <c r="O36" i="5"/>
  <c r="O37" i="5"/>
  <c r="O38" i="5"/>
  <c r="O39" i="5"/>
  <c r="O40" i="5"/>
  <c r="O41" i="5"/>
  <c r="O42" i="5"/>
  <c r="O43" i="5"/>
  <c r="O44" i="5"/>
  <c r="O45" i="5"/>
  <c r="O46" i="5"/>
  <c r="O47" i="5"/>
  <c r="O48" i="5"/>
  <c r="O49" i="5"/>
  <c r="O50" i="5"/>
  <c r="O51" i="5"/>
  <c r="O52" i="5"/>
  <c r="O53" i="5"/>
  <c r="O54" i="5"/>
  <c r="O55" i="5"/>
  <c r="O56" i="5"/>
  <c r="O57" i="5"/>
  <c r="O58" i="5"/>
  <c r="O59" i="5"/>
  <c r="O60" i="5"/>
  <c r="O61" i="5"/>
  <c r="O62" i="5"/>
  <c r="O63" i="5"/>
  <c r="O64" i="5"/>
  <c r="O65" i="5"/>
  <c r="O66" i="5"/>
  <c r="O67" i="5"/>
  <c r="O68" i="5"/>
  <c r="O69" i="5"/>
  <c r="O70" i="5"/>
  <c r="O71" i="5"/>
  <c r="O72" i="5"/>
  <c r="O73" i="5"/>
  <c r="O74" i="5"/>
  <c r="O75" i="5"/>
  <c r="O76" i="5"/>
  <c r="O77" i="5"/>
  <c r="O78" i="5"/>
  <c r="O79" i="5"/>
  <c r="O80" i="5"/>
  <c r="O81" i="5"/>
  <c r="O82" i="5"/>
  <c r="O83" i="5"/>
  <c r="O84" i="5"/>
  <c r="O85" i="5"/>
  <c r="O86" i="5"/>
  <c r="O87" i="5"/>
  <c r="O88" i="5"/>
  <c r="O89" i="5"/>
  <c r="O90" i="5"/>
  <c r="O91" i="5"/>
  <c r="O92" i="5"/>
  <c r="O93" i="5"/>
  <c r="O94" i="5"/>
  <c r="O95" i="5"/>
  <c r="O96" i="5"/>
  <c r="O97" i="5"/>
  <c r="O98" i="5"/>
  <c r="O99" i="5"/>
  <c r="O100" i="5"/>
  <c r="O101" i="5"/>
  <c r="O102" i="5"/>
  <c r="O103" i="5"/>
  <c r="O104" i="5"/>
  <c r="O105" i="5"/>
  <c r="O106" i="5"/>
  <c r="O107" i="5"/>
  <c r="O108" i="5"/>
  <c r="O109" i="5"/>
  <c r="O110" i="5"/>
  <c r="O111" i="5"/>
  <c r="O112" i="5"/>
  <c r="O113" i="5"/>
  <c r="O114" i="5"/>
  <c r="O115" i="5"/>
  <c r="O116" i="5"/>
  <c r="O117" i="5"/>
  <c r="O118" i="5"/>
  <c r="O19" i="5"/>
  <c r="B205" i="2"/>
  <c r="O7" i="5"/>
  <c r="B30" i="5"/>
  <c r="B145" i="2"/>
  <c r="B56" i="5" s="1"/>
  <c r="B147" i="2"/>
  <c r="B57" i="5" s="1"/>
  <c r="B225" i="2"/>
  <c r="B227" i="2"/>
  <c r="B60" i="5" s="1"/>
  <c r="B223" i="2"/>
  <c r="B27" i="5"/>
  <c r="B111" i="2"/>
  <c r="B45" i="5" s="1"/>
  <c r="B110" i="2"/>
  <c r="B96" i="2"/>
  <c r="B90" i="2"/>
  <c r="B25" i="5" s="1"/>
  <c r="B26" i="3"/>
  <c r="B28" i="5" s="1"/>
  <c r="B26" i="5"/>
  <c r="B48" i="2"/>
  <c r="B22" i="3"/>
  <c r="B30" i="2"/>
  <c r="B14" i="3"/>
  <c r="B10" i="3"/>
  <c r="B9" i="2"/>
  <c r="B12" i="5" s="1"/>
  <c r="B207" i="2"/>
  <c r="B210" i="2" s="1"/>
  <c r="B19" i="2"/>
  <c r="B48" i="5"/>
  <c r="J49" i="5"/>
  <c r="H54" i="1"/>
  <c r="B135" i="2" s="1"/>
  <c r="B106" i="2"/>
  <c r="B11" i="5"/>
  <c r="B4" i="8"/>
  <c r="M8" i="4"/>
  <c r="B170" i="2"/>
  <c r="B19" i="5"/>
  <c r="B11" i="2"/>
  <c r="H14" i="1" s="1"/>
  <c r="H16" i="1"/>
  <c r="AT59" i="4"/>
  <c r="AT70" i="4"/>
  <c r="AT12" i="4"/>
  <c r="AT56" i="4"/>
  <c r="B16" i="5"/>
  <c r="P15" i="5" s="1"/>
  <c r="O9" i="4"/>
  <c r="T417" i="5" l="1"/>
  <c r="B129" i="2"/>
  <c r="O8" i="5"/>
  <c r="AT9" i="4"/>
  <c r="B127" i="2"/>
  <c r="H48" i="1" s="1"/>
  <c r="B13" i="5"/>
  <c r="B51" i="5"/>
  <c r="B176" i="2"/>
  <c r="B173" i="2"/>
  <c r="AT62" i="4"/>
  <c r="AT8" i="4"/>
  <c r="T139" i="4"/>
  <c r="AT139" i="4" s="1"/>
  <c r="T122" i="4"/>
  <c r="AT122" i="4" s="1"/>
  <c r="T138" i="4"/>
  <c r="AT138" i="4" s="1"/>
  <c r="T123" i="4"/>
  <c r="AT123" i="4" s="1"/>
  <c r="T154" i="4"/>
  <c r="AT154" i="4" s="1"/>
  <c r="T151" i="4"/>
  <c r="AT151" i="4" s="1"/>
  <c r="T146" i="4"/>
  <c r="AT146" i="4" s="1"/>
  <c r="T143" i="4"/>
  <c r="AT143" i="4" s="1"/>
  <c r="T134" i="4"/>
  <c r="AT134" i="4" s="1"/>
  <c r="T127" i="4"/>
  <c r="AT127" i="4" s="1"/>
  <c r="T118" i="4"/>
  <c r="AT118" i="4" s="1"/>
  <c r="T100" i="4"/>
  <c r="AT100" i="4" s="1"/>
  <c r="T93" i="4"/>
  <c r="AT93" i="4" s="1"/>
  <c r="T46" i="4"/>
  <c r="AT46" i="4" s="1"/>
  <c r="T40" i="4"/>
  <c r="AT40" i="4" s="1"/>
  <c r="T22" i="4"/>
  <c r="AT22" i="4" s="1"/>
  <c r="T155" i="4"/>
  <c r="AT155" i="4" s="1"/>
  <c r="T150" i="4"/>
  <c r="AT150" i="4" s="1"/>
  <c r="T147" i="4"/>
  <c r="AT147" i="4" s="1"/>
  <c r="T109" i="4"/>
  <c r="AT109" i="4" s="1"/>
  <c r="T84" i="4"/>
  <c r="AT84" i="4" s="1"/>
  <c r="T80" i="4"/>
  <c r="AT80" i="4" s="1"/>
  <c r="T76" i="4"/>
  <c r="AT76" i="4" s="1"/>
  <c r="T43" i="4"/>
  <c r="AT43" i="4" s="1"/>
  <c r="T37" i="4"/>
  <c r="AT37" i="4" s="1"/>
  <c r="T19" i="4"/>
  <c r="AT19" i="4" s="1"/>
  <c r="T7" i="4"/>
  <c r="AT7" i="4" s="1"/>
  <c r="T132" i="4"/>
  <c r="AT132" i="4" s="1"/>
  <c r="T129" i="4"/>
  <c r="AT129" i="4" s="1"/>
  <c r="T116" i="4"/>
  <c r="AT116" i="4" s="1"/>
  <c r="T113" i="4"/>
  <c r="AT113" i="4" s="1"/>
  <c r="T107" i="4"/>
  <c r="AT107" i="4" s="1"/>
  <c r="T91" i="4"/>
  <c r="AT91" i="4" s="1"/>
  <c r="T74" i="4"/>
  <c r="AT74" i="4" s="1"/>
  <c r="T64" i="4"/>
  <c r="AT64" i="4" s="1"/>
  <c r="T51" i="4"/>
  <c r="AT51" i="4" s="1"/>
  <c r="T33" i="4"/>
  <c r="AT33" i="4" s="1"/>
  <c r="T141" i="4"/>
  <c r="AT141" i="4" s="1"/>
  <c r="T136" i="4"/>
  <c r="AT136" i="4" s="1"/>
  <c r="T125" i="4"/>
  <c r="AT125" i="4" s="1"/>
  <c r="T120" i="4"/>
  <c r="AT120" i="4" s="1"/>
  <c r="T102" i="4"/>
  <c r="AT102" i="4" s="1"/>
  <c r="T86" i="4"/>
  <c r="AT86" i="4" s="1"/>
  <c r="T67" i="4"/>
  <c r="AT67" i="4" s="1"/>
  <c r="T54" i="4"/>
  <c r="AT54" i="4" s="1"/>
  <c r="T48" i="4"/>
  <c r="AT48" i="4" s="1"/>
  <c r="T26" i="4"/>
  <c r="AT26" i="4" s="1"/>
  <c r="T15" i="4"/>
  <c r="AT15" i="4" s="1"/>
  <c r="B64" i="5"/>
  <c r="AT56" i="5" s="1"/>
  <c r="AT61" i="5"/>
  <c r="AV61" i="5" s="1"/>
  <c r="B139" i="2"/>
  <c r="H56" i="1"/>
  <c r="B138" i="2"/>
  <c r="B141" i="2"/>
  <c r="B140" i="2"/>
  <c r="B10" i="5"/>
  <c r="AT43" i="5"/>
  <c r="AT62" i="5"/>
  <c r="AT52" i="5"/>
  <c r="AT102" i="5"/>
  <c r="AT115" i="5"/>
  <c r="AT156" i="5"/>
  <c r="AT84" i="5"/>
  <c r="AT183" i="5"/>
  <c r="AT111" i="5"/>
  <c r="AT198" i="5"/>
  <c r="AT248" i="5"/>
  <c r="AT191" i="5"/>
  <c r="AT249" i="5"/>
  <c r="AT295" i="5"/>
  <c r="AT246" i="5"/>
  <c r="AT311" i="5"/>
  <c r="AT271" i="5"/>
  <c r="AT39" i="5"/>
  <c r="AT54" i="5"/>
  <c r="AT66" i="5"/>
  <c r="AT93" i="5"/>
  <c r="AT91" i="5"/>
  <c r="AT89" i="5"/>
  <c r="AT130" i="5"/>
  <c r="AT153" i="5"/>
  <c r="AT165" i="5"/>
  <c r="AT175" i="5"/>
  <c r="AT218" i="5"/>
  <c r="AT229" i="5"/>
  <c r="AT233" i="5"/>
  <c r="AT273" i="5"/>
  <c r="AT324" i="5"/>
  <c r="AT286" i="5"/>
  <c r="AT237" i="5"/>
  <c r="B165" i="2"/>
  <c r="T7" i="5" s="1"/>
  <c r="B119" i="2"/>
  <c r="H43" i="1" s="1"/>
  <c r="AT46" i="5"/>
  <c r="AV46" i="5" s="1"/>
  <c r="AT30" i="5"/>
  <c r="AT29" i="5"/>
  <c r="B63" i="5"/>
  <c r="AZ20" i="5" s="1"/>
  <c r="B58" i="5"/>
  <c r="B65" i="5"/>
  <c r="AW7" i="5" s="1"/>
  <c r="T156" i="4"/>
  <c r="AT156" i="4" s="1"/>
  <c r="T152" i="4"/>
  <c r="AT152" i="4" s="1"/>
  <c r="T148" i="4"/>
  <c r="AT148" i="4" s="1"/>
  <c r="T144" i="4"/>
  <c r="AT144" i="4" s="1"/>
  <c r="T137" i="4"/>
  <c r="AT137" i="4" s="1"/>
  <c r="T135" i="4"/>
  <c r="AT135" i="4" s="1"/>
  <c r="T130" i="4"/>
  <c r="AT130" i="4" s="1"/>
  <c r="T128" i="4"/>
  <c r="AT128" i="4" s="1"/>
  <c r="T121" i="4"/>
  <c r="AT121" i="4" s="1"/>
  <c r="T119" i="4"/>
  <c r="AT119" i="4" s="1"/>
  <c r="T114" i="4"/>
  <c r="AT114" i="4" s="1"/>
  <c r="T112" i="4"/>
  <c r="AT112" i="4" s="1"/>
  <c r="T105" i="4"/>
  <c r="AT105" i="4" s="1"/>
  <c r="T103" i="4"/>
  <c r="AT103" i="4" s="1"/>
  <c r="T98" i="4"/>
  <c r="AT98" i="4" s="1"/>
  <c r="T96" i="4"/>
  <c r="AT96" i="4" s="1"/>
  <c r="T89" i="4"/>
  <c r="AT89" i="4" s="1"/>
  <c r="T87" i="4"/>
  <c r="AT87" i="4" s="1"/>
  <c r="T82" i="4"/>
  <c r="AT82" i="4" s="1"/>
  <c r="T78" i="4"/>
  <c r="AT78" i="4" s="1"/>
  <c r="T73" i="4"/>
  <c r="AT73" i="4" s="1"/>
  <c r="T66" i="4"/>
  <c r="AT66" i="4" s="1"/>
  <c r="T61" i="4"/>
  <c r="AT61" i="4" s="1"/>
  <c r="T53" i="4"/>
  <c r="AT53" i="4" s="1"/>
  <c r="T45" i="4"/>
  <c r="AT45" i="4" s="1"/>
  <c r="T39" i="4"/>
  <c r="AT39" i="4" s="1"/>
  <c r="T36" i="4"/>
  <c r="AT36" i="4" s="1"/>
  <c r="T32" i="4"/>
  <c r="AT32" i="4" s="1"/>
  <c r="T29" i="4"/>
  <c r="AT29" i="4" s="1"/>
  <c r="T25" i="4"/>
  <c r="AT25" i="4" s="1"/>
  <c r="T18" i="4"/>
  <c r="AT18" i="4" s="1"/>
  <c r="T14" i="4"/>
  <c r="AT14" i="4" s="1"/>
  <c r="T11" i="4"/>
  <c r="AT11" i="4" s="1"/>
  <c r="T157" i="4"/>
  <c r="AT157" i="4" s="1"/>
  <c r="T153" i="4"/>
  <c r="AT153" i="4" s="1"/>
  <c r="T149" i="4"/>
  <c r="AT149" i="4" s="1"/>
  <c r="T145" i="4"/>
  <c r="T142" i="4"/>
  <c r="AT142" i="4" s="1"/>
  <c r="T140" i="4"/>
  <c r="AT140" i="4" s="1"/>
  <c r="T133" i="4"/>
  <c r="AT133" i="4" s="1"/>
  <c r="T131" i="4"/>
  <c r="AT131" i="4" s="1"/>
  <c r="T126" i="4"/>
  <c r="AT126" i="4" s="1"/>
  <c r="T124" i="4"/>
  <c r="AT124" i="4" s="1"/>
  <c r="T117" i="4"/>
  <c r="AT117" i="4" s="1"/>
  <c r="T115" i="4"/>
  <c r="AT115" i="4" s="1"/>
  <c r="T110" i="4"/>
  <c r="AT110" i="4" s="1"/>
  <c r="T108" i="4"/>
  <c r="AT108" i="4" s="1"/>
  <c r="T101" i="4"/>
  <c r="AT101" i="4" s="1"/>
  <c r="T99" i="4"/>
  <c r="AT99" i="4" s="1"/>
  <c r="T94" i="4"/>
  <c r="AT94" i="4" s="1"/>
  <c r="T92" i="4"/>
  <c r="AT92" i="4" s="1"/>
  <c r="T85" i="4"/>
  <c r="AT85" i="4" s="1"/>
  <c r="T83" i="4"/>
  <c r="AT83" i="4" s="1"/>
  <c r="T81" i="4"/>
  <c r="AT81" i="4" s="1"/>
  <c r="T77" i="4"/>
  <c r="AT77" i="4" s="1"/>
  <c r="T75" i="4"/>
  <c r="AT75" i="4" s="1"/>
  <c r="T72" i="4"/>
  <c r="AT72" i="4" s="1"/>
  <c r="T69" i="4"/>
  <c r="AT69" i="4" s="1"/>
  <c r="T65" i="4"/>
  <c r="AT65" i="4" s="1"/>
  <c r="T63" i="4"/>
  <c r="AT63" i="4" s="1"/>
  <c r="T60" i="4"/>
  <c r="AT60" i="4" s="1"/>
  <c r="T58" i="4"/>
  <c r="AT58" i="4" s="1"/>
  <c r="T55" i="4"/>
  <c r="AT55" i="4" s="1"/>
  <c r="T52" i="4"/>
  <c r="AT52" i="4" s="1"/>
  <c r="T50" i="4"/>
  <c r="AT50" i="4" s="1"/>
  <c r="T47" i="4"/>
  <c r="AT47" i="4" s="1"/>
  <c r="T44" i="4"/>
  <c r="AT44" i="4" s="1"/>
  <c r="T42" i="4"/>
  <c r="AT42" i="4" s="1"/>
  <c r="T38" i="4"/>
  <c r="AT38" i="4" s="1"/>
  <c r="T35" i="4"/>
  <c r="AT35" i="4" s="1"/>
  <c r="T31" i="4"/>
  <c r="AT31" i="4" s="1"/>
  <c r="T28" i="4"/>
  <c r="AT28" i="4" s="1"/>
  <c r="T24" i="4"/>
  <c r="AT24" i="4" s="1"/>
  <c r="T21" i="4"/>
  <c r="AT21" i="4" s="1"/>
  <c r="T17" i="4"/>
  <c r="AT17" i="4" s="1"/>
  <c r="T111" i="4"/>
  <c r="AT111" i="4" s="1"/>
  <c r="T106" i="4"/>
  <c r="AT106" i="4" s="1"/>
  <c r="T104" i="4"/>
  <c r="AT104" i="4" s="1"/>
  <c r="T97" i="4"/>
  <c r="AT97" i="4" s="1"/>
  <c r="T95" i="4"/>
  <c r="AT95" i="4" s="1"/>
  <c r="T90" i="4"/>
  <c r="AT90" i="4" s="1"/>
  <c r="T88" i="4"/>
  <c r="AT88" i="4" s="1"/>
  <c r="T79" i="4"/>
  <c r="AT79" i="4" s="1"/>
  <c r="T71" i="4"/>
  <c r="AT71" i="4" s="1"/>
  <c r="T68" i="4"/>
  <c r="AT68" i="4" s="1"/>
  <c r="T57" i="4"/>
  <c r="AT57" i="4" s="1"/>
  <c r="T49" i="4"/>
  <c r="AT49" i="4" s="1"/>
  <c r="T41" i="4"/>
  <c r="AT41" i="4" s="1"/>
  <c r="T34" i="4"/>
  <c r="AT34" i="4" s="1"/>
  <c r="T30" i="4"/>
  <c r="AT30" i="4" s="1"/>
  <c r="T27" i="4"/>
  <c r="AT27" i="4" s="1"/>
  <c r="T23" i="4"/>
  <c r="AT23" i="4" s="1"/>
  <c r="T20" i="4"/>
  <c r="AT20" i="4" s="1"/>
  <c r="T16" i="4"/>
  <c r="AT16" i="4" s="1"/>
  <c r="T13" i="4"/>
  <c r="AT13" i="4" s="1"/>
  <c r="T10" i="4"/>
  <c r="AT10" i="4" s="1"/>
  <c r="R72" i="4"/>
  <c r="R70" i="4"/>
  <c r="R68" i="4"/>
  <c r="R66" i="4"/>
  <c r="R23" i="4"/>
  <c r="R71" i="4"/>
  <c r="R67" i="4"/>
  <c r="R31" i="4"/>
  <c r="R8" i="4"/>
  <c r="B32" i="2"/>
  <c r="B33" i="2" s="1"/>
  <c r="R38" i="4"/>
  <c r="R33" i="4"/>
  <c r="R25" i="4"/>
  <c r="R17" i="4"/>
  <c r="R12" i="4"/>
  <c r="R40" i="4"/>
  <c r="R35" i="4"/>
  <c r="R27" i="4"/>
  <c r="R19" i="4"/>
  <c r="K8" i="2"/>
  <c r="AT145" i="4"/>
  <c r="B166" i="2"/>
  <c r="B199" i="2"/>
  <c r="B200" i="2" s="1"/>
  <c r="B46" i="5"/>
  <c r="T8" i="5"/>
  <c r="T38" i="5"/>
  <c r="T24" i="5"/>
  <c r="U24" i="5" s="1"/>
  <c r="T32" i="5"/>
  <c r="V32" i="5" s="1"/>
  <c r="T22" i="5"/>
  <c r="U22" i="5" s="1"/>
  <c r="T43" i="5"/>
  <c r="T41" i="5"/>
  <c r="T64" i="5"/>
  <c r="T30" i="5"/>
  <c r="T56" i="5"/>
  <c r="U56" i="5" s="1"/>
  <c r="T67" i="5"/>
  <c r="T63" i="5"/>
  <c r="V63" i="5" s="1"/>
  <c r="T76" i="5"/>
  <c r="T57" i="5"/>
  <c r="T89" i="5"/>
  <c r="V89" i="5" s="1"/>
  <c r="T82" i="5"/>
  <c r="U82" i="5" s="1"/>
  <c r="T98" i="5"/>
  <c r="T105" i="5"/>
  <c r="T83" i="5"/>
  <c r="T91" i="5"/>
  <c r="U91" i="5" s="1"/>
  <c r="T37" i="5"/>
  <c r="V37" i="5" s="1"/>
  <c r="T121" i="5"/>
  <c r="T136" i="5"/>
  <c r="U136" i="5" s="1"/>
  <c r="T155" i="5"/>
  <c r="T106" i="5"/>
  <c r="T117" i="5"/>
  <c r="T131" i="5"/>
  <c r="T151" i="5"/>
  <c r="T114" i="5"/>
  <c r="T130" i="5"/>
  <c r="U130" i="5" s="1"/>
  <c r="T146" i="5"/>
  <c r="U146" i="5" s="1"/>
  <c r="T134" i="5"/>
  <c r="V134" i="5" s="1"/>
  <c r="T171" i="5"/>
  <c r="T181" i="5"/>
  <c r="V181" i="5" s="1"/>
  <c r="T118" i="5"/>
  <c r="T169" i="5"/>
  <c r="T79" i="5"/>
  <c r="T161" i="5"/>
  <c r="T183" i="5"/>
  <c r="V183" i="5" s="1"/>
  <c r="T190" i="5"/>
  <c r="T201" i="5"/>
  <c r="U201" i="5" s="1"/>
  <c r="T188" i="5"/>
  <c r="T203" i="5"/>
  <c r="U203" i="5" s="1"/>
  <c r="T211" i="5"/>
  <c r="T223" i="5"/>
  <c r="T239" i="5"/>
  <c r="T150" i="5"/>
  <c r="T199" i="5"/>
  <c r="V199" i="5" s="1"/>
  <c r="T222" i="5"/>
  <c r="U222" i="5" s="1"/>
  <c r="T242" i="5"/>
  <c r="U242" i="5" s="1"/>
  <c r="T174" i="5"/>
  <c r="T207" i="5"/>
  <c r="T221" i="5"/>
  <c r="T235" i="5"/>
  <c r="U235" i="5" s="1"/>
  <c r="T176" i="5"/>
  <c r="T252" i="5"/>
  <c r="T260" i="5"/>
  <c r="T273" i="5"/>
  <c r="T279" i="5"/>
  <c r="U279" i="5" s="1"/>
  <c r="T301" i="5"/>
  <c r="V301" i="5" s="1"/>
  <c r="T318" i="5"/>
  <c r="V318" i="5" s="1"/>
  <c r="T334" i="5"/>
  <c r="T250" i="5"/>
  <c r="T276" i="5"/>
  <c r="T44" i="5"/>
  <c r="T26" i="5"/>
  <c r="T39" i="5"/>
  <c r="T34" i="5"/>
  <c r="T47" i="5"/>
  <c r="T52" i="5"/>
  <c r="T70" i="5"/>
  <c r="T33" i="5"/>
  <c r="T59" i="5"/>
  <c r="T35" i="5"/>
  <c r="T66" i="5"/>
  <c r="T80" i="5"/>
  <c r="T61" i="5"/>
  <c r="T92" i="5"/>
  <c r="T94" i="5"/>
  <c r="T69" i="5"/>
  <c r="T107" i="5"/>
  <c r="T85" i="5"/>
  <c r="T101" i="5"/>
  <c r="T87" i="5"/>
  <c r="T126" i="5"/>
  <c r="T139" i="5"/>
  <c r="T84" i="5"/>
  <c r="T109" i="5"/>
  <c r="T123" i="5"/>
  <c r="T137" i="5"/>
  <c r="T156" i="5"/>
  <c r="T115" i="5"/>
  <c r="T138" i="5"/>
  <c r="T152" i="5"/>
  <c r="T149" i="5"/>
  <c r="T173" i="5"/>
  <c r="T187" i="5"/>
  <c r="T133" i="5"/>
  <c r="T170" i="5"/>
  <c r="T100" i="5"/>
  <c r="T172" i="5"/>
  <c r="T185" i="5"/>
  <c r="T194" i="5"/>
  <c r="T204" i="5"/>
  <c r="T196" i="5"/>
  <c r="T205" i="5"/>
  <c r="T215" i="5"/>
  <c r="T224" i="5"/>
  <c r="T245" i="5"/>
  <c r="T159" i="5"/>
  <c r="T212" i="5"/>
  <c r="T229" i="5"/>
  <c r="T243" i="5"/>
  <c r="T180" i="5"/>
  <c r="T210" i="5"/>
  <c r="T225" i="5"/>
  <c r="T236" i="5"/>
  <c r="T241" i="5"/>
  <c r="T254" i="5"/>
  <c r="T263" i="5"/>
  <c r="T274" i="5"/>
  <c r="T282" i="5"/>
  <c r="T306" i="5"/>
  <c r="T322" i="5"/>
  <c r="T135" i="5"/>
  <c r="T251" i="5"/>
  <c r="T284" i="5"/>
  <c r="T299" i="5"/>
  <c r="T316" i="5"/>
  <c r="T331" i="5"/>
  <c r="T246" i="5"/>
  <c r="T261" i="5"/>
  <c r="T271" i="5"/>
  <c r="T293" i="5"/>
  <c r="T303" i="5"/>
  <c r="T320" i="5"/>
  <c r="T335" i="5"/>
  <c r="T356" i="5"/>
  <c r="T283" i="5"/>
  <c r="T315" i="5"/>
  <c r="T345" i="5"/>
  <c r="T364" i="5"/>
  <c r="T381" i="5"/>
  <c r="T400" i="5"/>
  <c r="T415" i="5"/>
  <c r="T429" i="5"/>
  <c r="T214" i="5"/>
  <c r="T341" i="5"/>
  <c r="T375" i="5"/>
  <c r="T386" i="5"/>
  <c r="T407" i="5"/>
  <c r="T195" i="5"/>
  <c r="T294" i="5"/>
  <c r="T348" i="5"/>
  <c r="T363" i="5"/>
  <c r="T382" i="5"/>
  <c r="T399" i="5"/>
  <c r="T411" i="5"/>
  <c r="T324" i="5"/>
  <c r="T428" i="5"/>
  <c r="T443" i="5"/>
  <c r="T458" i="5"/>
  <c r="T478" i="5"/>
  <c r="T499" i="5"/>
  <c r="T513" i="5"/>
  <c r="T532" i="5"/>
  <c r="T347" i="5"/>
  <c r="T438" i="5"/>
  <c r="T456" i="5"/>
  <c r="T468" i="5"/>
  <c r="T480" i="5"/>
  <c r="T498" i="5"/>
  <c r="T504" i="5"/>
  <c r="T29" i="5"/>
  <c r="T31" i="5"/>
  <c r="T40" i="5"/>
  <c r="T54" i="5"/>
  <c r="T51" i="5"/>
  <c r="T58" i="5"/>
  <c r="T77" i="5"/>
  <c r="T81" i="5"/>
  <c r="T102" i="5"/>
  <c r="T90" i="5"/>
  <c r="T113" i="5"/>
  <c r="T147" i="5"/>
  <c r="T116" i="5"/>
  <c r="T148" i="5"/>
  <c r="T122" i="5"/>
  <c r="T128" i="5"/>
  <c r="T178" i="5"/>
  <c r="T163" i="5"/>
  <c r="T158" i="5"/>
  <c r="T189" i="5"/>
  <c r="T164" i="5"/>
  <c r="T209" i="5"/>
  <c r="T234" i="5"/>
  <c r="T193" i="5"/>
  <c r="T238" i="5"/>
  <c r="T192" i="5"/>
  <c r="T233" i="5"/>
  <c r="T249" i="5"/>
  <c r="T270" i="5"/>
  <c r="T295" i="5"/>
  <c r="T332" i="5"/>
  <c r="T266" i="5"/>
  <c r="T302" i="5"/>
  <c r="T325" i="5"/>
  <c r="T231" i="5"/>
  <c r="U231" i="5" s="1"/>
  <c r="T264" i="5"/>
  <c r="T285" i="5"/>
  <c r="T300" i="5"/>
  <c r="V300" i="5" s="1"/>
  <c r="T321" i="5"/>
  <c r="T349" i="5"/>
  <c r="T280" i="5"/>
  <c r="T329" i="5"/>
  <c r="T359" i="5"/>
  <c r="T378" i="5"/>
  <c r="T403" i="5"/>
  <c r="T421" i="5"/>
  <c r="T437" i="5"/>
  <c r="T369" i="5"/>
  <c r="T380" i="5"/>
  <c r="T396" i="5"/>
  <c r="V396" i="5" s="1"/>
  <c r="T228" i="5"/>
  <c r="T336" i="5"/>
  <c r="T361" i="5"/>
  <c r="T383" i="5"/>
  <c r="T404" i="5"/>
  <c r="T287" i="5"/>
  <c r="V287" i="5" s="1"/>
  <c r="T430" i="5"/>
  <c r="T448" i="5"/>
  <c r="T472" i="5"/>
  <c r="T505" i="5"/>
  <c r="T516" i="5"/>
  <c r="T339" i="5"/>
  <c r="T442" i="5"/>
  <c r="T462" i="5"/>
  <c r="T475" i="5"/>
  <c r="U475" i="5" s="1"/>
  <c r="T500" i="5"/>
  <c r="T512" i="5"/>
  <c r="T522" i="5"/>
  <c r="T368" i="5"/>
  <c r="T398" i="5"/>
  <c r="T422" i="5"/>
  <c r="T439" i="5"/>
  <c r="T457" i="5"/>
  <c r="T470" i="5"/>
  <c r="T486" i="5"/>
  <c r="T493" i="5"/>
  <c r="T526" i="5"/>
  <c r="T557" i="5"/>
  <c r="T344" i="5"/>
  <c r="T465" i="5"/>
  <c r="T536" i="5"/>
  <c r="T545" i="5"/>
  <c r="T554" i="5"/>
  <c r="T406" i="5"/>
  <c r="T490" i="5"/>
  <c r="T524" i="5"/>
  <c r="T552" i="5"/>
  <c r="T440" i="5"/>
  <c r="T535" i="5"/>
  <c r="T559" i="5"/>
  <c r="T469" i="5"/>
  <c r="T502" i="5"/>
  <c r="T19" i="5"/>
  <c r="T46" i="5"/>
  <c r="T42" i="5"/>
  <c r="T48" i="5"/>
  <c r="T20" i="5"/>
  <c r="T62" i="5"/>
  <c r="T68" i="5"/>
  <c r="T73" i="5"/>
  <c r="T96" i="5"/>
  <c r="T60" i="5"/>
  <c r="T108" i="5"/>
  <c r="T127" i="5"/>
  <c r="T99" i="5"/>
  <c r="T124" i="5"/>
  <c r="T75" i="5"/>
  <c r="T143" i="5"/>
  <c r="T165" i="5"/>
  <c r="T86" i="5"/>
  <c r="T182" i="5"/>
  <c r="T175" i="5"/>
  <c r="T197" i="5"/>
  <c r="T200" i="5"/>
  <c r="T218" i="5"/>
  <c r="T120" i="5"/>
  <c r="T216" i="5"/>
  <c r="T157" i="5"/>
  <c r="T213" i="5"/>
  <c r="T240" i="5"/>
  <c r="T255" i="5"/>
  <c r="T277" i="5"/>
  <c r="T308" i="5"/>
  <c r="T237" i="5"/>
  <c r="T288" i="5"/>
  <c r="T311" i="5"/>
  <c r="T328" i="5"/>
  <c r="T253" i="5"/>
  <c r="T268" i="5"/>
  <c r="T290" i="5"/>
  <c r="U290" i="5" s="1"/>
  <c r="T305" i="5"/>
  <c r="T326" i="5"/>
  <c r="T354" i="5"/>
  <c r="T286" i="5"/>
  <c r="T337" i="5"/>
  <c r="T362" i="5"/>
  <c r="V362" i="5" s="1"/>
  <c r="T387" i="5"/>
  <c r="T405" i="5"/>
  <c r="T424" i="5"/>
  <c r="T247" i="5"/>
  <c r="T371" i="5"/>
  <c r="T385" i="5"/>
  <c r="T409" i="5"/>
  <c r="T272" i="5"/>
  <c r="T340" i="5"/>
  <c r="T21" i="5"/>
  <c r="T45" i="5"/>
  <c r="T49" i="5"/>
  <c r="T23" i="5"/>
  <c r="T65" i="5"/>
  <c r="T71" i="5"/>
  <c r="T78" i="5"/>
  <c r="T97" i="5"/>
  <c r="T72" i="5"/>
  <c r="T110" i="5"/>
  <c r="T132" i="5"/>
  <c r="T103" i="5"/>
  <c r="T129" i="5"/>
  <c r="T104" i="5"/>
  <c r="T145" i="5"/>
  <c r="T167" i="5"/>
  <c r="T111" i="5"/>
  <c r="T184" i="5"/>
  <c r="T179" i="5"/>
  <c r="T198" i="5"/>
  <c r="T202" i="5"/>
  <c r="T220" i="5"/>
  <c r="T144" i="5"/>
  <c r="T217" i="5"/>
  <c r="T168" i="5"/>
  <c r="T219" i="5"/>
  <c r="T153" i="5"/>
  <c r="T257" i="5"/>
  <c r="T278" i="5"/>
  <c r="T314" i="5"/>
  <c r="T244" i="5"/>
  <c r="T291" i="5"/>
  <c r="T313" i="5"/>
  <c r="V313" i="5" s="1"/>
  <c r="T160" i="5"/>
  <c r="T256" i="5"/>
  <c r="T269" i="5"/>
  <c r="T296" i="5"/>
  <c r="T307" i="5"/>
  <c r="T330" i="5"/>
  <c r="T262" i="5"/>
  <c r="T309" i="5"/>
  <c r="T342" i="5"/>
  <c r="U342" i="5" s="1"/>
  <c r="T366" i="5"/>
  <c r="T390" i="5"/>
  <c r="T410" i="5"/>
  <c r="T433" i="5"/>
  <c r="T297" i="5"/>
  <c r="T372" i="5"/>
  <c r="U372" i="5" s="1"/>
  <c r="T389" i="5"/>
  <c r="T418" i="5"/>
  <c r="T275" i="5"/>
  <c r="U275" i="5" s="1"/>
  <c r="T353" i="5"/>
  <c r="T373" i="5"/>
  <c r="T392" i="5"/>
  <c r="T414" i="5"/>
  <c r="T53" i="5"/>
  <c r="T25" i="5"/>
  <c r="T141" i="5"/>
  <c r="T125" i="5"/>
  <c r="T186" i="5"/>
  <c r="T166" i="5"/>
  <c r="T248" i="5"/>
  <c r="T258" i="5"/>
  <c r="T259" i="5"/>
  <c r="T343" i="5"/>
  <c r="T367" i="5"/>
  <c r="T317" i="5"/>
  <c r="T319" i="5"/>
  <c r="T388" i="5"/>
  <c r="T357" i="5"/>
  <c r="T441" i="5"/>
  <c r="T466" i="5"/>
  <c r="T507" i="5"/>
  <c r="T533" i="5"/>
  <c r="T431" i="5"/>
  <c r="T464" i="5"/>
  <c r="U464" i="5" s="1"/>
  <c r="T485" i="5"/>
  <c r="T511" i="5"/>
  <c r="T333" i="5"/>
  <c r="T377" i="5"/>
  <c r="T416" i="5"/>
  <c r="T446" i="5"/>
  <c r="T463" i="5"/>
  <c r="T482" i="5"/>
  <c r="T495" i="5"/>
  <c r="U495" i="5" s="1"/>
  <c r="T538" i="5"/>
  <c r="T338" i="5"/>
  <c r="T484" i="5"/>
  <c r="U484" i="5" s="1"/>
  <c r="T540" i="5"/>
  <c r="T550" i="5"/>
  <c r="T412" i="5"/>
  <c r="U412" i="5" s="1"/>
  <c r="T514" i="5"/>
  <c r="T551" i="5"/>
  <c r="T449" i="5"/>
  <c r="T549" i="5"/>
  <c r="T445" i="5"/>
  <c r="T509" i="5"/>
  <c r="U509" i="5" s="1"/>
  <c r="T28" i="5"/>
  <c r="T50" i="5"/>
  <c r="T95" i="5"/>
  <c r="T112" i="5"/>
  <c r="T177" i="5"/>
  <c r="T206" i="5"/>
  <c r="T232" i="5"/>
  <c r="T265" i="5"/>
  <c r="T292" i="5"/>
  <c r="T281" i="5"/>
  <c r="T267" i="5"/>
  <c r="T393" i="5"/>
  <c r="T376" i="5"/>
  <c r="T355" i="5"/>
  <c r="T402" i="5"/>
  <c r="T370" i="5"/>
  <c r="T447" i="5"/>
  <c r="T481" i="5"/>
  <c r="T508" i="5"/>
  <c r="U508" i="5" s="1"/>
  <c r="T537" i="5"/>
  <c r="T453" i="5"/>
  <c r="T471" i="5"/>
  <c r="T496" i="5"/>
  <c r="T517" i="5"/>
  <c r="T358" i="5"/>
  <c r="T395" i="5"/>
  <c r="T425" i="5"/>
  <c r="T452" i="5"/>
  <c r="T467" i="5"/>
  <c r="T487" i="5"/>
  <c r="T506" i="5"/>
  <c r="T556" i="5"/>
  <c r="T346" i="5"/>
  <c r="T529" i="5"/>
  <c r="T542" i="5"/>
  <c r="T541" i="5"/>
  <c r="T426" i="5"/>
  <c r="T518" i="5"/>
  <c r="T553" i="5"/>
  <c r="V553" i="5" s="1"/>
  <c r="T528" i="5"/>
  <c r="T558" i="5"/>
  <c r="T476" i="5"/>
  <c r="T520" i="5"/>
  <c r="T27" i="5"/>
  <c r="T55" i="5"/>
  <c r="T88" i="5"/>
  <c r="T142" i="5"/>
  <c r="T140" i="5"/>
  <c r="T208" i="5"/>
  <c r="T191" i="5"/>
  <c r="T289" i="5"/>
  <c r="T323" i="5"/>
  <c r="T298" i="5"/>
  <c r="T312" i="5"/>
  <c r="U312" i="5" s="1"/>
  <c r="T420" i="5"/>
  <c r="T391" i="5"/>
  <c r="T365" i="5"/>
  <c r="T408" i="5"/>
  <c r="T384" i="5"/>
  <c r="U384" i="5" s="1"/>
  <c r="T451" i="5"/>
  <c r="V451" i="5" s="1"/>
  <c r="T491" i="5"/>
  <c r="T515" i="5"/>
  <c r="T351" i="5"/>
  <c r="T454" i="5"/>
  <c r="U454" i="5" s="1"/>
  <c r="T474" i="5"/>
  <c r="T501" i="5"/>
  <c r="T519" i="5"/>
  <c r="T360" i="5"/>
  <c r="T401" i="5"/>
  <c r="T434" i="5"/>
  <c r="T455" i="5"/>
  <c r="T473" i="5"/>
  <c r="U473" i="5" s="1"/>
  <c r="T489" i="5"/>
  <c r="T510" i="5"/>
  <c r="T560" i="5"/>
  <c r="T352" i="5"/>
  <c r="T534" i="5"/>
  <c r="T546" i="5"/>
  <c r="T544" i="5"/>
  <c r="T450" i="5"/>
  <c r="T527" i="5"/>
  <c r="T555" i="5"/>
  <c r="T530" i="5"/>
  <c r="T397" i="5"/>
  <c r="T479" i="5"/>
  <c r="T523" i="5"/>
  <c r="T119" i="5"/>
  <c r="T327" i="5"/>
  <c r="T436" i="5"/>
  <c r="T432" i="5"/>
  <c r="T427" i="5"/>
  <c r="T521" i="5"/>
  <c r="T461" i="5"/>
  <c r="U461" i="5" s="1"/>
  <c r="T304" i="5"/>
  <c r="T394" i="5"/>
  <c r="T547" i="5"/>
  <c r="T36" i="5"/>
  <c r="T154" i="5"/>
  <c r="T226" i="5"/>
  <c r="T162" i="5"/>
  <c r="U162" i="5" s="1"/>
  <c r="T460" i="5"/>
  <c r="T459" i="5"/>
  <c r="T374" i="5"/>
  <c r="V374" i="5" s="1"/>
  <c r="T477" i="5"/>
  <c r="T444" i="5"/>
  <c r="T497" i="5"/>
  <c r="T423" i="5"/>
  <c r="T74" i="5"/>
  <c r="T227" i="5"/>
  <c r="T310" i="5"/>
  <c r="T379" i="5"/>
  <c r="T494" i="5"/>
  <c r="T483" i="5"/>
  <c r="T413" i="5"/>
  <c r="T492" i="5"/>
  <c r="T539" i="5"/>
  <c r="V539" i="5" s="1"/>
  <c r="T543" i="5"/>
  <c r="T488" i="5"/>
  <c r="T93" i="5"/>
  <c r="T525" i="5"/>
  <c r="T548" i="5"/>
  <c r="T230" i="5"/>
  <c r="T503" i="5"/>
  <c r="T419" i="5"/>
  <c r="T350" i="5"/>
  <c r="T435" i="5"/>
  <c r="AU61" i="5"/>
  <c r="V417" i="5"/>
  <c r="U417" i="5"/>
  <c r="T531" i="5"/>
  <c r="AT7" i="5"/>
  <c r="B5" i="8"/>
  <c r="E28" i="2"/>
  <c r="AZ27" i="5"/>
  <c r="AZ60" i="5"/>
  <c r="AZ66" i="5"/>
  <c r="AZ69" i="5"/>
  <c r="AZ98" i="5"/>
  <c r="AZ140" i="5"/>
  <c r="AZ135" i="5"/>
  <c r="AZ148" i="5"/>
  <c r="AZ164" i="5"/>
  <c r="AZ173" i="5"/>
  <c r="AZ211" i="5"/>
  <c r="AZ212" i="5"/>
  <c r="AZ200" i="5"/>
  <c r="AZ264" i="5"/>
  <c r="AZ318" i="5"/>
  <c r="AZ305" i="5"/>
  <c r="AZ265" i="5"/>
  <c r="AZ324" i="5"/>
  <c r="AZ299" i="5"/>
  <c r="AZ22" i="5"/>
  <c r="AZ35" i="5"/>
  <c r="AZ55" i="5"/>
  <c r="AZ59" i="5"/>
  <c r="AZ95" i="5"/>
  <c r="AZ121" i="5"/>
  <c r="AZ126" i="5"/>
  <c r="AZ139" i="5"/>
  <c r="AZ150" i="5"/>
  <c r="AZ158" i="5"/>
  <c r="AZ190" i="5"/>
  <c r="AZ196" i="5"/>
  <c r="AZ184" i="5"/>
  <c r="AZ246" i="5"/>
  <c r="AZ303" i="5"/>
  <c r="AZ290" i="5"/>
  <c r="AZ255" i="5"/>
  <c r="AZ315" i="5"/>
  <c r="AZ218" i="5"/>
  <c r="AZ393" i="5"/>
  <c r="AZ40" i="5"/>
  <c r="AZ50" i="5"/>
  <c r="AZ24" i="5"/>
  <c r="AZ23" i="5"/>
  <c r="AZ91" i="5"/>
  <c r="AZ110" i="5"/>
  <c r="AZ123" i="5"/>
  <c r="AZ127" i="5"/>
  <c r="AZ116" i="5"/>
  <c r="AZ152" i="5"/>
  <c r="AZ171" i="5"/>
  <c r="AZ194" i="5"/>
  <c r="AZ161" i="5"/>
  <c r="AZ220" i="5"/>
  <c r="AZ296" i="5"/>
  <c r="AZ278" i="5"/>
  <c r="AZ249" i="5"/>
  <c r="AZ312" i="5"/>
  <c r="B59" i="5"/>
  <c r="G126" i="2"/>
  <c r="B148" i="2"/>
  <c r="V82" i="5"/>
  <c r="V136" i="5"/>
  <c r="V203" i="5"/>
  <c r="U300" i="5"/>
  <c r="V24" i="5"/>
  <c r="V146" i="5"/>
  <c r="U199" i="5"/>
  <c r="U301" i="5"/>
  <c r="V342" i="5"/>
  <c r="U396" i="5"/>
  <c r="V464" i="5"/>
  <c r="V461" i="5"/>
  <c r="V509" i="5"/>
  <c r="V91" i="5"/>
  <c r="U183" i="5"/>
  <c r="U313" i="5"/>
  <c r="V454" i="5"/>
  <c r="U539" i="5"/>
  <c r="U63" i="5"/>
  <c r="V231" i="5"/>
  <c r="V495" i="5"/>
  <c r="U89" i="5"/>
  <c r="V290" i="5"/>
  <c r="U451" i="5"/>
  <c r="U32" i="5"/>
  <c r="U134" i="5"/>
  <c r="V279" i="5"/>
  <c r="V473" i="5"/>
  <c r="B75" i="5"/>
  <c r="AJ56" i="5" s="1"/>
  <c r="R60" i="4"/>
  <c r="R56" i="4"/>
  <c r="R52" i="4"/>
  <c r="R48" i="4"/>
  <c r="R44" i="4"/>
  <c r="R36" i="4"/>
  <c r="R34" i="4"/>
  <c r="R32" i="4"/>
  <c r="R30" i="4"/>
  <c r="R13" i="4"/>
  <c r="R11" i="4"/>
  <c r="R9" i="4"/>
  <c r="R81" i="4"/>
  <c r="R77" i="4"/>
  <c r="R73" i="4"/>
  <c r="R69" i="4"/>
  <c r="R65" i="4"/>
  <c r="R61" i="4"/>
  <c r="R57" i="4"/>
  <c r="R53" i="4"/>
  <c r="R49" i="4"/>
  <c r="R45" i="4"/>
  <c r="R41" i="4"/>
  <c r="R39" i="4"/>
  <c r="R28" i="4"/>
  <c r="R26" i="4"/>
  <c r="R24" i="4"/>
  <c r="R22" i="4"/>
  <c r="R20" i="4"/>
  <c r="R18" i="4"/>
  <c r="R16" i="4"/>
  <c r="R14" i="4"/>
  <c r="B22" i="2"/>
  <c r="H50" i="1"/>
  <c r="B130" i="2"/>
  <c r="B131" i="2"/>
  <c r="AS10" i="4"/>
  <c r="AS34" i="4"/>
  <c r="AS46" i="4"/>
  <c r="AS54" i="4"/>
  <c r="AS58" i="4"/>
  <c r="AS66" i="4"/>
  <c r="AS74" i="4"/>
  <c r="AS82" i="4"/>
  <c r="AS90" i="4"/>
  <c r="AS98" i="4"/>
  <c r="AS102" i="4"/>
  <c r="AS110" i="4"/>
  <c r="AS118" i="4"/>
  <c r="AS126" i="4"/>
  <c r="AS134" i="4"/>
  <c r="AS142" i="4"/>
  <c r="AS150" i="4"/>
  <c r="AS7" i="4"/>
  <c r="AS148" i="4"/>
  <c r="AS11" i="4"/>
  <c r="AS15" i="4"/>
  <c r="AS19" i="4"/>
  <c r="AS23" i="4"/>
  <c r="AS27" i="4"/>
  <c r="AS31" i="4"/>
  <c r="AS35" i="4"/>
  <c r="AS39" i="4"/>
  <c r="AS43" i="4"/>
  <c r="AS47" i="4"/>
  <c r="AS51" i="4"/>
  <c r="AS55" i="4"/>
  <c r="AS59" i="4"/>
  <c r="AS63" i="4"/>
  <c r="AS67" i="4"/>
  <c r="AS71" i="4"/>
  <c r="AS75" i="4"/>
  <c r="AS79" i="4"/>
  <c r="AS83" i="4"/>
  <c r="AS87" i="4"/>
  <c r="AS91" i="4"/>
  <c r="AS95" i="4"/>
  <c r="AS99" i="4"/>
  <c r="AS103" i="4"/>
  <c r="AS107" i="4"/>
  <c r="AS111" i="4"/>
  <c r="AS115" i="4"/>
  <c r="AS119" i="4"/>
  <c r="AS123" i="4"/>
  <c r="AS127" i="4"/>
  <c r="AS131" i="4"/>
  <c r="AS135" i="4"/>
  <c r="AS139" i="4"/>
  <c r="AS143" i="4"/>
  <c r="AS147" i="4"/>
  <c r="AS151" i="4"/>
  <c r="AS155" i="4"/>
  <c r="AS12" i="4"/>
  <c r="AS16" i="4"/>
  <c r="AS20" i="4"/>
  <c r="AS24" i="4"/>
  <c r="AS28" i="4"/>
  <c r="AS36" i="4"/>
  <c r="AS40" i="4"/>
  <c r="AS48" i="4"/>
  <c r="AS56" i="4"/>
  <c r="AS60" i="4"/>
  <c r="AS68" i="4"/>
  <c r="AS76" i="4"/>
  <c r="AS84" i="4"/>
  <c r="AS88" i="4"/>
  <c r="AS96" i="4"/>
  <c r="AS104" i="4"/>
  <c r="AS108" i="4"/>
  <c r="AS116" i="4"/>
  <c r="AS124" i="4"/>
  <c r="AS128" i="4"/>
  <c r="AS136" i="4"/>
  <c r="AS152" i="4"/>
  <c r="AS8" i="4"/>
  <c r="AS32" i="4"/>
  <c r="AS44" i="4"/>
  <c r="AS52" i="4"/>
  <c r="AS64" i="4"/>
  <c r="AS72" i="4"/>
  <c r="AS80" i="4"/>
  <c r="AS92" i="4"/>
  <c r="AS100" i="4"/>
  <c r="AS112" i="4"/>
  <c r="AS120" i="4"/>
  <c r="AS132" i="4"/>
  <c r="AS144" i="4"/>
  <c r="AS9" i="4"/>
  <c r="AS13" i="4"/>
  <c r="AS17" i="4"/>
  <c r="AS21" i="4"/>
  <c r="AS25" i="4"/>
  <c r="AS29" i="4"/>
  <c r="AS33" i="4"/>
  <c r="AS37" i="4"/>
  <c r="AS41" i="4"/>
  <c r="AS45" i="4"/>
  <c r="AS49" i="4"/>
  <c r="AS53" i="4"/>
  <c r="AS57" i="4"/>
  <c r="AS61" i="4"/>
  <c r="AS65" i="4"/>
  <c r="AS69" i="4"/>
  <c r="AS73" i="4"/>
  <c r="AS77" i="4"/>
  <c r="AS81" i="4"/>
  <c r="AS85" i="4"/>
  <c r="AS89" i="4"/>
  <c r="AS93" i="4"/>
  <c r="AS97" i="4"/>
  <c r="AS101" i="4"/>
  <c r="AS105" i="4"/>
  <c r="AS109" i="4"/>
  <c r="AS113" i="4"/>
  <c r="AS117" i="4"/>
  <c r="AS121" i="4"/>
  <c r="AS125" i="4"/>
  <c r="AS129" i="4"/>
  <c r="AS133" i="4"/>
  <c r="AS137" i="4"/>
  <c r="AS141" i="4"/>
  <c r="AS145" i="4"/>
  <c r="AS149" i="4"/>
  <c r="AS153" i="4"/>
  <c r="AS157" i="4"/>
  <c r="AS14" i="4"/>
  <c r="AS18" i="4"/>
  <c r="AS22" i="4"/>
  <c r="AS26" i="4"/>
  <c r="AS30" i="4"/>
  <c r="AS38" i="4"/>
  <c r="AS42" i="4"/>
  <c r="AS50" i="4"/>
  <c r="AS62" i="4"/>
  <c r="AS70" i="4"/>
  <c r="AS78" i="4"/>
  <c r="AS86" i="4"/>
  <c r="AS94" i="4"/>
  <c r="AS106" i="4"/>
  <c r="AS114" i="4"/>
  <c r="AS122" i="4"/>
  <c r="AS130" i="4"/>
  <c r="AS138" i="4"/>
  <c r="AS146" i="4"/>
  <c r="AS154" i="4"/>
  <c r="AS140" i="4"/>
  <c r="AS156" i="4"/>
  <c r="AJ84" i="5" l="1"/>
  <c r="AJ147" i="5"/>
  <c r="AT38" i="5"/>
  <c r="AT44" i="5"/>
  <c r="AT32" i="5"/>
  <c r="AV32" i="5" s="1"/>
  <c r="AT328" i="5"/>
  <c r="AT276" i="5"/>
  <c r="AT314" i="5"/>
  <c r="AT257" i="5"/>
  <c r="AT221" i="5"/>
  <c r="AT211" i="5"/>
  <c r="AT176" i="5"/>
  <c r="AT160" i="5"/>
  <c r="AT131" i="5"/>
  <c r="AT135" i="5"/>
  <c r="AT118" i="5"/>
  <c r="AT141" i="5"/>
  <c r="AT79" i="5"/>
  <c r="AT78" i="5"/>
  <c r="AT23" i="5"/>
  <c r="AT25" i="5"/>
  <c r="AT335" i="5"/>
  <c r="AT259" i="5"/>
  <c r="AT297" i="5"/>
  <c r="AT205" i="5"/>
  <c r="AT280" i="5"/>
  <c r="AT238" i="5"/>
  <c r="AT243" i="5"/>
  <c r="AT234" i="5"/>
  <c r="AT189" i="5"/>
  <c r="AT181" i="5"/>
  <c r="AT173" i="5"/>
  <c r="AT138" i="5"/>
  <c r="AT126" i="5"/>
  <c r="AT83" i="5"/>
  <c r="AT87" i="5"/>
  <c r="AT22" i="5"/>
  <c r="AT64" i="5"/>
  <c r="AT31" i="5"/>
  <c r="AT36" i="5"/>
  <c r="AT24" i="5"/>
  <c r="AT28" i="5"/>
  <c r="AT316" i="5"/>
  <c r="AT250" i="5"/>
  <c r="AT301" i="5"/>
  <c r="AT251" i="5"/>
  <c r="AT195" i="5"/>
  <c r="AT164" i="5"/>
  <c r="AT199" i="5"/>
  <c r="AT133" i="5"/>
  <c r="AT187" i="5"/>
  <c r="AT110" i="5"/>
  <c r="AT92" i="5"/>
  <c r="AT121" i="5"/>
  <c r="AT103" i="5"/>
  <c r="AT55" i="5"/>
  <c r="AT65" i="5"/>
  <c r="AT47" i="5"/>
  <c r="AT307" i="5"/>
  <c r="AT200" i="5"/>
  <c r="AT282" i="5"/>
  <c r="AT322" i="5"/>
  <c r="AT265" i="5"/>
  <c r="AT230" i="5"/>
  <c r="AT224" i="5"/>
  <c r="AT215" i="5"/>
  <c r="AT172" i="5"/>
  <c r="AT163" i="5"/>
  <c r="AT150" i="5"/>
  <c r="AT122" i="5"/>
  <c r="AT71" i="5"/>
  <c r="AT88" i="5"/>
  <c r="AT90" i="5"/>
  <c r="AT63" i="5"/>
  <c r="AT53" i="5"/>
  <c r="AT21" i="5"/>
  <c r="AT37" i="5"/>
  <c r="AT42" i="5"/>
  <c r="AT33" i="5"/>
  <c r="AT299" i="5"/>
  <c r="AT210" i="5"/>
  <c r="AT283" i="5"/>
  <c r="AT240" i="5"/>
  <c r="AT159" i="5"/>
  <c r="AT239" i="5"/>
  <c r="AT190" i="5"/>
  <c r="AT182" i="5"/>
  <c r="AT177" i="5"/>
  <c r="AT139" i="5"/>
  <c r="AT142" i="5"/>
  <c r="AT100" i="5"/>
  <c r="AT96" i="5"/>
  <c r="AT69" i="5"/>
  <c r="AT41" i="5"/>
  <c r="AT34" i="5"/>
  <c r="AT291" i="5"/>
  <c r="AT327" i="5"/>
  <c r="AT270" i="5"/>
  <c r="AT312" i="5"/>
  <c r="AT255" i="5"/>
  <c r="AT217" i="5"/>
  <c r="AT209" i="5"/>
  <c r="AT154" i="5"/>
  <c r="AT157" i="5"/>
  <c r="AT128" i="5"/>
  <c r="AT129" i="5"/>
  <c r="AT109" i="5"/>
  <c r="AT136" i="5"/>
  <c r="AT75" i="5"/>
  <c r="AT77" i="5"/>
  <c r="AT20" i="5"/>
  <c r="AT51" i="5"/>
  <c r="AT8" i="5"/>
  <c r="AT49" i="5"/>
  <c r="AT27" i="5"/>
  <c r="AT45" i="5"/>
  <c r="AT57" i="5"/>
  <c r="AT58" i="5"/>
  <c r="AT70" i="5"/>
  <c r="AT81" i="5"/>
  <c r="AT97" i="5"/>
  <c r="AT82" i="5"/>
  <c r="AT113" i="5"/>
  <c r="AT143" i="5"/>
  <c r="AT148" i="5"/>
  <c r="AT119" i="5"/>
  <c r="AT146" i="5"/>
  <c r="AT144" i="5"/>
  <c r="AT178" i="5"/>
  <c r="AT149" i="5"/>
  <c r="AT184" i="5"/>
  <c r="AT162" i="5"/>
  <c r="AT194" i="5"/>
  <c r="AT193" i="5"/>
  <c r="AT245" i="5"/>
  <c r="AT216" i="5"/>
  <c r="AT166" i="5"/>
  <c r="AT222" i="5"/>
  <c r="AT214" i="5"/>
  <c r="AT260" i="5"/>
  <c r="AT287" i="5"/>
  <c r="AT315" i="5"/>
  <c r="AT219" i="5"/>
  <c r="AT278" i="5"/>
  <c r="AT304" i="5"/>
  <c r="AT117" i="5"/>
  <c r="AT261" i="5"/>
  <c r="AT285" i="5"/>
  <c r="AT303" i="5"/>
  <c r="AT336" i="5"/>
  <c r="AT345" i="5"/>
  <c r="AT356" i="5"/>
  <c r="AT284" i="5"/>
  <c r="AT341" i="5"/>
  <c r="AT378" i="5"/>
  <c r="AT397" i="5"/>
  <c r="AT403" i="5"/>
  <c r="AT421" i="5"/>
  <c r="AT436" i="5"/>
  <c r="AT262" i="5"/>
  <c r="AT321" i="5"/>
  <c r="AT340" i="5"/>
  <c r="AT368" i="5"/>
  <c r="AT386" i="5"/>
  <c r="AT396" i="5"/>
  <c r="AT410" i="5"/>
  <c r="AT347" i="5"/>
  <c r="AT360" i="5"/>
  <c r="AT375" i="5"/>
  <c r="AT402" i="5"/>
  <c r="AT417" i="5"/>
  <c r="AT275" i="5"/>
  <c r="AT346" i="5"/>
  <c r="AT412" i="5"/>
  <c r="AT438" i="5"/>
  <c r="AT451" i="5"/>
  <c r="AT487" i="5"/>
  <c r="AT494" i="5"/>
  <c r="AT510" i="5"/>
  <c r="AT530" i="5"/>
  <c r="AT370" i="5"/>
  <c r="AT425" i="5"/>
  <c r="AT447" i="5"/>
  <c r="AT460" i="5"/>
  <c r="AT483" i="5"/>
  <c r="AT496" i="5"/>
  <c r="AT516" i="5"/>
  <c r="AT337" i="5"/>
  <c r="AT439" i="5"/>
  <c r="AT459" i="5"/>
  <c r="AT474" i="5"/>
  <c r="AT486" i="5"/>
  <c r="AT507" i="5"/>
  <c r="AT525" i="5"/>
  <c r="AT548" i="5"/>
  <c r="AT553" i="5"/>
  <c r="AT380" i="5"/>
  <c r="AT473" i="5"/>
  <c r="AT492" i="5"/>
  <c r="AT40" i="5"/>
  <c r="AT60" i="5"/>
  <c r="AT59" i="5"/>
  <c r="AT73" i="5"/>
  <c r="AT86" i="5"/>
  <c r="AT98" i="5"/>
  <c r="AT85" i="5"/>
  <c r="AT114" i="5"/>
  <c r="AT145" i="5"/>
  <c r="AT151" i="5"/>
  <c r="AT120" i="5"/>
  <c r="AT152" i="5"/>
  <c r="AT147" i="5"/>
  <c r="AT179" i="5"/>
  <c r="AT161" i="5"/>
  <c r="AT95" i="5"/>
  <c r="AT167" i="5"/>
  <c r="AT197" i="5"/>
  <c r="AT208" i="5"/>
  <c r="AT247" i="5"/>
  <c r="AT220" i="5"/>
  <c r="AT188" i="5"/>
  <c r="AT225" i="5"/>
  <c r="AT228" i="5"/>
  <c r="AT263" i="5"/>
  <c r="AT293" i="5"/>
  <c r="AT320" i="5"/>
  <c r="AT241" i="5"/>
  <c r="AT279" i="5"/>
  <c r="AT308" i="5"/>
  <c r="AT196" i="5"/>
  <c r="AT264" i="5"/>
  <c r="AT288" i="5"/>
  <c r="AT313" i="5"/>
  <c r="AT338" i="5"/>
  <c r="AT348" i="5"/>
  <c r="AT359" i="5"/>
  <c r="AT290" i="5"/>
  <c r="AT364" i="5"/>
  <c r="AT382" i="5"/>
  <c r="AT398" i="5"/>
  <c r="AT406" i="5"/>
  <c r="AT424" i="5"/>
  <c r="AT437" i="5"/>
  <c r="AT267" i="5"/>
  <c r="AT326" i="5"/>
  <c r="AT355" i="5"/>
  <c r="AT372" i="5"/>
  <c r="AT387" i="5"/>
  <c r="AT405" i="5"/>
  <c r="AT202" i="5"/>
  <c r="AT351" i="5"/>
  <c r="AT361" i="5"/>
  <c r="AT383" i="5"/>
  <c r="AT404" i="5"/>
  <c r="AT418" i="5"/>
  <c r="AT305" i="5"/>
  <c r="AT350" i="5"/>
  <c r="AT419" i="5"/>
  <c r="AT443" i="5"/>
  <c r="AT466" i="5"/>
  <c r="AT488" i="5"/>
  <c r="AT499" i="5"/>
  <c r="AT513" i="5"/>
  <c r="AT294" i="5"/>
  <c r="AT384" i="5"/>
  <c r="AT48" i="5"/>
  <c r="AT67" i="5"/>
  <c r="AT26" i="5"/>
  <c r="AT72" i="5"/>
  <c r="AT94" i="5"/>
  <c r="AT105" i="5"/>
  <c r="AT101" i="5"/>
  <c r="AT127" i="5"/>
  <c r="AT104" i="5"/>
  <c r="AT99" i="5"/>
  <c r="AT134" i="5"/>
  <c r="AT116" i="5"/>
  <c r="AT158" i="5"/>
  <c r="AT112" i="5"/>
  <c r="AT169" i="5"/>
  <c r="AT140" i="5"/>
  <c r="AT185" i="5"/>
  <c r="AT201" i="5"/>
  <c r="AT223" i="5"/>
  <c r="AT192" i="5"/>
  <c r="AT232" i="5"/>
  <c r="AT212" i="5"/>
  <c r="AT235" i="5"/>
  <c r="AT252" i="5"/>
  <c r="AT274" i="5"/>
  <c r="AT306" i="5"/>
  <c r="AT332" i="5"/>
  <c r="AT258" i="5"/>
  <c r="AT289" i="5"/>
  <c r="AT319" i="5"/>
  <c r="AT244" i="5"/>
  <c r="AT269" i="5"/>
  <c r="AT296" i="5"/>
  <c r="AT318" i="5"/>
  <c r="AT342" i="5"/>
  <c r="AT349" i="5"/>
  <c r="AT174" i="5"/>
  <c r="AT310" i="5"/>
  <c r="AT366" i="5"/>
  <c r="AT388" i="5"/>
  <c r="AT400" i="5"/>
  <c r="AT415" i="5"/>
  <c r="AT429" i="5"/>
  <c r="AT180" i="5"/>
  <c r="AT268" i="5"/>
  <c r="AT329" i="5"/>
  <c r="AT362" i="5"/>
  <c r="AT376" i="5"/>
  <c r="AT391" i="5"/>
  <c r="AT407" i="5"/>
  <c r="AT317" i="5"/>
  <c r="AT352" i="5"/>
  <c r="AT369" i="5"/>
  <c r="AT385" i="5"/>
  <c r="AT411" i="5"/>
  <c r="AT168" i="5"/>
  <c r="AT334" i="5"/>
  <c r="AT371" i="5"/>
  <c r="AT427" i="5"/>
  <c r="AT445" i="5"/>
  <c r="AT469" i="5"/>
  <c r="AT489" i="5"/>
  <c r="AT502" i="5"/>
  <c r="AT518" i="5"/>
  <c r="AT331" i="5"/>
  <c r="AT408" i="5"/>
  <c r="AT435" i="5"/>
  <c r="AT456" i="5"/>
  <c r="AT472" i="5"/>
  <c r="AT490" i="5"/>
  <c r="AT501" i="5"/>
  <c r="AT272" i="5"/>
  <c r="AT399" i="5"/>
  <c r="AT453" i="5"/>
  <c r="AT468" i="5"/>
  <c r="AT478" i="5"/>
  <c r="AT504" i="5"/>
  <c r="AT514" i="5"/>
  <c r="AT543" i="5"/>
  <c r="AT550" i="5"/>
  <c r="AT559" i="5"/>
  <c r="AT416" i="5"/>
  <c r="AT479" i="5"/>
  <c r="AT509" i="5"/>
  <c r="AT50" i="5"/>
  <c r="AT74" i="5"/>
  <c r="AT124" i="5"/>
  <c r="AT171" i="5"/>
  <c r="AT186" i="5"/>
  <c r="AT242" i="5"/>
  <c r="AT277" i="5"/>
  <c r="AT292" i="5"/>
  <c r="AT300" i="5"/>
  <c r="AT231" i="5"/>
  <c r="AT401" i="5"/>
  <c r="AT298" i="5"/>
  <c r="AT393" i="5"/>
  <c r="AT373" i="5"/>
  <c r="AT344" i="5"/>
  <c r="AT481" i="5"/>
  <c r="AT357" i="5"/>
  <c r="AT448" i="5"/>
  <c r="AT485" i="5"/>
  <c r="AT517" i="5"/>
  <c r="AT452" i="5"/>
  <c r="AT477" i="5"/>
  <c r="AT512" i="5"/>
  <c r="AT549" i="5"/>
  <c r="AT392" i="5"/>
  <c r="AT506" i="5"/>
  <c r="AT539" i="5"/>
  <c r="AT554" i="5"/>
  <c r="AT465" i="5"/>
  <c r="AT526" i="5"/>
  <c r="AT555" i="5"/>
  <c r="AT358" i="5"/>
  <c r="AT395" i="5"/>
  <c r="AT430" i="5"/>
  <c r="AT467" i="5"/>
  <c r="AT537" i="5"/>
  <c r="AT440" i="5"/>
  <c r="AT500" i="5"/>
  <c r="AT534" i="5"/>
  <c r="AT68" i="5"/>
  <c r="AT107" i="5"/>
  <c r="AT106" i="5"/>
  <c r="AT125" i="5"/>
  <c r="AT206" i="5"/>
  <c r="AT213" i="5"/>
  <c r="AT309" i="5"/>
  <c r="AT325" i="5"/>
  <c r="AT323" i="5"/>
  <c r="AT330" i="5"/>
  <c r="AT420" i="5"/>
  <c r="AT333" i="5"/>
  <c r="AT409" i="5"/>
  <c r="AT390" i="5"/>
  <c r="AT379" i="5"/>
  <c r="AT493" i="5"/>
  <c r="AT422" i="5"/>
  <c r="AT458" i="5"/>
  <c r="AT491" i="5"/>
  <c r="AT302" i="5"/>
  <c r="AT457" i="5"/>
  <c r="AT480" i="5"/>
  <c r="AT524" i="5"/>
  <c r="AT551" i="5"/>
  <c r="AT463" i="5"/>
  <c r="AT520" i="5"/>
  <c r="AT541" i="5"/>
  <c r="AT441" i="5"/>
  <c r="AT484" i="5"/>
  <c r="AT533" i="5"/>
  <c r="AT532" i="5"/>
  <c r="AT365" i="5"/>
  <c r="AT413" i="5"/>
  <c r="AT432" i="5"/>
  <c r="AT511" i="5"/>
  <c r="AT556" i="5"/>
  <c r="AT446" i="5"/>
  <c r="AT503" i="5"/>
  <c r="AT538" i="5"/>
  <c r="AT80" i="5"/>
  <c r="AT108" i="5"/>
  <c r="AT137" i="5"/>
  <c r="AT170" i="5"/>
  <c r="AT227" i="5"/>
  <c r="AT236" i="5"/>
  <c r="AT203" i="5"/>
  <c r="AT253" i="5"/>
  <c r="AT343" i="5"/>
  <c r="AT374" i="5"/>
  <c r="AT433" i="5"/>
  <c r="AT367" i="5"/>
  <c r="AT339" i="5"/>
  <c r="AT414" i="5"/>
  <c r="AT431" i="5"/>
  <c r="AT508" i="5"/>
  <c r="AT434" i="5"/>
  <c r="AT464" i="5"/>
  <c r="AT497" i="5"/>
  <c r="AT363" i="5"/>
  <c r="AT462" i="5"/>
  <c r="AT498" i="5"/>
  <c r="AT531" i="5"/>
  <c r="AT557" i="5"/>
  <c r="AT476" i="5"/>
  <c r="AT528" i="5"/>
  <c r="AT542" i="5"/>
  <c r="AT444" i="5"/>
  <c r="AT495" i="5"/>
  <c r="AT545" i="5"/>
  <c r="AT536" i="5"/>
  <c r="AT377" i="5"/>
  <c r="AT426" i="5"/>
  <c r="AT454" i="5"/>
  <c r="AT523" i="5"/>
  <c r="AT558" i="5"/>
  <c r="AT449" i="5"/>
  <c r="AT521" i="5"/>
  <c r="AT544" i="5"/>
  <c r="AT76" i="5"/>
  <c r="AT207" i="5"/>
  <c r="AT354" i="5"/>
  <c r="AT353" i="5"/>
  <c r="AT442" i="5"/>
  <c r="AT471" i="5"/>
  <c r="AT482" i="5"/>
  <c r="AT519" i="5"/>
  <c r="AT428" i="5"/>
  <c r="AT470" i="5"/>
  <c r="AT35" i="5"/>
  <c r="AT281" i="5"/>
  <c r="AT522" i="5"/>
  <c r="AT204" i="5"/>
  <c r="AT389" i="5"/>
  <c r="AT132" i="5"/>
  <c r="AT254" i="5"/>
  <c r="AT394" i="5"/>
  <c r="AT256" i="5"/>
  <c r="AT475" i="5"/>
  <c r="AT505" i="5"/>
  <c r="AT535" i="5"/>
  <c r="AT552" i="5"/>
  <c r="AT461" i="5"/>
  <c r="AT527" i="5"/>
  <c r="AT123" i="5"/>
  <c r="AT266" i="5"/>
  <c r="AT226" i="5"/>
  <c r="AT450" i="5"/>
  <c r="AT515" i="5"/>
  <c r="AT546" i="5"/>
  <c r="AT547" i="5"/>
  <c r="AT540" i="5"/>
  <c r="AT529" i="5"/>
  <c r="AT19" i="5"/>
  <c r="AT155" i="5"/>
  <c r="AT381" i="5"/>
  <c r="AT423" i="5"/>
  <c r="AT455" i="5"/>
  <c r="AT560" i="5"/>
  <c r="AV56" i="5"/>
  <c r="AU56" i="5"/>
  <c r="AU46" i="5"/>
  <c r="AU36" i="5"/>
  <c r="AV36" i="5"/>
  <c r="AV37" i="5"/>
  <c r="AU37" i="5"/>
  <c r="AZ7" i="5"/>
  <c r="AZ344" i="5"/>
  <c r="AZ302" i="5"/>
  <c r="AZ227" i="5"/>
  <c r="BB227" i="5" s="1"/>
  <c r="AZ256" i="5"/>
  <c r="BB256" i="5" s="1"/>
  <c r="AZ282" i="5"/>
  <c r="AZ240" i="5"/>
  <c r="AZ235" i="5"/>
  <c r="BB235" i="5" s="1"/>
  <c r="AZ236" i="5"/>
  <c r="BB236" i="5" s="1"/>
  <c r="AZ118" i="5"/>
  <c r="AZ115" i="5"/>
  <c r="AZ169" i="5"/>
  <c r="BA169" i="5" s="1"/>
  <c r="AZ107" i="5"/>
  <c r="BB107" i="5" s="1"/>
  <c r="AZ111" i="5"/>
  <c r="AZ103" i="5"/>
  <c r="AZ83" i="5"/>
  <c r="BA83" i="5" s="1"/>
  <c r="AZ53" i="5"/>
  <c r="BA53" i="5" s="1"/>
  <c r="AZ39" i="5"/>
  <c r="AZ38" i="5"/>
  <c r="AZ8" i="5"/>
  <c r="BA8" i="5" s="1"/>
  <c r="AZ373" i="5"/>
  <c r="BB373" i="5" s="1"/>
  <c r="AZ351" i="5"/>
  <c r="AZ309" i="5"/>
  <c r="AZ241" i="5"/>
  <c r="BA241" i="5" s="1"/>
  <c r="AZ269" i="5"/>
  <c r="BA269" i="5" s="1"/>
  <c r="AZ288" i="5"/>
  <c r="AZ191" i="5"/>
  <c r="AZ242" i="5"/>
  <c r="BB242" i="5" s="1"/>
  <c r="AZ179" i="5"/>
  <c r="BA179" i="5" s="1"/>
  <c r="AZ136" i="5"/>
  <c r="AZ134" i="5"/>
  <c r="AZ177" i="5"/>
  <c r="BA177" i="5" s="1"/>
  <c r="AZ119" i="5"/>
  <c r="BB119" i="5" s="1"/>
  <c r="AZ117" i="5"/>
  <c r="AZ94" i="5"/>
  <c r="AZ89" i="5"/>
  <c r="BB89" i="5" s="1"/>
  <c r="AZ75" i="5"/>
  <c r="BB75" i="5" s="1"/>
  <c r="AZ52" i="5"/>
  <c r="AZ44" i="5"/>
  <c r="AZ34" i="5"/>
  <c r="BA34" i="5" s="1"/>
  <c r="AZ206" i="5"/>
  <c r="BB206" i="5" s="1"/>
  <c r="AZ314" i="5"/>
  <c r="AZ251" i="5"/>
  <c r="AZ284" i="5"/>
  <c r="BA284" i="5" s="1"/>
  <c r="AZ300" i="5"/>
  <c r="BB300" i="5" s="1"/>
  <c r="AZ223" i="5"/>
  <c r="AZ178" i="5"/>
  <c r="AZ195" i="5"/>
  <c r="BA195" i="5" s="1"/>
  <c r="AZ174" i="5"/>
  <c r="BB174" i="5" s="1"/>
  <c r="AZ156" i="5"/>
  <c r="AZ141" i="5"/>
  <c r="AZ137" i="5"/>
  <c r="BA137" i="5" s="1"/>
  <c r="AZ125" i="5"/>
  <c r="BB125" i="5" s="1"/>
  <c r="AZ114" i="5"/>
  <c r="AZ92" i="5"/>
  <c r="AZ47" i="5"/>
  <c r="BB47" i="5" s="1"/>
  <c r="AZ51" i="5"/>
  <c r="BB51" i="5" s="1"/>
  <c r="AZ32" i="5"/>
  <c r="AZ45" i="5"/>
  <c r="AZ326" i="5"/>
  <c r="BA326" i="5" s="1"/>
  <c r="AZ274" i="5"/>
  <c r="BB274" i="5" s="1"/>
  <c r="AZ219" i="5"/>
  <c r="AZ197" i="5"/>
  <c r="AZ132" i="5"/>
  <c r="BB132" i="5" s="1"/>
  <c r="AZ81" i="5"/>
  <c r="BB81" i="5" s="1"/>
  <c r="AZ80" i="5"/>
  <c r="AZ70" i="5"/>
  <c r="AZ68" i="5"/>
  <c r="BA68" i="5" s="1"/>
  <c r="AZ43" i="5"/>
  <c r="BA43" i="5" s="1"/>
  <c r="O12" i="5"/>
  <c r="AZ352" i="5"/>
  <c r="AZ339" i="5"/>
  <c r="BB339" i="5" s="1"/>
  <c r="AZ295" i="5"/>
  <c r="BA295" i="5" s="1"/>
  <c r="AZ188" i="5"/>
  <c r="AZ247" i="5"/>
  <c r="AZ279" i="5"/>
  <c r="BB279" i="5" s="1"/>
  <c r="AZ237" i="5"/>
  <c r="BA237" i="5" s="1"/>
  <c r="AZ226" i="5"/>
  <c r="AZ230" i="5"/>
  <c r="AZ201" i="5"/>
  <c r="BA201" i="5" s="1"/>
  <c r="AZ180" i="5"/>
  <c r="BB180" i="5" s="1"/>
  <c r="AZ163" i="5"/>
  <c r="AZ154" i="5"/>
  <c r="AZ100" i="5"/>
  <c r="BA100" i="5" s="1"/>
  <c r="AZ86" i="5"/>
  <c r="BA86" i="5" s="1"/>
  <c r="AZ84" i="5"/>
  <c r="AZ78" i="5"/>
  <c r="AZ21" i="5"/>
  <c r="BA21" i="5" s="1"/>
  <c r="AZ30" i="5"/>
  <c r="BA30" i="5" s="1"/>
  <c r="AZ369" i="5"/>
  <c r="AZ346" i="5"/>
  <c r="AZ306" i="5"/>
  <c r="BA306" i="5" s="1"/>
  <c r="AZ232" i="5"/>
  <c r="BB232" i="5" s="1"/>
  <c r="AZ262" i="5"/>
  <c r="AZ285" i="5"/>
  <c r="AZ189" i="5"/>
  <c r="BA189" i="5" s="1"/>
  <c r="AZ238" i="5"/>
  <c r="BB238" i="5" s="1"/>
  <c r="AZ243" i="5"/>
  <c r="AZ130" i="5"/>
  <c r="AZ122" i="5"/>
  <c r="BB122" i="5" s="1"/>
  <c r="AZ175" i="5"/>
  <c r="BA175" i="5" s="1"/>
  <c r="AZ113" i="5"/>
  <c r="AZ112" i="5"/>
  <c r="AZ109" i="5"/>
  <c r="BA109" i="5" s="1"/>
  <c r="AZ88" i="5"/>
  <c r="BB88" i="5" s="1"/>
  <c r="AZ71" i="5"/>
  <c r="AZ48" i="5"/>
  <c r="AZ41" i="5"/>
  <c r="BB41" i="5" s="1"/>
  <c r="AZ29" i="5"/>
  <c r="BA29" i="5" s="1"/>
  <c r="AZ332" i="5"/>
  <c r="AZ283" i="5"/>
  <c r="AZ157" i="5"/>
  <c r="BB157" i="5" s="1"/>
  <c r="AZ231" i="5"/>
  <c r="BA231" i="5" s="1"/>
  <c r="AZ221" i="5"/>
  <c r="AZ172" i="5"/>
  <c r="AZ147" i="5"/>
  <c r="BA147" i="5" s="1"/>
  <c r="AZ105" i="5"/>
  <c r="BA105" i="5" s="1"/>
  <c r="AZ322" i="5"/>
  <c r="AZ263" i="5"/>
  <c r="AZ298" i="5"/>
  <c r="BA298" i="5" s="1"/>
  <c r="AZ313" i="5"/>
  <c r="BA313" i="5" s="1"/>
  <c r="AZ261" i="5"/>
  <c r="AZ199" i="5"/>
  <c r="AZ210" i="5"/>
  <c r="BA210" i="5" s="1"/>
  <c r="AZ208" i="5"/>
  <c r="BA208" i="5" s="1"/>
  <c r="AZ168" i="5"/>
  <c r="AZ159" i="5"/>
  <c r="AZ145" i="5"/>
  <c r="BA145" i="5" s="1"/>
  <c r="AZ133" i="5"/>
  <c r="BA133" i="5" s="1"/>
  <c r="AZ131" i="5"/>
  <c r="AZ97" i="5"/>
  <c r="AZ65" i="5"/>
  <c r="BB65" i="5" s="1"/>
  <c r="AZ61" i="5"/>
  <c r="BB61" i="5" s="1"/>
  <c r="AZ56" i="5"/>
  <c r="AZ26" i="5"/>
  <c r="AZ411" i="5"/>
  <c r="BB411" i="5" s="1"/>
  <c r="AZ316" i="5"/>
  <c r="BA316" i="5" s="1"/>
  <c r="AZ329" i="5"/>
  <c r="AZ268" i="5"/>
  <c r="AZ317" i="5"/>
  <c r="BB317" i="5" s="1"/>
  <c r="AZ323" i="5"/>
  <c r="BA323" i="5" s="1"/>
  <c r="AZ266" i="5"/>
  <c r="AZ202" i="5"/>
  <c r="AZ214" i="5"/>
  <c r="BB214" i="5" s="1"/>
  <c r="AZ213" i="5"/>
  <c r="BB213" i="5" s="1"/>
  <c r="AZ183" i="5"/>
  <c r="AZ166" i="5"/>
  <c r="AZ101" i="5"/>
  <c r="BA101" i="5" s="1"/>
  <c r="AZ138" i="5"/>
  <c r="BA138" i="5" s="1"/>
  <c r="AZ144" i="5"/>
  <c r="AZ74" i="5"/>
  <c r="AZ76" i="5"/>
  <c r="BB76" i="5" s="1"/>
  <c r="AZ54" i="5"/>
  <c r="BB54" i="5" s="1"/>
  <c r="AZ64" i="5"/>
  <c r="AZ31" i="5"/>
  <c r="AZ338" i="5"/>
  <c r="BA338" i="5" s="1"/>
  <c r="AZ337" i="5"/>
  <c r="BA337" i="5" s="1"/>
  <c r="AZ287" i="5"/>
  <c r="AZ331" i="5"/>
  <c r="AZ207" i="5"/>
  <c r="BA207" i="5" s="1"/>
  <c r="AZ276" i="5"/>
  <c r="BA276" i="5" s="1"/>
  <c r="AZ234" i="5"/>
  <c r="AZ222" i="5"/>
  <c r="AZ225" i="5"/>
  <c r="BA225" i="5" s="1"/>
  <c r="AZ198" i="5"/>
  <c r="BB198" i="5" s="1"/>
  <c r="AZ176" i="5"/>
  <c r="AZ160" i="5"/>
  <c r="AZ149" i="5"/>
  <c r="BB149" i="5" s="1"/>
  <c r="AZ85" i="5"/>
  <c r="BB85" i="5" s="1"/>
  <c r="AZ108" i="5"/>
  <c r="AZ82" i="5"/>
  <c r="AZ72" i="5"/>
  <c r="BA72" i="5" s="1"/>
  <c r="AZ73" i="5"/>
  <c r="BA73" i="5" s="1"/>
  <c r="U287" i="5"/>
  <c r="AU276" i="5"/>
  <c r="AV276" i="5"/>
  <c r="AV314" i="5"/>
  <c r="AU314" i="5"/>
  <c r="AV221" i="5"/>
  <c r="AU221" i="5"/>
  <c r="AU160" i="5"/>
  <c r="AV160" i="5"/>
  <c r="AV79" i="5"/>
  <c r="AU79" i="5"/>
  <c r="AU234" i="5"/>
  <c r="AV234" i="5"/>
  <c r="AV189" i="5"/>
  <c r="AU189" i="5"/>
  <c r="AU181" i="5"/>
  <c r="AV181" i="5"/>
  <c r="AV173" i="5"/>
  <c r="AU173" i="5"/>
  <c r="AU126" i="5"/>
  <c r="AV126" i="5"/>
  <c r="AV87" i="5"/>
  <c r="AU87" i="5"/>
  <c r="AU31" i="5"/>
  <c r="AV31" i="5"/>
  <c r="AJ172" i="5"/>
  <c r="AV316" i="5"/>
  <c r="AU316" i="5"/>
  <c r="AV250" i="5"/>
  <c r="AU250" i="5"/>
  <c r="AU301" i="5"/>
  <c r="AV301" i="5"/>
  <c r="AV251" i="5"/>
  <c r="AU251" i="5"/>
  <c r="AU195" i="5"/>
  <c r="AV195" i="5"/>
  <c r="AV164" i="5"/>
  <c r="AU164" i="5"/>
  <c r="AV199" i="5"/>
  <c r="AU199" i="5"/>
  <c r="AV133" i="5"/>
  <c r="AU133" i="5"/>
  <c r="AU187" i="5"/>
  <c r="AV187" i="5"/>
  <c r="AV110" i="5"/>
  <c r="AU110" i="5"/>
  <c r="AV92" i="5"/>
  <c r="AU92" i="5"/>
  <c r="AV121" i="5"/>
  <c r="AU121" i="5"/>
  <c r="AV103" i="5"/>
  <c r="AU103" i="5"/>
  <c r="AU55" i="5"/>
  <c r="AV55" i="5"/>
  <c r="AV65" i="5"/>
  <c r="AU65" i="5"/>
  <c r="AV47" i="5"/>
  <c r="AU47" i="5"/>
  <c r="AU307" i="5"/>
  <c r="AV307" i="5"/>
  <c r="AV200" i="5"/>
  <c r="AU200" i="5"/>
  <c r="AU282" i="5"/>
  <c r="AV282" i="5"/>
  <c r="AU322" i="5"/>
  <c r="AV322" i="5"/>
  <c r="AU265" i="5"/>
  <c r="AV265" i="5"/>
  <c r="AV230" i="5"/>
  <c r="AU230" i="5"/>
  <c r="AU224" i="5"/>
  <c r="AV224" i="5"/>
  <c r="AU215" i="5"/>
  <c r="AV215" i="5"/>
  <c r="AV172" i="5"/>
  <c r="AU172" i="5"/>
  <c r="AU163" i="5"/>
  <c r="AV163" i="5"/>
  <c r="AU150" i="5"/>
  <c r="AV150" i="5"/>
  <c r="AU122" i="5"/>
  <c r="AV122" i="5"/>
  <c r="AU71" i="5"/>
  <c r="AV71" i="5"/>
  <c r="AV88" i="5"/>
  <c r="AU88" i="5"/>
  <c r="AU90" i="5"/>
  <c r="AV90" i="5"/>
  <c r="AU63" i="5"/>
  <c r="AV63" i="5"/>
  <c r="AU53" i="5"/>
  <c r="AV53" i="5"/>
  <c r="AU21" i="5"/>
  <c r="AV21" i="5"/>
  <c r="B142" i="2"/>
  <c r="B144" i="2" s="1"/>
  <c r="H58" i="1" s="1"/>
  <c r="B62" i="5"/>
  <c r="AV328" i="5"/>
  <c r="AU328" i="5"/>
  <c r="AU257" i="5"/>
  <c r="AV257" i="5"/>
  <c r="AV211" i="5"/>
  <c r="AU211" i="5"/>
  <c r="AU176" i="5"/>
  <c r="AV176" i="5"/>
  <c r="AU131" i="5"/>
  <c r="AV131" i="5"/>
  <c r="AU135" i="5"/>
  <c r="AV135" i="5"/>
  <c r="AU118" i="5"/>
  <c r="AV118" i="5"/>
  <c r="AV141" i="5"/>
  <c r="AU141" i="5"/>
  <c r="AU78" i="5"/>
  <c r="AV78" i="5"/>
  <c r="AU23" i="5"/>
  <c r="AV23" i="5"/>
  <c r="AV25" i="5"/>
  <c r="AU25" i="5"/>
  <c r="AU335" i="5"/>
  <c r="AV335" i="5"/>
  <c r="AU259" i="5"/>
  <c r="AV259" i="5"/>
  <c r="AU297" i="5"/>
  <c r="AV297" i="5"/>
  <c r="AU205" i="5"/>
  <c r="AV205" i="5"/>
  <c r="AV280" i="5"/>
  <c r="AU280" i="5"/>
  <c r="AV238" i="5"/>
  <c r="AU238" i="5"/>
  <c r="AV243" i="5"/>
  <c r="AU243" i="5"/>
  <c r="AV138" i="5"/>
  <c r="AU138" i="5"/>
  <c r="AU83" i="5"/>
  <c r="AV83" i="5"/>
  <c r="AU22" i="5"/>
  <c r="AV22" i="5"/>
  <c r="AV64" i="5"/>
  <c r="AU64" i="5"/>
  <c r="AJ166" i="5"/>
  <c r="AJ7" i="5"/>
  <c r="AJ109" i="5"/>
  <c r="AL109" i="5" s="1"/>
  <c r="AJ121" i="5"/>
  <c r="AL121" i="5" s="1"/>
  <c r="V242" i="5"/>
  <c r="AU32" i="5"/>
  <c r="AV299" i="5"/>
  <c r="AU299" i="5"/>
  <c r="AU210" i="5"/>
  <c r="AV210" i="5"/>
  <c r="AU283" i="5"/>
  <c r="AV283" i="5"/>
  <c r="AV240" i="5"/>
  <c r="AU240" i="5"/>
  <c r="AV159" i="5"/>
  <c r="AU159" i="5"/>
  <c r="AU239" i="5"/>
  <c r="AV239" i="5"/>
  <c r="AU190" i="5"/>
  <c r="AV190" i="5"/>
  <c r="AV182" i="5"/>
  <c r="AU182" i="5"/>
  <c r="AU177" i="5"/>
  <c r="AV177" i="5"/>
  <c r="AU139" i="5"/>
  <c r="AV139" i="5"/>
  <c r="AU142" i="5"/>
  <c r="AV142" i="5"/>
  <c r="AU100" i="5"/>
  <c r="AV100" i="5"/>
  <c r="AV96" i="5"/>
  <c r="AU96" i="5"/>
  <c r="AU69" i="5"/>
  <c r="AV69" i="5"/>
  <c r="AV41" i="5"/>
  <c r="AU41" i="5"/>
  <c r="AU34" i="5"/>
  <c r="AV34" i="5"/>
  <c r="AU291" i="5"/>
  <c r="AV291" i="5"/>
  <c r="AU327" i="5"/>
  <c r="AV327" i="5"/>
  <c r="AV270" i="5"/>
  <c r="AU270" i="5"/>
  <c r="AV312" i="5"/>
  <c r="AU312" i="5"/>
  <c r="AV255" i="5"/>
  <c r="AU255" i="5"/>
  <c r="AU217" i="5"/>
  <c r="AV217" i="5"/>
  <c r="AV209" i="5"/>
  <c r="AU209" i="5"/>
  <c r="AV154" i="5"/>
  <c r="AU154" i="5"/>
  <c r="AU157" i="5"/>
  <c r="AV157" i="5"/>
  <c r="AV128" i="5"/>
  <c r="AU128" i="5"/>
  <c r="AU129" i="5"/>
  <c r="AV129" i="5"/>
  <c r="AV109" i="5"/>
  <c r="AU109" i="5"/>
  <c r="AV136" i="5"/>
  <c r="AU136" i="5"/>
  <c r="AV75" i="5"/>
  <c r="AU75" i="5"/>
  <c r="AU77" i="5"/>
  <c r="AV77" i="5"/>
  <c r="AU20" i="5"/>
  <c r="AV20" i="5"/>
  <c r="AV51" i="5"/>
  <c r="AU51" i="5"/>
  <c r="AV8" i="5"/>
  <c r="AU8" i="5"/>
  <c r="AJ43" i="5"/>
  <c r="V484" i="5"/>
  <c r="AU237" i="5"/>
  <c r="AV237" i="5"/>
  <c r="AU286" i="5"/>
  <c r="AV286" i="5"/>
  <c r="AV324" i="5"/>
  <c r="AU324" i="5"/>
  <c r="AV273" i="5"/>
  <c r="AU273" i="5"/>
  <c r="AU233" i="5"/>
  <c r="AV233" i="5"/>
  <c r="AU229" i="5"/>
  <c r="AV229" i="5"/>
  <c r="AU218" i="5"/>
  <c r="AV218" i="5"/>
  <c r="AV175" i="5"/>
  <c r="AU175" i="5"/>
  <c r="AV165" i="5"/>
  <c r="AU165" i="5"/>
  <c r="AV153" i="5"/>
  <c r="AU153" i="5"/>
  <c r="AU130" i="5"/>
  <c r="AV130" i="5"/>
  <c r="AV89" i="5"/>
  <c r="AU89" i="5"/>
  <c r="AV91" i="5"/>
  <c r="AU91" i="5"/>
  <c r="AV93" i="5"/>
  <c r="AU93" i="5"/>
  <c r="AV66" i="5"/>
  <c r="AU66" i="5"/>
  <c r="AU54" i="5"/>
  <c r="AV54" i="5"/>
  <c r="AU39" i="5"/>
  <c r="AV39" i="5"/>
  <c r="AU271" i="5"/>
  <c r="AV271" i="5"/>
  <c r="AU311" i="5"/>
  <c r="AV311" i="5"/>
  <c r="AU246" i="5"/>
  <c r="AV246" i="5"/>
  <c r="AV295" i="5"/>
  <c r="AU295" i="5"/>
  <c r="AU249" i="5"/>
  <c r="AV249" i="5"/>
  <c r="AV191" i="5"/>
  <c r="AU191" i="5"/>
  <c r="AU248" i="5"/>
  <c r="AV248" i="5"/>
  <c r="AU198" i="5"/>
  <c r="AV198" i="5"/>
  <c r="AV111" i="5"/>
  <c r="AU111" i="5"/>
  <c r="AV183" i="5"/>
  <c r="AU183" i="5"/>
  <c r="AV84" i="5"/>
  <c r="AU84" i="5"/>
  <c r="AU156" i="5"/>
  <c r="AV156" i="5"/>
  <c r="AV115" i="5"/>
  <c r="AU115" i="5"/>
  <c r="AV102" i="5"/>
  <c r="AU102" i="5"/>
  <c r="AU52" i="5"/>
  <c r="AV52" i="5"/>
  <c r="AU62" i="5"/>
  <c r="AV62" i="5"/>
  <c r="AU43" i="5"/>
  <c r="AV43" i="5"/>
  <c r="AV24" i="5"/>
  <c r="AU24" i="5"/>
  <c r="AV42" i="5"/>
  <c r="AU42" i="5"/>
  <c r="AV28" i="5"/>
  <c r="AU28" i="5"/>
  <c r="AV29" i="5"/>
  <c r="AU29" i="5"/>
  <c r="AV30" i="5"/>
  <c r="AU30" i="5"/>
  <c r="AV38" i="5"/>
  <c r="AU38" i="5"/>
  <c r="AU44" i="5"/>
  <c r="AV44" i="5"/>
  <c r="AZ25" i="5"/>
  <c r="AZ42" i="5"/>
  <c r="AZ58" i="5"/>
  <c r="AZ62" i="5"/>
  <c r="AZ96" i="5"/>
  <c r="AZ129" i="5"/>
  <c r="AZ128" i="5"/>
  <c r="AZ142" i="5"/>
  <c r="AZ153" i="5"/>
  <c r="AZ162" i="5"/>
  <c r="AZ205" i="5"/>
  <c r="AZ204" i="5"/>
  <c r="AZ186" i="5"/>
  <c r="AZ259" i="5"/>
  <c r="AZ307" i="5"/>
  <c r="AZ294" i="5"/>
  <c r="AZ257" i="5"/>
  <c r="AZ320" i="5"/>
  <c r="AZ358" i="5"/>
  <c r="AZ335" i="5"/>
  <c r="AZ383" i="5"/>
  <c r="AZ410" i="5"/>
  <c r="AZ428" i="5"/>
  <c r="AZ440" i="5"/>
  <c r="AZ277" i="5"/>
  <c r="AZ345" i="5"/>
  <c r="AZ361" i="5"/>
  <c r="AZ375" i="5"/>
  <c r="AZ386" i="5"/>
  <c r="AZ399" i="5"/>
  <c r="AZ417" i="5"/>
  <c r="AZ245" i="5"/>
  <c r="AZ280" i="5"/>
  <c r="AZ333" i="5"/>
  <c r="AZ342" i="5"/>
  <c r="AZ364" i="5"/>
  <c r="AZ378" i="5"/>
  <c r="AZ398" i="5"/>
  <c r="AZ416" i="5"/>
  <c r="AZ368" i="5"/>
  <c r="AZ452" i="5"/>
  <c r="AZ460" i="5"/>
  <c r="AZ478" i="5"/>
  <c r="AZ504" i="5"/>
  <c r="AZ531" i="5"/>
  <c r="AZ382" i="5"/>
  <c r="AZ403" i="5"/>
  <c r="AZ429" i="5"/>
  <c r="AZ461" i="5"/>
  <c r="AZ468" i="5"/>
  <c r="AZ480" i="5"/>
  <c r="AZ507" i="5"/>
  <c r="AZ516" i="5"/>
  <c r="AZ353" i="5"/>
  <c r="AZ405" i="5"/>
  <c r="AZ441" i="5"/>
  <c r="AZ453" i="5"/>
  <c r="AZ466" i="5"/>
  <c r="AZ479" i="5"/>
  <c r="AZ488" i="5"/>
  <c r="AZ494" i="5"/>
  <c r="AZ502" i="5"/>
  <c r="AZ509" i="5"/>
  <c r="AZ522" i="5"/>
  <c r="AZ545" i="5"/>
  <c r="AZ229" i="5"/>
  <c r="AZ425" i="5"/>
  <c r="AZ513" i="5"/>
  <c r="AZ529" i="5"/>
  <c r="AZ548" i="5"/>
  <c r="AZ558" i="5"/>
  <c r="AZ448" i="5"/>
  <c r="AZ544" i="5"/>
  <c r="AZ407" i="5"/>
  <c r="AZ501" i="5"/>
  <c r="AZ541" i="5"/>
  <c r="AZ559" i="5"/>
  <c r="AZ464" i="5"/>
  <c r="AZ19" i="5"/>
  <c r="AZ37" i="5"/>
  <c r="AZ67" i="5"/>
  <c r="AZ57" i="5"/>
  <c r="AZ77" i="5"/>
  <c r="AZ102" i="5"/>
  <c r="AZ151" i="5"/>
  <c r="AZ146" i="5"/>
  <c r="AZ104" i="5"/>
  <c r="AZ170" i="5"/>
  <c r="AZ187" i="5"/>
  <c r="AZ216" i="5"/>
  <c r="AZ217" i="5"/>
  <c r="AZ215" i="5"/>
  <c r="AZ271" i="5"/>
  <c r="AZ327" i="5"/>
  <c r="AZ321" i="5"/>
  <c r="AZ275" i="5"/>
  <c r="AZ330" i="5"/>
  <c r="AZ224" i="5"/>
  <c r="AZ360" i="5"/>
  <c r="AZ385" i="5"/>
  <c r="AZ414" i="5"/>
  <c r="AZ431" i="5"/>
  <c r="AZ250" i="5"/>
  <c r="AZ293" i="5"/>
  <c r="AZ350" i="5"/>
  <c r="AZ363" i="5"/>
  <c r="AZ377" i="5"/>
  <c r="AZ389" i="5"/>
  <c r="AZ402" i="5"/>
  <c r="AZ418" i="5"/>
  <c r="AZ254" i="5"/>
  <c r="AZ286" i="5"/>
  <c r="AZ336" i="5"/>
  <c r="AZ348" i="5"/>
  <c r="AZ366" i="5"/>
  <c r="AZ379" i="5"/>
  <c r="AZ400" i="5"/>
  <c r="AZ311" i="5"/>
  <c r="AZ401" i="5"/>
  <c r="AZ457" i="5"/>
  <c r="AZ471" i="5"/>
  <c r="AZ490" i="5"/>
  <c r="AZ515" i="5"/>
  <c r="AZ532" i="5"/>
  <c r="AZ391" i="5"/>
  <c r="AZ412" i="5"/>
  <c r="AZ439" i="5"/>
  <c r="AZ462" i="5"/>
  <c r="AZ470" i="5"/>
  <c r="AZ484" i="5"/>
  <c r="AZ511" i="5"/>
  <c r="AZ519" i="5"/>
  <c r="AZ381" i="5"/>
  <c r="AZ430" i="5"/>
  <c r="AZ443" i="5"/>
  <c r="AZ454" i="5"/>
  <c r="AZ469" i="5"/>
  <c r="AZ482" i="5"/>
  <c r="AZ489" i="5"/>
  <c r="AZ495" i="5"/>
  <c r="AZ503" i="5"/>
  <c r="AZ510" i="5"/>
  <c r="AZ523" i="5"/>
  <c r="AZ554" i="5"/>
  <c r="AZ297" i="5"/>
  <c r="AZ449" i="5"/>
  <c r="AZ517" i="5"/>
  <c r="AZ534" i="5"/>
  <c r="AZ553" i="5"/>
  <c r="AZ433" i="5"/>
  <c r="AZ524" i="5"/>
  <c r="AZ549" i="5"/>
  <c r="AZ424" i="5"/>
  <c r="AZ528" i="5"/>
  <c r="AZ542" i="5"/>
  <c r="AZ372" i="5"/>
  <c r="AZ483" i="5"/>
  <c r="AZ33" i="5"/>
  <c r="AZ28" i="5"/>
  <c r="AZ49" i="5"/>
  <c r="AZ93" i="5"/>
  <c r="AZ87" i="5"/>
  <c r="AZ106" i="5"/>
  <c r="AZ155" i="5"/>
  <c r="AZ167" i="5"/>
  <c r="AZ185" i="5"/>
  <c r="AZ203" i="5"/>
  <c r="AZ233" i="5"/>
  <c r="AZ228" i="5"/>
  <c r="AZ239" i="5"/>
  <c r="AZ281" i="5"/>
  <c r="AZ253" i="5"/>
  <c r="AZ192" i="5"/>
  <c r="AZ301" i="5"/>
  <c r="AZ343" i="5"/>
  <c r="AZ258" i="5"/>
  <c r="AZ367" i="5"/>
  <c r="AZ404" i="5"/>
  <c r="AZ420" i="5"/>
  <c r="AZ435" i="5"/>
  <c r="AZ252" i="5"/>
  <c r="AZ304" i="5"/>
  <c r="AZ356" i="5"/>
  <c r="AZ365" i="5"/>
  <c r="AZ380" i="5"/>
  <c r="AZ390" i="5"/>
  <c r="AZ408" i="5"/>
  <c r="AZ419" i="5"/>
  <c r="AZ267" i="5"/>
  <c r="AZ289" i="5"/>
  <c r="AZ340" i="5"/>
  <c r="AZ349" i="5"/>
  <c r="AZ371" i="5"/>
  <c r="AZ388" i="5"/>
  <c r="AZ406" i="5"/>
  <c r="AZ354" i="5"/>
  <c r="AZ422" i="5"/>
  <c r="AZ458" i="5"/>
  <c r="AZ472" i="5"/>
  <c r="AZ496" i="5"/>
  <c r="AZ525" i="5"/>
  <c r="AZ270" i="5"/>
  <c r="AZ394" i="5"/>
  <c r="AZ426" i="5"/>
  <c r="AZ446" i="5"/>
  <c r="AZ465" i="5"/>
  <c r="AZ474" i="5"/>
  <c r="AZ498" i="5"/>
  <c r="AZ512" i="5"/>
  <c r="AZ308" i="5"/>
  <c r="AZ387" i="5"/>
  <c r="AZ432" i="5"/>
  <c r="AZ444" i="5"/>
  <c r="AZ455" i="5"/>
  <c r="AZ473" i="5"/>
  <c r="AZ486" i="5"/>
  <c r="AZ492" i="5"/>
  <c r="AZ499" i="5"/>
  <c r="AZ505" i="5"/>
  <c r="AZ518" i="5"/>
  <c r="AZ530" i="5"/>
  <c r="AZ555" i="5"/>
  <c r="AZ328" i="5"/>
  <c r="AZ456" i="5"/>
  <c r="AZ521" i="5"/>
  <c r="AZ536" i="5"/>
  <c r="AZ557" i="5"/>
  <c r="AZ437" i="5"/>
  <c r="AZ538" i="5"/>
  <c r="AZ550" i="5"/>
  <c r="AZ481" i="5"/>
  <c r="AZ533" i="5"/>
  <c r="AZ547" i="5"/>
  <c r="AZ438" i="5"/>
  <c r="AZ537" i="5"/>
  <c r="AZ36" i="5"/>
  <c r="AZ46" i="5"/>
  <c r="AZ63" i="5"/>
  <c r="AZ79" i="5"/>
  <c r="AZ90" i="5"/>
  <c r="AZ99" i="5"/>
  <c r="AZ120" i="5"/>
  <c r="AZ124" i="5"/>
  <c r="AZ181" i="5"/>
  <c r="AZ143" i="5"/>
  <c r="AZ165" i="5"/>
  <c r="AZ182" i="5"/>
  <c r="AZ244" i="5"/>
  <c r="AZ193" i="5"/>
  <c r="AZ291" i="5"/>
  <c r="AZ272" i="5"/>
  <c r="AZ248" i="5"/>
  <c r="AZ310" i="5"/>
  <c r="AZ357" i="5"/>
  <c r="AZ319" i="5"/>
  <c r="AZ376" i="5"/>
  <c r="AZ409" i="5"/>
  <c r="AZ423" i="5"/>
  <c r="AZ436" i="5"/>
  <c r="AZ260" i="5"/>
  <c r="AZ334" i="5"/>
  <c r="AZ359" i="5"/>
  <c r="AZ370" i="5"/>
  <c r="AZ384" i="5"/>
  <c r="AZ392" i="5"/>
  <c r="AZ413" i="5"/>
  <c r="AZ209" i="5"/>
  <c r="AZ273" i="5"/>
  <c r="AZ292" i="5"/>
  <c r="AZ341" i="5"/>
  <c r="AZ355" i="5"/>
  <c r="AZ374" i="5"/>
  <c r="AZ395" i="5"/>
  <c r="AZ415" i="5"/>
  <c r="AZ362" i="5"/>
  <c r="AZ442" i="5"/>
  <c r="AZ459" i="5"/>
  <c r="AZ475" i="5"/>
  <c r="AZ497" i="5"/>
  <c r="AZ526" i="5"/>
  <c r="AZ325" i="5"/>
  <c r="AZ397" i="5"/>
  <c r="AZ427" i="5"/>
  <c r="AZ447" i="5"/>
  <c r="AZ467" i="5"/>
  <c r="AZ477" i="5"/>
  <c r="AZ506" i="5"/>
  <c r="AZ514" i="5"/>
  <c r="AZ347" i="5"/>
  <c r="AZ396" i="5"/>
  <c r="AZ434" i="5"/>
  <c r="AZ451" i="5"/>
  <c r="AZ463" i="5"/>
  <c r="AZ476" i="5"/>
  <c r="AZ487" i="5"/>
  <c r="AZ493" i="5"/>
  <c r="AZ500" i="5"/>
  <c r="AZ508" i="5"/>
  <c r="AZ520" i="5"/>
  <c r="AZ539" i="5"/>
  <c r="AZ556" i="5"/>
  <c r="AZ421" i="5"/>
  <c r="AZ485" i="5"/>
  <c r="AZ527" i="5"/>
  <c r="AZ540" i="5"/>
  <c r="AZ560" i="5"/>
  <c r="AZ445" i="5"/>
  <c r="AZ543" i="5"/>
  <c r="AZ551" i="5"/>
  <c r="AZ491" i="5"/>
  <c r="AZ535" i="5"/>
  <c r="AZ552" i="5"/>
  <c r="AZ450" i="5"/>
  <c r="AZ546" i="5"/>
  <c r="AW26" i="5"/>
  <c r="AW48" i="5"/>
  <c r="AW33" i="5"/>
  <c r="AW46" i="5"/>
  <c r="AW32" i="5"/>
  <c r="AW45" i="5"/>
  <c r="AW34" i="5"/>
  <c r="AW59" i="5"/>
  <c r="AW36" i="5"/>
  <c r="AW54" i="5"/>
  <c r="AW65" i="5"/>
  <c r="AW40" i="5"/>
  <c r="AW58" i="5"/>
  <c r="AW83" i="5"/>
  <c r="AW70" i="5"/>
  <c r="AW81" i="5"/>
  <c r="AW99" i="5"/>
  <c r="AW84" i="5"/>
  <c r="AW95" i="5"/>
  <c r="AW107" i="5"/>
  <c r="AW111" i="5"/>
  <c r="AW120" i="5"/>
  <c r="AW135" i="5"/>
  <c r="AW152" i="5"/>
  <c r="AW115" i="5"/>
  <c r="AW130" i="5"/>
  <c r="AW141" i="5"/>
  <c r="AW157" i="5"/>
  <c r="AW102" i="5"/>
  <c r="AW114" i="5"/>
  <c r="AW131" i="5"/>
  <c r="AW147" i="5"/>
  <c r="AW155" i="5"/>
  <c r="AW164" i="5"/>
  <c r="AW176" i="5"/>
  <c r="AW156" i="5"/>
  <c r="AW183" i="5"/>
  <c r="AW170" i="5"/>
  <c r="AW188" i="5"/>
  <c r="AW205" i="5"/>
  <c r="AW148" i="5"/>
  <c r="AW195" i="5"/>
  <c r="AW214" i="5"/>
  <c r="AW226" i="5"/>
  <c r="AW240" i="5"/>
  <c r="AW197" i="5"/>
  <c r="AW231" i="5"/>
  <c r="AW169" i="5"/>
  <c r="AW187" i="5"/>
  <c r="AW198" i="5"/>
  <c r="AW216" i="5"/>
  <c r="AW224" i="5"/>
  <c r="AW241" i="5"/>
  <c r="AW233" i="5"/>
  <c r="AW253" i="5"/>
  <c r="AW272" i="5"/>
  <c r="AW294" i="5"/>
  <c r="AW310" i="5"/>
  <c r="AW329" i="5"/>
  <c r="AW225" i="5"/>
  <c r="AW251" i="5"/>
  <c r="AW263" i="5"/>
  <c r="AW280" i="5"/>
  <c r="AW295" i="5"/>
  <c r="AW312" i="5"/>
  <c r="AW322" i="5"/>
  <c r="AW213" i="5"/>
  <c r="AW252" i="5"/>
  <c r="AW270" i="5"/>
  <c r="AW282" i="5"/>
  <c r="AW297" i="5"/>
  <c r="AW311" i="5"/>
  <c r="AW328" i="5"/>
  <c r="AW347" i="5"/>
  <c r="AW246" i="5"/>
  <c r="AW313" i="5"/>
  <c r="AW345" i="5"/>
  <c r="AW357" i="5"/>
  <c r="AW370" i="5"/>
  <c r="AW380" i="5"/>
  <c r="AW392" i="5"/>
  <c r="AW413" i="5"/>
  <c r="AW427" i="5"/>
  <c r="AW271" i="5"/>
  <c r="AW341" i="5"/>
  <c r="O13" i="5"/>
  <c r="AJ13" i="5" s="1"/>
  <c r="AW22" i="5"/>
  <c r="AW31" i="5"/>
  <c r="AW20" i="5"/>
  <c r="AW38" i="5"/>
  <c r="AW21" i="5"/>
  <c r="AW35" i="5"/>
  <c r="AW52" i="5"/>
  <c r="AW51" i="5"/>
  <c r="AW61" i="5"/>
  <c r="AW47" i="5"/>
  <c r="AW56" i="5"/>
  <c r="AW71" i="5"/>
  <c r="AW60" i="5"/>
  <c r="AW68" i="5"/>
  <c r="AW88" i="5"/>
  <c r="AW72" i="5"/>
  <c r="AW85" i="5"/>
  <c r="AW101" i="5"/>
  <c r="AW89" i="5"/>
  <c r="AW96" i="5"/>
  <c r="AW97" i="5"/>
  <c r="AW112" i="5"/>
  <c r="AW125" i="5"/>
  <c r="AW138" i="5"/>
  <c r="AW158" i="5"/>
  <c r="AW116" i="5"/>
  <c r="AW132" i="5"/>
  <c r="AW143" i="5"/>
  <c r="AW64" i="5"/>
  <c r="AW105" i="5"/>
  <c r="AW121" i="5"/>
  <c r="AW133" i="5"/>
  <c r="AW150" i="5"/>
  <c r="AW113" i="5"/>
  <c r="AW166" i="5"/>
  <c r="AW180" i="5"/>
  <c r="AW173" i="5"/>
  <c r="AW119" i="5"/>
  <c r="AW171" i="5"/>
  <c r="AW191" i="5"/>
  <c r="AW207" i="5"/>
  <c r="AW160" i="5"/>
  <c r="AW203" i="5"/>
  <c r="AW217" i="5"/>
  <c r="AW228" i="5"/>
  <c r="AW242" i="5"/>
  <c r="AW199" i="5"/>
  <c r="AW234" i="5"/>
  <c r="AW172" i="5"/>
  <c r="AW189" i="5"/>
  <c r="AW201" i="5"/>
  <c r="AW218" i="5"/>
  <c r="AW227" i="5"/>
  <c r="AW163" i="5"/>
  <c r="AW236" i="5"/>
  <c r="AW256" i="5"/>
  <c r="AW278" i="5"/>
  <c r="AW298" i="5"/>
  <c r="AW317" i="5"/>
  <c r="AW330" i="5"/>
  <c r="AW230" i="5"/>
  <c r="AW254" i="5"/>
  <c r="AW265" i="5"/>
  <c r="AW283" i="5"/>
  <c r="AW301" i="5"/>
  <c r="AW314" i="5"/>
  <c r="AW324" i="5"/>
  <c r="AW221" i="5"/>
  <c r="AW258" i="5"/>
  <c r="AW273" i="5"/>
  <c r="AW286" i="5"/>
  <c r="AW299" i="5"/>
  <c r="AW316" i="5"/>
  <c r="AW333" i="5"/>
  <c r="AW353" i="5"/>
  <c r="AW281" i="5"/>
  <c r="AW327" i="5"/>
  <c r="AW346" i="5"/>
  <c r="AW359" i="5"/>
  <c r="AW371" i="5"/>
  <c r="AW384" i="5"/>
  <c r="AW399" i="5"/>
  <c r="AW416" i="5"/>
  <c r="AW8" i="5"/>
  <c r="AW23" i="5"/>
  <c r="AW37" i="5"/>
  <c r="AW29" i="5"/>
  <c r="AW41" i="5"/>
  <c r="AW24" i="5"/>
  <c r="AW39" i="5"/>
  <c r="AW63" i="5"/>
  <c r="AW53" i="5"/>
  <c r="AW66" i="5"/>
  <c r="AW49" i="5"/>
  <c r="AW57" i="5"/>
  <c r="AW75" i="5"/>
  <c r="AW76" i="5"/>
  <c r="AW73" i="5"/>
  <c r="AW91" i="5"/>
  <c r="AW82" i="5"/>
  <c r="AW93" i="5"/>
  <c r="AW104" i="5"/>
  <c r="AW90" i="5"/>
  <c r="AW98" i="5"/>
  <c r="AW103" i="5"/>
  <c r="AW117" i="5"/>
  <c r="AW126" i="5"/>
  <c r="AW146" i="5"/>
  <c r="AW161" i="5"/>
  <c r="AW122" i="5"/>
  <c r="AW134" i="5"/>
  <c r="AW145" i="5"/>
  <c r="AW80" i="5"/>
  <c r="AW108" i="5"/>
  <c r="AW123" i="5"/>
  <c r="AW140" i="5"/>
  <c r="AW151" i="5"/>
  <c r="AW139" i="5"/>
  <c r="AW168" i="5"/>
  <c r="AW185" i="5"/>
  <c r="AW178" i="5"/>
  <c r="AW137" i="5"/>
  <c r="AW182" i="5"/>
  <c r="AW196" i="5"/>
  <c r="AW124" i="5"/>
  <c r="AW162" i="5"/>
  <c r="AW204" i="5"/>
  <c r="AW219" i="5"/>
  <c r="AW235" i="5"/>
  <c r="AW244" i="5"/>
  <c r="AW202" i="5"/>
  <c r="AW237" i="5"/>
  <c r="AW175" i="5"/>
  <c r="AW192" i="5"/>
  <c r="AW206" i="5"/>
  <c r="AW220" i="5"/>
  <c r="AW229" i="5"/>
  <c r="AW208" i="5"/>
  <c r="AW243" i="5"/>
  <c r="AW262" i="5"/>
  <c r="AW284" i="5"/>
  <c r="AW302" i="5"/>
  <c r="AW321" i="5"/>
  <c r="AW331" i="5"/>
  <c r="AW248" i="5"/>
  <c r="AW255" i="5"/>
  <c r="AW268" i="5"/>
  <c r="AW287" i="5"/>
  <c r="AW306" i="5"/>
  <c r="AW315" i="5"/>
  <c r="AW332" i="5"/>
  <c r="AW245" i="5"/>
  <c r="AW260" i="5"/>
  <c r="AW276" i="5"/>
  <c r="AW289" i="5"/>
  <c r="AW304" i="5"/>
  <c r="AW319" i="5"/>
  <c r="AW334" i="5"/>
  <c r="AW355" i="5"/>
  <c r="AW296" i="5"/>
  <c r="AW337" i="5"/>
  <c r="AW350" i="5"/>
  <c r="AW363" i="5"/>
  <c r="AW377" i="5"/>
  <c r="AW389" i="5"/>
  <c r="AW408" i="5"/>
  <c r="AW419" i="5"/>
  <c r="AW434" i="5"/>
  <c r="AW25" i="5"/>
  <c r="AW43" i="5"/>
  <c r="AW30" i="5"/>
  <c r="AW44" i="5"/>
  <c r="AW28" i="5"/>
  <c r="AW42" i="5"/>
  <c r="AW69" i="5"/>
  <c r="AW55" i="5"/>
  <c r="AW27" i="5"/>
  <c r="AW50" i="5"/>
  <c r="AW62" i="5"/>
  <c r="AW79" i="5"/>
  <c r="AW77" i="5"/>
  <c r="AW74" i="5"/>
  <c r="AW67" i="5"/>
  <c r="AW78" i="5"/>
  <c r="AW94" i="5"/>
  <c r="AW109" i="5"/>
  <c r="AW92" i="5"/>
  <c r="AW100" i="5"/>
  <c r="AW106" i="5"/>
  <c r="AW118" i="5"/>
  <c r="AW128" i="5"/>
  <c r="AW149" i="5"/>
  <c r="AW87" i="5"/>
  <c r="AW127" i="5"/>
  <c r="AW136" i="5"/>
  <c r="AW153" i="5"/>
  <c r="AW86" i="5"/>
  <c r="AW110" i="5"/>
  <c r="AW129" i="5"/>
  <c r="AW144" i="5"/>
  <c r="AW154" i="5"/>
  <c r="AW159" i="5"/>
  <c r="AW174" i="5"/>
  <c r="AW186" i="5"/>
  <c r="AW179" i="5"/>
  <c r="AW165" i="5"/>
  <c r="AW184" i="5"/>
  <c r="AW200" i="5"/>
  <c r="AW142" i="5"/>
  <c r="AW194" i="5"/>
  <c r="AW210" i="5"/>
  <c r="AW222" i="5"/>
  <c r="AW238" i="5"/>
  <c r="AW167" i="5"/>
  <c r="AW215" i="5"/>
  <c r="AW239" i="5"/>
  <c r="AW181" i="5"/>
  <c r="AW193" i="5"/>
  <c r="AW209" i="5"/>
  <c r="AW223" i="5"/>
  <c r="AW232" i="5"/>
  <c r="AW211" i="5"/>
  <c r="AW247" i="5"/>
  <c r="AW269" i="5"/>
  <c r="AW290" i="5"/>
  <c r="AW305" i="5"/>
  <c r="AW326" i="5"/>
  <c r="AW177" i="5"/>
  <c r="AW249" i="5"/>
  <c r="AW257" i="5"/>
  <c r="AW275" i="5"/>
  <c r="AW293" i="5"/>
  <c r="AW309" i="5"/>
  <c r="AW320" i="5"/>
  <c r="AW190" i="5"/>
  <c r="AW250" i="5"/>
  <c r="AW267" i="5"/>
  <c r="AW277" i="5"/>
  <c r="AW292" i="5"/>
  <c r="AW308" i="5"/>
  <c r="AW325" i="5"/>
  <c r="AW340" i="5"/>
  <c r="AW212" i="5"/>
  <c r="AW307" i="5"/>
  <c r="AW344" i="5"/>
  <c r="AW356" i="5"/>
  <c r="AW365" i="5"/>
  <c r="AW379" i="5"/>
  <c r="AW390" i="5"/>
  <c r="AW412" i="5"/>
  <c r="AW426" i="5"/>
  <c r="AW318" i="5"/>
  <c r="AW349" i="5"/>
  <c r="AW366" i="5"/>
  <c r="AW394" i="5"/>
  <c r="AW406" i="5"/>
  <c r="AW264" i="5"/>
  <c r="AW343" i="5"/>
  <c r="AW376" i="5"/>
  <c r="AW387" i="5"/>
  <c r="AW401" i="5"/>
  <c r="AW409" i="5"/>
  <c r="AW385" i="5"/>
  <c r="AW440" i="5"/>
  <c r="AW461" i="5"/>
  <c r="AW476" i="5"/>
  <c r="AW482" i="5"/>
  <c r="AW500" i="5"/>
  <c r="AW512" i="5"/>
  <c r="AW288" i="5"/>
  <c r="AW418" i="5"/>
  <c r="AW441" i="5"/>
  <c r="AW451" i="5"/>
  <c r="AW466" i="5"/>
  <c r="AW487" i="5"/>
  <c r="AW494" i="5"/>
  <c r="AW508" i="5"/>
  <c r="AW518" i="5"/>
  <c r="AW335" i="5"/>
  <c r="AW393" i="5"/>
  <c r="AW417" i="5"/>
  <c r="AW425" i="5"/>
  <c r="AW442" i="5"/>
  <c r="AW458" i="5"/>
  <c r="AW483" i="5"/>
  <c r="AW496" i="5"/>
  <c r="AW527" i="5"/>
  <c r="AW538" i="5"/>
  <c r="AW547" i="5"/>
  <c r="AW279" i="5"/>
  <c r="AW423" i="5"/>
  <c r="AW532" i="5"/>
  <c r="AW556" i="5"/>
  <c r="AW516" i="5"/>
  <c r="AW535" i="5"/>
  <c r="AW551" i="5"/>
  <c r="AW383" i="5"/>
  <c r="AW475" i="5"/>
  <c r="AW504" i="5"/>
  <c r="AW555" i="5"/>
  <c r="AW497" i="5"/>
  <c r="AW543" i="5"/>
  <c r="AW432" i="5"/>
  <c r="AW336" i="5"/>
  <c r="AW354" i="5"/>
  <c r="AW374" i="5"/>
  <c r="AW395" i="5"/>
  <c r="AW415" i="5"/>
  <c r="AW300" i="5"/>
  <c r="AW362" i="5"/>
  <c r="AW381" i="5"/>
  <c r="AW391" i="5"/>
  <c r="AW403" i="5"/>
  <c r="AW410" i="5"/>
  <c r="AW428" i="5"/>
  <c r="AW444" i="5"/>
  <c r="AW465" i="5"/>
  <c r="AW477" i="5"/>
  <c r="AW484" i="5"/>
  <c r="AW505" i="5"/>
  <c r="AW519" i="5"/>
  <c r="AW361" i="5"/>
  <c r="AW431" i="5"/>
  <c r="AW443" i="5"/>
  <c r="AW454" i="5"/>
  <c r="AW469" i="5"/>
  <c r="AW488" i="5"/>
  <c r="AW499" i="5"/>
  <c r="AW509" i="5"/>
  <c r="AW520" i="5"/>
  <c r="AW339" i="5"/>
  <c r="AW402" i="5"/>
  <c r="AW421" i="5"/>
  <c r="AW433" i="5"/>
  <c r="AW445" i="5"/>
  <c r="AW460" i="5"/>
  <c r="AW485" i="5"/>
  <c r="AW501" i="5"/>
  <c r="AW533" i="5"/>
  <c r="AW540" i="5"/>
  <c r="AW552" i="5"/>
  <c r="AW285" i="5"/>
  <c r="AW452" i="5"/>
  <c r="AW549" i="5"/>
  <c r="AW369" i="5"/>
  <c r="AW522" i="5"/>
  <c r="AW539" i="5"/>
  <c r="AW554" i="5"/>
  <c r="AW447" i="5"/>
  <c r="AW478" i="5"/>
  <c r="AW515" i="5"/>
  <c r="AW557" i="5"/>
  <c r="AW507" i="5"/>
  <c r="AW545" i="5"/>
  <c r="AW439" i="5"/>
  <c r="AW342" i="5"/>
  <c r="AW358" i="5"/>
  <c r="AW378" i="5"/>
  <c r="AW398" i="5"/>
  <c r="AW420" i="5"/>
  <c r="AW303" i="5"/>
  <c r="AW368" i="5"/>
  <c r="AW382" i="5"/>
  <c r="AW396" i="5"/>
  <c r="AW405" i="5"/>
  <c r="AW338" i="5"/>
  <c r="AW429" i="5"/>
  <c r="AW446" i="5"/>
  <c r="AW467" i="5"/>
  <c r="AW479" i="5"/>
  <c r="AW492" i="5"/>
  <c r="AW506" i="5"/>
  <c r="AW523" i="5"/>
  <c r="AW367" i="5"/>
  <c r="AW436" i="5"/>
  <c r="AW449" i="5"/>
  <c r="AW455" i="5"/>
  <c r="AW473" i="5"/>
  <c r="AW489" i="5"/>
  <c r="AW502" i="5"/>
  <c r="AW510" i="5"/>
  <c r="AW521" i="5"/>
  <c r="AW351" i="5"/>
  <c r="AW411" i="5"/>
  <c r="AW422" i="5"/>
  <c r="AW435" i="5"/>
  <c r="AW448" i="5"/>
  <c r="AW464" i="5"/>
  <c r="AW490" i="5"/>
  <c r="AW517" i="5"/>
  <c r="AW534" i="5"/>
  <c r="AW542" i="5"/>
  <c r="AW558" i="5"/>
  <c r="AW291" i="5"/>
  <c r="AW459" i="5"/>
  <c r="AW550" i="5"/>
  <c r="AW462" i="5"/>
  <c r="AW528" i="5"/>
  <c r="AW541" i="5"/>
  <c r="AW548" i="5"/>
  <c r="AW457" i="5"/>
  <c r="AW486" i="5"/>
  <c r="AW525" i="5"/>
  <c r="AW360" i="5"/>
  <c r="AW514" i="5"/>
  <c r="AW553" i="5"/>
  <c r="AW388" i="5"/>
  <c r="AW372" i="5"/>
  <c r="AW352" i="5"/>
  <c r="AW480" i="5"/>
  <c r="AW373" i="5"/>
  <c r="AW481" i="5"/>
  <c r="AW266" i="5"/>
  <c r="AW437" i="5"/>
  <c r="AW526" i="5"/>
  <c r="AW404" i="5"/>
  <c r="AW530" i="5"/>
  <c r="AW498" i="5"/>
  <c r="AW19" i="5"/>
  <c r="AW274" i="5"/>
  <c r="AW400" i="5"/>
  <c r="AW386" i="5"/>
  <c r="AW430" i="5"/>
  <c r="AW495" i="5"/>
  <c r="AW438" i="5"/>
  <c r="AW493" i="5"/>
  <c r="AW375" i="5"/>
  <c r="AW456" i="5"/>
  <c r="AW536" i="5"/>
  <c r="AW524" i="5"/>
  <c r="AW546" i="5"/>
  <c r="AW531" i="5"/>
  <c r="AW348" i="5"/>
  <c r="AW259" i="5"/>
  <c r="AW397" i="5"/>
  <c r="AW453" i="5"/>
  <c r="AW511" i="5"/>
  <c r="AW450" i="5"/>
  <c r="AW503" i="5"/>
  <c r="AW414" i="5"/>
  <c r="AW472" i="5"/>
  <c r="AW544" i="5"/>
  <c r="AW559" i="5"/>
  <c r="AW560" i="5"/>
  <c r="AW474" i="5"/>
  <c r="AW470" i="5"/>
  <c r="AW424" i="5"/>
  <c r="AW471" i="5"/>
  <c r="AW364" i="5"/>
  <c r="AW537" i="5"/>
  <c r="AW491" i="5"/>
  <c r="AW529" i="5"/>
  <c r="AW323" i="5"/>
  <c r="AW463" i="5"/>
  <c r="AW261" i="5"/>
  <c r="AW407" i="5"/>
  <c r="AW513" i="5"/>
  <c r="AW468" i="5"/>
  <c r="V162" i="5"/>
  <c r="V508" i="5"/>
  <c r="V130" i="5"/>
  <c r="V56" i="5"/>
  <c r="U374" i="5"/>
  <c r="V235" i="5"/>
  <c r="V372" i="5"/>
  <c r="V475" i="5"/>
  <c r="U553" i="5"/>
  <c r="V384" i="5"/>
  <c r="U181" i="5"/>
  <c r="AJ12" i="5"/>
  <c r="AK12" i="5" s="1"/>
  <c r="V7" i="5"/>
  <c r="U7" i="5"/>
  <c r="BA227" i="5"/>
  <c r="BA240" i="5"/>
  <c r="BB240" i="5"/>
  <c r="BB169" i="5"/>
  <c r="BA103" i="5"/>
  <c r="BB103" i="5"/>
  <c r="BB8" i="5"/>
  <c r="BB309" i="5"/>
  <c r="BA309" i="5"/>
  <c r="BA242" i="5"/>
  <c r="BA134" i="5"/>
  <c r="BB134" i="5"/>
  <c r="BA89" i="5"/>
  <c r="BB284" i="5"/>
  <c r="BA125" i="5"/>
  <c r="U488" i="5"/>
  <c r="V488" i="5"/>
  <c r="U497" i="5"/>
  <c r="V497" i="5"/>
  <c r="V523" i="5"/>
  <c r="U523" i="5"/>
  <c r="U510" i="5"/>
  <c r="V510" i="5"/>
  <c r="V529" i="5"/>
  <c r="U529" i="5"/>
  <c r="V471" i="5"/>
  <c r="U471" i="5"/>
  <c r="V50" i="5"/>
  <c r="U50" i="5"/>
  <c r="V338" i="5"/>
  <c r="U338" i="5"/>
  <c r="V441" i="5"/>
  <c r="U441" i="5"/>
  <c r="U256" i="5"/>
  <c r="V256" i="5"/>
  <c r="U145" i="5"/>
  <c r="V145" i="5"/>
  <c r="U49" i="5"/>
  <c r="V49" i="5"/>
  <c r="U253" i="5"/>
  <c r="V253" i="5"/>
  <c r="U120" i="5"/>
  <c r="V120" i="5"/>
  <c r="U48" i="5"/>
  <c r="V48" i="5"/>
  <c r="U465" i="5"/>
  <c r="V465" i="5"/>
  <c r="U462" i="5"/>
  <c r="V462" i="5"/>
  <c r="V369" i="5"/>
  <c r="U369" i="5"/>
  <c r="V266" i="5"/>
  <c r="U266" i="5"/>
  <c r="U128" i="5"/>
  <c r="V128" i="5"/>
  <c r="U504" i="5"/>
  <c r="V504" i="5"/>
  <c r="U399" i="5"/>
  <c r="V399" i="5"/>
  <c r="V335" i="5"/>
  <c r="U335" i="5"/>
  <c r="U135" i="5"/>
  <c r="V135" i="5"/>
  <c r="V196" i="5"/>
  <c r="U196" i="5"/>
  <c r="U138" i="5"/>
  <c r="V138" i="5"/>
  <c r="V107" i="5"/>
  <c r="U107" i="5"/>
  <c r="U8" i="5"/>
  <c r="V8" i="5"/>
  <c r="V312" i="5"/>
  <c r="U318" i="5"/>
  <c r="BA332" i="5"/>
  <c r="BB332" i="5"/>
  <c r="BB283" i="5"/>
  <c r="BA283" i="5"/>
  <c r="BB326" i="5"/>
  <c r="BA274" i="5"/>
  <c r="BA219" i="5"/>
  <c r="BB219" i="5"/>
  <c r="BB221" i="5"/>
  <c r="BA221" i="5"/>
  <c r="BB197" i="5"/>
  <c r="BA197" i="5"/>
  <c r="BA172" i="5"/>
  <c r="BB172" i="5"/>
  <c r="BA132" i="5"/>
  <c r="BA81" i="5"/>
  <c r="BB80" i="5"/>
  <c r="BA80" i="5"/>
  <c r="BB70" i="5"/>
  <c r="BA70" i="5"/>
  <c r="BB68" i="5"/>
  <c r="BB43" i="5"/>
  <c r="AZ12" i="5"/>
  <c r="T12" i="5"/>
  <c r="AW12" i="5"/>
  <c r="AT12" i="5"/>
  <c r="BA352" i="5"/>
  <c r="BB352" i="5"/>
  <c r="BB295" i="5"/>
  <c r="BB188" i="5"/>
  <c r="BA188" i="5"/>
  <c r="BA247" i="5"/>
  <c r="BB247" i="5"/>
  <c r="BB237" i="5"/>
  <c r="BB226" i="5"/>
  <c r="BA226" i="5"/>
  <c r="BA230" i="5"/>
  <c r="BB230" i="5"/>
  <c r="BA180" i="5"/>
  <c r="BA163" i="5"/>
  <c r="BB163" i="5"/>
  <c r="BB154" i="5"/>
  <c r="BA154" i="5"/>
  <c r="BB86" i="5"/>
  <c r="BA84" i="5"/>
  <c r="BB84" i="5"/>
  <c r="BA78" i="5"/>
  <c r="BB78" i="5"/>
  <c r="BB30" i="5"/>
  <c r="BB369" i="5"/>
  <c r="BA369" i="5"/>
  <c r="BA346" i="5"/>
  <c r="BB346" i="5"/>
  <c r="BA232" i="5"/>
  <c r="BA262" i="5"/>
  <c r="BB262" i="5"/>
  <c r="BB285" i="5"/>
  <c r="BA285" i="5"/>
  <c r="BA238" i="5"/>
  <c r="BB243" i="5"/>
  <c r="BA243" i="5"/>
  <c r="BB130" i="5"/>
  <c r="BA130" i="5"/>
  <c r="BB175" i="5"/>
  <c r="BA113" i="5"/>
  <c r="BB113" i="5"/>
  <c r="BB112" i="5"/>
  <c r="BA112" i="5"/>
  <c r="BA71" i="5"/>
  <c r="BB71" i="5"/>
  <c r="BB48" i="5"/>
  <c r="BA48" i="5"/>
  <c r="BB29" i="5"/>
  <c r="AV7" i="5"/>
  <c r="AU7" i="5"/>
  <c r="U419" i="5"/>
  <c r="V419" i="5"/>
  <c r="V548" i="5"/>
  <c r="U548" i="5"/>
  <c r="U543" i="5"/>
  <c r="V543" i="5"/>
  <c r="V483" i="5"/>
  <c r="U483" i="5"/>
  <c r="U227" i="5"/>
  <c r="V227" i="5"/>
  <c r="U444" i="5"/>
  <c r="V444" i="5"/>
  <c r="U460" i="5"/>
  <c r="V460" i="5"/>
  <c r="U36" i="5"/>
  <c r="V36" i="5"/>
  <c r="V436" i="5"/>
  <c r="U436" i="5"/>
  <c r="V479" i="5"/>
  <c r="U479" i="5"/>
  <c r="U527" i="5"/>
  <c r="V527" i="5"/>
  <c r="V534" i="5"/>
  <c r="U534" i="5"/>
  <c r="U489" i="5"/>
  <c r="V489" i="5"/>
  <c r="U401" i="5"/>
  <c r="V401" i="5"/>
  <c r="U474" i="5"/>
  <c r="V474" i="5"/>
  <c r="V491" i="5"/>
  <c r="U491" i="5"/>
  <c r="U365" i="5"/>
  <c r="V365" i="5"/>
  <c r="U298" i="5"/>
  <c r="V298" i="5"/>
  <c r="U208" i="5"/>
  <c r="V208" i="5"/>
  <c r="V55" i="5"/>
  <c r="U55" i="5"/>
  <c r="V558" i="5"/>
  <c r="U558" i="5"/>
  <c r="U426" i="5"/>
  <c r="V426" i="5"/>
  <c r="U346" i="5"/>
  <c r="V346" i="5"/>
  <c r="U467" i="5"/>
  <c r="V467" i="5"/>
  <c r="U358" i="5"/>
  <c r="V358" i="5"/>
  <c r="V453" i="5"/>
  <c r="U453" i="5"/>
  <c r="U447" i="5"/>
  <c r="V447" i="5"/>
  <c r="V376" i="5"/>
  <c r="U376" i="5"/>
  <c r="V292" i="5"/>
  <c r="U292" i="5"/>
  <c r="U177" i="5"/>
  <c r="V177" i="5"/>
  <c r="U28" i="5"/>
  <c r="V28" i="5"/>
  <c r="U449" i="5"/>
  <c r="V449" i="5"/>
  <c r="U550" i="5"/>
  <c r="V550" i="5"/>
  <c r="U538" i="5"/>
  <c r="V538" i="5"/>
  <c r="U446" i="5"/>
  <c r="V446" i="5"/>
  <c r="U511" i="5"/>
  <c r="V511" i="5"/>
  <c r="U533" i="5"/>
  <c r="V533" i="5"/>
  <c r="U357" i="5"/>
  <c r="V357" i="5"/>
  <c r="U367" i="5"/>
  <c r="V367" i="5"/>
  <c r="U248" i="5"/>
  <c r="V248" i="5"/>
  <c r="U141" i="5"/>
  <c r="V141" i="5"/>
  <c r="U392" i="5"/>
  <c r="V392" i="5"/>
  <c r="V418" i="5"/>
  <c r="U418" i="5"/>
  <c r="U433" i="5"/>
  <c r="V433" i="5"/>
  <c r="U307" i="5"/>
  <c r="V307" i="5"/>
  <c r="U160" i="5"/>
  <c r="V160" i="5"/>
  <c r="U314" i="5"/>
  <c r="V314" i="5"/>
  <c r="U219" i="5"/>
  <c r="V219" i="5"/>
  <c r="U220" i="5"/>
  <c r="V220" i="5"/>
  <c r="U184" i="5"/>
  <c r="V184" i="5"/>
  <c r="V104" i="5"/>
  <c r="U104" i="5"/>
  <c r="U110" i="5"/>
  <c r="V110" i="5"/>
  <c r="U71" i="5"/>
  <c r="V71" i="5"/>
  <c r="U45" i="5"/>
  <c r="V45" i="5"/>
  <c r="U409" i="5"/>
  <c r="V409" i="5"/>
  <c r="U424" i="5"/>
  <c r="V424" i="5"/>
  <c r="U337" i="5"/>
  <c r="V337" i="5"/>
  <c r="V305" i="5"/>
  <c r="U305" i="5"/>
  <c r="U328" i="5"/>
  <c r="V328" i="5"/>
  <c r="V308" i="5"/>
  <c r="U308" i="5"/>
  <c r="U213" i="5"/>
  <c r="V213" i="5"/>
  <c r="U218" i="5"/>
  <c r="V218" i="5"/>
  <c r="U182" i="5"/>
  <c r="V182" i="5"/>
  <c r="U75" i="5"/>
  <c r="V75" i="5"/>
  <c r="U108" i="5"/>
  <c r="V108" i="5"/>
  <c r="U68" i="5"/>
  <c r="V68" i="5"/>
  <c r="U42" i="5"/>
  <c r="V42" i="5"/>
  <c r="U469" i="5"/>
  <c r="V469" i="5"/>
  <c r="V552" i="5"/>
  <c r="U552" i="5"/>
  <c r="U554" i="5"/>
  <c r="V554" i="5"/>
  <c r="V344" i="5"/>
  <c r="U344" i="5"/>
  <c r="V486" i="5"/>
  <c r="U486" i="5"/>
  <c r="U422" i="5"/>
  <c r="V422" i="5"/>
  <c r="V512" i="5"/>
  <c r="U512" i="5"/>
  <c r="V442" i="5"/>
  <c r="U442" i="5"/>
  <c r="V472" i="5"/>
  <c r="U472" i="5"/>
  <c r="U404" i="5"/>
  <c r="V404" i="5"/>
  <c r="V228" i="5"/>
  <c r="U228" i="5"/>
  <c r="U437" i="5"/>
  <c r="V437" i="5"/>
  <c r="U359" i="5"/>
  <c r="V359" i="5"/>
  <c r="U321" i="5"/>
  <c r="V321" i="5"/>
  <c r="U332" i="5"/>
  <c r="V332" i="5"/>
  <c r="V233" i="5"/>
  <c r="U233" i="5"/>
  <c r="V234" i="5"/>
  <c r="U234" i="5"/>
  <c r="V158" i="5"/>
  <c r="U158" i="5"/>
  <c r="V122" i="5"/>
  <c r="U122" i="5"/>
  <c r="V113" i="5"/>
  <c r="U113" i="5"/>
  <c r="V77" i="5"/>
  <c r="U77" i="5"/>
  <c r="V40" i="5"/>
  <c r="U40" i="5"/>
  <c r="V498" i="5"/>
  <c r="U498" i="5"/>
  <c r="V438" i="5"/>
  <c r="U438" i="5"/>
  <c r="U499" i="5"/>
  <c r="V499" i="5"/>
  <c r="U428" i="5"/>
  <c r="V428" i="5"/>
  <c r="U382" i="5"/>
  <c r="V382" i="5"/>
  <c r="V195" i="5"/>
  <c r="U195" i="5"/>
  <c r="V341" i="5"/>
  <c r="U341" i="5"/>
  <c r="V400" i="5"/>
  <c r="U400" i="5"/>
  <c r="U315" i="5"/>
  <c r="V315" i="5"/>
  <c r="U320" i="5"/>
  <c r="V320" i="5"/>
  <c r="V261" i="5"/>
  <c r="U261" i="5"/>
  <c r="U299" i="5"/>
  <c r="V299" i="5"/>
  <c r="U322" i="5"/>
  <c r="V322" i="5"/>
  <c r="U263" i="5"/>
  <c r="V263" i="5"/>
  <c r="V225" i="5"/>
  <c r="U225" i="5"/>
  <c r="V229" i="5"/>
  <c r="U229" i="5"/>
  <c r="V224" i="5"/>
  <c r="U224" i="5"/>
  <c r="V204" i="5"/>
  <c r="U204" i="5"/>
  <c r="V100" i="5"/>
  <c r="U100" i="5"/>
  <c r="U173" i="5"/>
  <c r="V173" i="5"/>
  <c r="V115" i="5"/>
  <c r="U115" i="5"/>
  <c r="V109" i="5"/>
  <c r="U109" i="5"/>
  <c r="V87" i="5"/>
  <c r="U87" i="5"/>
  <c r="V69" i="5"/>
  <c r="U69" i="5"/>
  <c r="V80" i="5"/>
  <c r="U80" i="5"/>
  <c r="V33" i="5"/>
  <c r="U33" i="5"/>
  <c r="V34" i="5"/>
  <c r="U34" i="5"/>
  <c r="U276" i="5"/>
  <c r="V276" i="5"/>
  <c r="U252" i="5"/>
  <c r="V252" i="5"/>
  <c r="U207" i="5"/>
  <c r="V207" i="5"/>
  <c r="U211" i="5"/>
  <c r="V211" i="5"/>
  <c r="U190" i="5"/>
  <c r="V190" i="5"/>
  <c r="V169" i="5"/>
  <c r="U169" i="5"/>
  <c r="V151" i="5"/>
  <c r="U151" i="5"/>
  <c r="U155" i="5"/>
  <c r="V155" i="5"/>
  <c r="U64" i="5"/>
  <c r="V64" i="5"/>
  <c r="BA344" i="5"/>
  <c r="BB344" i="5"/>
  <c r="BA256" i="5"/>
  <c r="BA118" i="5"/>
  <c r="BB118" i="5"/>
  <c r="BA111" i="5"/>
  <c r="BB111" i="5"/>
  <c r="BB53" i="5"/>
  <c r="BB38" i="5"/>
  <c r="BA38" i="5"/>
  <c r="BB351" i="5"/>
  <c r="BA351" i="5"/>
  <c r="BB269" i="5"/>
  <c r="BB191" i="5"/>
  <c r="BA191" i="5"/>
  <c r="BA136" i="5"/>
  <c r="BB136" i="5"/>
  <c r="BA119" i="5"/>
  <c r="BB94" i="5"/>
  <c r="BA94" i="5"/>
  <c r="BA52" i="5"/>
  <c r="BB52" i="5"/>
  <c r="BA206" i="5"/>
  <c r="BA251" i="5"/>
  <c r="BB251" i="5"/>
  <c r="BA223" i="5"/>
  <c r="BB223" i="5"/>
  <c r="BA174" i="5"/>
  <c r="BB141" i="5"/>
  <c r="BA141" i="5"/>
  <c r="BB114" i="5"/>
  <c r="BA114" i="5"/>
  <c r="BA51" i="5"/>
  <c r="U350" i="5"/>
  <c r="V350" i="5"/>
  <c r="V413" i="5"/>
  <c r="U413" i="5"/>
  <c r="U459" i="5"/>
  <c r="V459" i="5"/>
  <c r="U304" i="5"/>
  <c r="V304" i="5"/>
  <c r="U555" i="5"/>
  <c r="V555" i="5"/>
  <c r="V434" i="5"/>
  <c r="U434" i="5"/>
  <c r="V515" i="5"/>
  <c r="U515" i="5"/>
  <c r="U191" i="5"/>
  <c r="V191" i="5"/>
  <c r="U518" i="5"/>
  <c r="V518" i="5"/>
  <c r="U395" i="5"/>
  <c r="V395" i="5"/>
  <c r="V355" i="5"/>
  <c r="U355" i="5"/>
  <c r="V206" i="5"/>
  <c r="U206" i="5"/>
  <c r="U333" i="5"/>
  <c r="V333" i="5"/>
  <c r="V317" i="5"/>
  <c r="U317" i="5"/>
  <c r="U125" i="5"/>
  <c r="V125" i="5"/>
  <c r="V297" i="5"/>
  <c r="U297" i="5"/>
  <c r="U330" i="5"/>
  <c r="V330" i="5"/>
  <c r="V153" i="5"/>
  <c r="U153" i="5"/>
  <c r="V179" i="5"/>
  <c r="U179" i="5"/>
  <c r="U78" i="5"/>
  <c r="V78" i="5"/>
  <c r="U247" i="5"/>
  <c r="V247" i="5"/>
  <c r="V326" i="5"/>
  <c r="U326" i="5"/>
  <c r="U240" i="5"/>
  <c r="V240" i="5"/>
  <c r="V143" i="5"/>
  <c r="U143" i="5"/>
  <c r="V73" i="5"/>
  <c r="U73" i="5"/>
  <c r="U440" i="5"/>
  <c r="V440" i="5"/>
  <c r="U493" i="5"/>
  <c r="V493" i="5"/>
  <c r="V522" i="5"/>
  <c r="U522" i="5"/>
  <c r="V378" i="5"/>
  <c r="U378" i="5"/>
  <c r="V264" i="5"/>
  <c r="U264" i="5"/>
  <c r="V193" i="5"/>
  <c r="U193" i="5"/>
  <c r="V147" i="5"/>
  <c r="U147" i="5"/>
  <c r="V54" i="5"/>
  <c r="U54" i="5"/>
  <c r="V513" i="5"/>
  <c r="U513" i="5"/>
  <c r="U294" i="5"/>
  <c r="V294" i="5"/>
  <c r="U415" i="5"/>
  <c r="V415" i="5"/>
  <c r="U271" i="5"/>
  <c r="V271" i="5"/>
  <c r="V274" i="5"/>
  <c r="U274" i="5"/>
  <c r="V243" i="5"/>
  <c r="U243" i="5"/>
  <c r="U172" i="5"/>
  <c r="V172" i="5"/>
  <c r="V123" i="5"/>
  <c r="U123" i="5"/>
  <c r="U59" i="5"/>
  <c r="V59" i="5"/>
  <c r="U44" i="5"/>
  <c r="V44" i="5"/>
  <c r="U221" i="5"/>
  <c r="V221" i="5"/>
  <c r="U223" i="5"/>
  <c r="V223" i="5"/>
  <c r="V171" i="5"/>
  <c r="U171" i="5"/>
  <c r="V106" i="5"/>
  <c r="U106" i="5"/>
  <c r="U76" i="5"/>
  <c r="V76" i="5"/>
  <c r="U30" i="5"/>
  <c r="V30" i="5"/>
  <c r="AJ93" i="5"/>
  <c r="AJ49" i="5"/>
  <c r="AL49" i="5" s="1"/>
  <c r="AJ105" i="5"/>
  <c r="AK105" i="5" s="1"/>
  <c r="AJ75" i="5"/>
  <c r="AL75" i="5" s="1"/>
  <c r="AJ188" i="5"/>
  <c r="AK188" i="5" s="1"/>
  <c r="AJ146" i="5"/>
  <c r="AJ77" i="5"/>
  <c r="AJ169" i="5"/>
  <c r="AJ195" i="5"/>
  <c r="AL195" i="5" s="1"/>
  <c r="AJ156" i="5"/>
  <c r="AL156" i="5" s="1"/>
  <c r="AJ87" i="5"/>
  <c r="AJ24" i="5"/>
  <c r="AJ44" i="5"/>
  <c r="AK44" i="5" s="1"/>
  <c r="V201" i="5"/>
  <c r="V275" i="5"/>
  <c r="BA322" i="5"/>
  <c r="BB322" i="5"/>
  <c r="BA263" i="5"/>
  <c r="BB263" i="5"/>
  <c r="BA261" i="5"/>
  <c r="BB261" i="5"/>
  <c r="BB199" i="5"/>
  <c r="BA199" i="5"/>
  <c r="BB208" i="5"/>
  <c r="BA168" i="5"/>
  <c r="BB168" i="5"/>
  <c r="BA159" i="5"/>
  <c r="BB159" i="5"/>
  <c r="BA131" i="5"/>
  <c r="BB131" i="5"/>
  <c r="BA97" i="5"/>
  <c r="BB97" i="5"/>
  <c r="BA61" i="5"/>
  <c r="BA56" i="5"/>
  <c r="BB56" i="5"/>
  <c r="BA26" i="5"/>
  <c r="BB26" i="5"/>
  <c r="BA329" i="5"/>
  <c r="BB329" i="5"/>
  <c r="BB268" i="5"/>
  <c r="BA268" i="5"/>
  <c r="BB323" i="5"/>
  <c r="BB266" i="5"/>
  <c r="BA266" i="5"/>
  <c r="BB202" i="5"/>
  <c r="BA202" i="5"/>
  <c r="BB183" i="5"/>
  <c r="BA183" i="5"/>
  <c r="BB166" i="5"/>
  <c r="BA166" i="5"/>
  <c r="BB138" i="5"/>
  <c r="BA144" i="5"/>
  <c r="BB144" i="5"/>
  <c r="BA74" i="5"/>
  <c r="BB74" i="5"/>
  <c r="BB64" i="5"/>
  <c r="BA64" i="5"/>
  <c r="BA31" i="5"/>
  <c r="BB31" i="5"/>
  <c r="BB337" i="5"/>
  <c r="BA287" i="5"/>
  <c r="BB287" i="5"/>
  <c r="BA331" i="5"/>
  <c r="BB331" i="5"/>
  <c r="BB234" i="5"/>
  <c r="BA234" i="5"/>
  <c r="BA222" i="5"/>
  <c r="BB222" i="5"/>
  <c r="BA198" i="5"/>
  <c r="BA176" i="5"/>
  <c r="BB176" i="5"/>
  <c r="BA160" i="5"/>
  <c r="BB160" i="5"/>
  <c r="BA108" i="5"/>
  <c r="BB108" i="5"/>
  <c r="BA82" i="5"/>
  <c r="BB82" i="5"/>
  <c r="BB73" i="5"/>
  <c r="BA20" i="5"/>
  <c r="BB20" i="5"/>
  <c r="U503" i="5"/>
  <c r="V503" i="5"/>
  <c r="V525" i="5"/>
  <c r="U525" i="5"/>
  <c r="V494" i="5"/>
  <c r="U494" i="5"/>
  <c r="U74" i="5"/>
  <c r="V74" i="5"/>
  <c r="U477" i="5"/>
  <c r="V477" i="5"/>
  <c r="V547" i="5"/>
  <c r="U547" i="5"/>
  <c r="U521" i="5"/>
  <c r="V521" i="5"/>
  <c r="U327" i="5"/>
  <c r="V327" i="5"/>
  <c r="U397" i="5"/>
  <c r="V397" i="5"/>
  <c r="U450" i="5"/>
  <c r="V450" i="5"/>
  <c r="V352" i="5"/>
  <c r="U352" i="5"/>
  <c r="U360" i="5"/>
  <c r="V360" i="5"/>
  <c r="V391" i="5"/>
  <c r="U391" i="5"/>
  <c r="U323" i="5"/>
  <c r="V323" i="5"/>
  <c r="U140" i="5"/>
  <c r="V140" i="5"/>
  <c r="V27" i="5"/>
  <c r="U27" i="5"/>
  <c r="U528" i="5"/>
  <c r="V528" i="5"/>
  <c r="U541" i="5"/>
  <c r="V541" i="5"/>
  <c r="V556" i="5"/>
  <c r="U556" i="5"/>
  <c r="U452" i="5"/>
  <c r="V452" i="5"/>
  <c r="V517" i="5"/>
  <c r="U517" i="5"/>
  <c r="U537" i="5"/>
  <c r="V537" i="5"/>
  <c r="V370" i="5"/>
  <c r="U370" i="5"/>
  <c r="U393" i="5"/>
  <c r="V393" i="5"/>
  <c r="V265" i="5"/>
  <c r="U265" i="5"/>
  <c r="U112" i="5"/>
  <c r="V112" i="5"/>
  <c r="V551" i="5"/>
  <c r="U551" i="5"/>
  <c r="U540" i="5"/>
  <c r="V540" i="5"/>
  <c r="V416" i="5"/>
  <c r="U416" i="5"/>
  <c r="U485" i="5"/>
  <c r="V485" i="5"/>
  <c r="U507" i="5"/>
  <c r="V507" i="5"/>
  <c r="V388" i="5"/>
  <c r="U388" i="5"/>
  <c r="V343" i="5"/>
  <c r="U343" i="5"/>
  <c r="U166" i="5"/>
  <c r="V166" i="5"/>
  <c r="U25" i="5"/>
  <c r="V25" i="5"/>
  <c r="U373" i="5"/>
  <c r="V373" i="5"/>
  <c r="V389" i="5"/>
  <c r="U389" i="5"/>
  <c r="V410" i="5"/>
  <c r="U410" i="5"/>
  <c r="V309" i="5"/>
  <c r="U309" i="5"/>
  <c r="V296" i="5"/>
  <c r="U296" i="5"/>
  <c r="U278" i="5"/>
  <c r="V278" i="5"/>
  <c r="U168" i="5"/>
  <c r="V168" i="5"/>
  <c r="U202" i="5"/>
  <c r="V202" i="5"/>
  <c r="V111" i="5"/>
  <c r="U111" i="5"/>
  <c r="U129" i="5"/>
  <c r="V129" i="5"/>
  <c r="U72" i="5"/>
  <c r="V72" i="5"/>
  <c r="U65" i="5"/>
  <c r="V65" i="5"/>
  <c r="U21" i="5"/>
  <c r="V21" i="5"/>
  <c r="U385" i="5"/>
  <c r="V385" i="5"/>
  <c r="V405" i="5"/>
  <c r="U405" i="5"/>
  <c r="U286" i="5"/>
  <c r="V286" i="5"/>
  <c r="U311" i="5"/>
  <c r="V311" i="5"/>
  <c r="U277" i="5"/>
  <c r="V277" i="5"/>
  <c r="V157" i="5"/>
  <c r="U157" i="5"/>
  <c r="U200" i="5"/>
  <c r="V200" i="5"/>
  <c r="V86" i="5"/>
  <c r="U86" i="5"/>
  <c r="U124" i="5"/>
  <c r="V124" i="5"/>
  <c r="U60" i="5"/>
  <c r="V60" i="5"/>
  <c r="U62" i="5"/>
  <c r="V62" i="5"/>
  <c r="U46" i="5"/>
  <c r="V46" i="5"/>
  <c r="U559" i="5"/>
  <c r="V559" i="5"/>
  <c r="U524" i="5"/>
  <c r="V524" i="5"/>
  <c r="V545" i="5"/>
  <c r="U545" i="5"/>
  <c r="V557" i="5"/>
  <c r="U557" i="5"/>
  <c r="V470" i="5"/>
  <c r="U470" i="5"/>
  <c r="U398" i="5"/>
  <c r="V398" i="5"/>
  <c r="V500" i="5"/>
  <c r="U500" i="5"/>
  <c r="V339" i="5"/>
  <c r="U339" i="5"/>
  <c r="V448" i="5"/>
  <c r="U448" i="5"/>
  <c r="U383" i="5"/>
  <c r="V383" i="5"/>
  <c r="U421" i="5"/>
  <c r="V421" i="5"/>
  <c r="U329" i="5"/>
  <c r="V329" i="5"/>
  <c r="U325" i="5"/>
  <c r="V325" i="5"/>
  <c r="V295" i="5"/>
  <c r="U295" i="5"/>
  <c r="V192" i="5"/>
  <c r="U192" i="5"/>
  <c r="V209" i="5"/>
  <c r="U209" i="5"/>
  <c r="V163" i="5"/>
  <c r="U163" i="5"/>
  <c r="V148" i="5"/>
  <c r="U148" i="5"/>
  <c r="V90" i="5"/>
  <c r="U90" i="5"/>
  <c r="U58" i="5"/>
  <c r="V58" i="5"/>
  <c r="V31" i="5"/>
  <c r="U31" i="5"/>
  <c r="U480" i="5"/>
  <c r="V480" i="5"/>
  <c r="U347" i="5"/>
  <c r="V347" i="5"/>
  <c r="U478" i="5"/>
  <c r="V478" i="5"/>
  <c r="U324" i="5"/>
  <c r="V324" i="5"/>
  <c r="U363" i="5"/>
  <c r="V363" i="5"/>
  <c r="V407" i="5"/>
  <c r="U407" i="5"/>
  <c r="U214" i="5"/>
  <c r="V214" i="5"/>
  <c r="V381" i="5"/>
  <c r="U381" i="5"/>
  <c r="V283" i="5"/>
  <c r="U283" i="5"/>
  <c r="V303" i="5"/>
  <c r="U303" i="5"/>
  <c r="U246" i="5"/>
  <c r="V246" i="5"/>
  <c r="V284" i="5"/>
  <c r="U284" i="5"/>
  <c r="V306" i="5"/>
  <c r="U306" i="5"/>
  <c r="U254" i="5"/>
  <c r="V254" i="5"/>
  <c r="U210" i="5"/>
  <c r="V210" i="5"/>
  <c r="U212" i="5"/>
  <c r="V212" i="5"/>
  <c r="V215" i="5"/>
  <c r="U215" i="5"/>
  <c r="U194" i="5"/>
  <c r="V194" i="5"/>
  <c r="U170" i="5"/>
  <c r="V170" i="5"/>
  <c r="V149" i="5"/>
  <c r="U149" i="5"/>
  <c r="V156" i="5"/>
  <c r="U156" i="5"/>
  <c r="U84" i="5"/>
  <c r="V84" i="5"/>
  <c r="U101" i="5"/>
  <c r="V101" i="5"/>
  <c r="U94" i="5"/>
  <c r="V94" i="5"/>
  <c r="U66" i="5"/>
  <c r="V66" i="5"/>
  <c r="U70" i="5"/>
  <c r="V70" i="5"/>
  <c r="U39" i="5"/>
  <c r="V39" i="5"/>
  <c r="V250" i="5"/>
  <c r="U250" i="5"/>
  <c r="V176" i="5"/>
  <c r="U176" i="5"/>
  <c r="V174" i="5"/>
  <c r="U174" i="5"/>
  <c r="U150" i="5"/>
  <c r="V150" i="5"/>
  <c r="U118" i="5"/>
  <c r="V118" i="5"/>
  <c r="U131" i="5"/>
  <c r="V131" i="5"/>
  <c r="V83" i="5"/>
  <c r="U83" i="5"/>
  <c r="U67" i="5"/>
  <c r="V67" i="5"/>
  <c r="U41" i="5"/>
  <c r="V41" i="5"/>
  <c r="BA302" i="5"/>
  <c r="BB302" i="5"/>
  <c r="BA282" i="5"/>
  <c r="BB282" i="5"/>
  <c r="BA236" i="5"/>
  <c r="BA115" i="5"/>
  <c r="BB115" i="5"/>
  <c r="BA107" i="5"/>
  <c r="BB83" i="5"/>
  <c r="BA39" i="5"/>
  <c r="BB39" i="5"/>
  <c r="BA373" i="5"/>
  <c r="BB288" i="5"/>
  <c r="BA288" i="5"/>
  <c r="BB179" i="5"/>
  <c r="BB177" i="5"/>
  <c r="BB117" i="5"/>
  <c r="BA117" i="5"/>
  <c r="BA75" i="5"/>
  <c r="BB44" i="5"/>
  <c r="BA44" i="5"/>
  <c r="BA314" i="5"/>
  <c r="BB314" i="5"/>
  <c r="BA300" i="5"/>
  <c r="BA178" i="5"/>
  <c r="BB178" i="5"/>
  <c r="BB156" i="5"/>
  <c r="BA156" i="5"/>
  <c r="BB137" i="5"/>
  <c r="BB92" i="5"/>
  <c r="BA92" i="5"/>
  <c r="BA32" i="5"/>
  <c r="BB32" i="5"/>
  <c r="BB45" i="5"/>
  <c r="BA45" i="5"/>
  <c r="V531" i="5"/>
  <c r="U531" i="5"/>
  <c r="V310" i="5"/>
  <c r="U310" i="5"/>
  <c r="V154" i="5"/>
  <c r="U154" i="5"/>
  <c r="V432" i="5"/>
  <c r="U432" i="5"/>
  <c r="V546" i="5"/>
  <c r="U546" i="5"/>
  <c r="U501" i="5"/>
  <c r="V501" i="5"/>
  <c r="U408" i="5"/>
  <c r="V408" i="5"/>
  <c r="U88" i="5"/>
  <c r="V88" i="5"/>
  <c r="V476" i="5"/>
  <c r="U476" i="5"/>
  <c r="V487" i="5"/>
  <c r="U487" i="5"/>
  <c r="V481" i="5"/>
  <c r="U481" i="5"/>
  <c r="V281" i="5"/>
  <c r="U281" i="5"/>
  <c r="U549" i="5"/>
  <c r="V549" i="5"/>
  <c r="V463" i="5"/>
  <c r="U463" i="5"/>
  <c r="U431" i="5"/>
  <c r="V431" i="5"/>
  <c r="U258" i="5"/>
  <c r="V258" i="5"/>
  <c r="U414" i="5"/>
  <c r="V414" i="5"/>
  <c r="U366" i="5"/>
  <c r="V366" i="5"/>
  <c r="U244" i="5"/>
  <c r="V244" i="5"/>
  <c r="U144" i="5"/>
  <c r="V144" i="5"/>
  <c r="U132" i="5"/>
  <c r="V132" i="5"/>
  <c r="V272" i="5"/>
  <c r="U272" i="5"/>
  <c r="U237" i="5"/>
  <c r="V237" i="5"/>
  <c r="V175" i="5"/>
  <c r="U175" i="5"/>
  <c r="V127" i="5"/>
  <c r="U127" i="5"/>
  <c r="U502" i="5"/>
  <c r="V502" i="5"/>
  <c r="U406" i="5"/>
  <c r="V406" i="5"/>
  <c r="V439" i="5"/>
  <c r="U439" i="5"/>
  <c r="V505" i="5"/>
  <c r="U505" i="5"/>
  <c r="V336" i="5"/>
  <c r="U336" i="5"/>
  <c r="U349" i="5"/>
  <c r="V349" i="5"/>
  <c r="V249" i="5"/>
  <c r="U249" i="5"/>
  <c r="U189" i="5"/>
  <c r="V189" i="5"/>
  <c r="U81" i="5"/>
  <c r="V81" i="5"/>
  <c r="U456" i="5"/>
  <c r="V456" i="5"/>
  <c r="V443" i="5"/>
  <c r="U443" i="5"/>
  <c r="U375" i="5"/>
  <c r="V375" i="5"/>
  <c r="U345" i="5"/>
  <c r="V345" i="5"/>
  <c r="U316" i="5"/>
  <c r="V316" i="5"/>
  <c r="U236" i="5"/>
  <c r="V236" i="5"/>
  <c r="U245" i="5"/>
  <c r="V245" i="5"/>
  <c r="V187" i="5"/>
  <c r="U187" i="5"/>
  <c r="U126" i="5"/>
  <c r="V126" i="5"/>
  <c r="V61" i="5"/>
  <c r="U61" i="5"/>
  <c r="U47" i="5"/>
  <c r="V47" i="5"/>
  <c r="U260" i="5"/>
  <c r="V260" i="5"/>
  <c r="V79" i="5"/>
  <c r="U79" i="5"/>
  <c r="U114" i="5"/>
  <c r="V114" i="5"/>
  <c r="U98" i="5"/>
  <c r="V98" i="5"/>
  <c r="AJ28" i="5"/>
  <c r="AL28" i="5" s="1"/>
  <c r="AJ158" i="5"/>
  <c r="AL158" i="5" s="1"/>
  <c r="AJ27" i="5"/>
  <c r="AK27" i="5" s="1"/>
  <c r="AJ164" i="5"/>
  <c r="AL164" i="5" s="1"/>
  <c r="AJ40" i="5"/>
  <c r="AL40" i="5" s="1"/>
  <c r="AJ174" i="5"/>
  <c r="AJ125" i="5"/>
  <c r="AJ61" i="5"/>
  <c r="AJ153" i="5"/>
  <c r="AK153" i="5" s="1"/>
  <c r="AJ184" i="5"/>
  <c r="AJ143" i="5"/>
  <c r="AJ71" i="5"/>
  <c r="AJ165" i="5"/>
  <c r="AK165" i="5" s="1"/>
  <c r="AJ138" i="5"/>
  <c r="V412" i="5"/>
  <c r="V222" i="5"/>
  <c r="U37" i="5"/>
  <c r="U362" i="5"/>
  <c r="V22" i="5"/>
  <c r="BB312" i="5"/>
  <c r="BA312" i="5"/>
  <c r="BB249" i="5"/>
  <c r="BA249" i="5"/>
  <c r="BA278" i="5"/>
  <c r="BB278" i="5"/>
  <c r="BB296" i="5"/>
  <c r="BA296" i="5"/>
  <c r="BB220" i="5"/>
  <c r="BA220" i="5"/>
  <c r="BB161" i="5"/>
  <c r="BA161" i="5"/>
  <c r="BB194" i="5"/>
  <c r="BA194" i="5"/>
  <c r="BA171" i="5"/>
  <c r="BB171" i="5"/>
  <c r="BB152" i="5"/>
  <c r="BA152" i="5"/>
  <c r="BA116" i="5"/>
  <c r="BB116" i="5"/>
  <c r="BA127" i="5"/>
  <c r="BB127" i="5"/>
  <c r="BA123" i="5"/>
  <c r="BB123" i="5"/>
  <c r="BA110" i="5"/>
  <c r="BB110" i="5"/>
  <c r="BB91" i="5"/>
  <c r="BA91" i="5"/>
  <c r="BA23" i="5"/>
  <c r="BB23" i="5"/>
  <c r="BA24" i="5"/>
  <c r="BB24" i="5"/>
  <c r="BB50" i="5"/>
  <c r="BA50" i="5"/>
  <c r="BB40" i="5"/>
  <c r="BA40" i="5"/>
  <c r="BA393" i="5"/>
  <c r="BB393" i="5"/>
  <c r="BA218" i="5"/>
  <c r="BB218" i="5"/>
  <c r="BB315" i="5"/>
  <c r="BA315" i="5"/>
  <c r="BA255" i="5"/>
  <c r="BB255" i="5"/>
  <c r="BA290" i="5"/>
  <c r="BB290" i="5"/>
  <c r="BA303" i="5"/>
  <c r="BB303" i="5"/>
  <c r="BA246" i="5"/>
  <c r="BB246" i="5"/>
  <c r="BA184" i="5"/>
  <c r="BB184" i="5"/>
  <c r="BA196" i="5"/>
  <c r="BB196" i="5"/>
  <c r="BA190" i="5"/>
  <c r="BB190" i="5"/>
  <c r="BB158" i="5"/>
  <c r="BA158" i="5"/>
  <c r="BB150" i="5"/>
  <c r="BA150" i="5"/>
  <c r="BA139" i="5"/>
  <c r="BB139" i="5"/>
  <c r="BB126" i="5"/>
  <c r="BA126" i="5"/>
  <c r="BB121" i="5"/>
  <c r="BA121" i="5"/>
  <c r="BA95" i="5"/>
  <c r="BB95" i="5"/>
  <c r="BB59" i="5"/>
  <c r="BA59" i="5"/>
  <c r="BB55" i="5"/>
  <c r="BA55" i="5"/>
  <c r="BA35" i="5"/>
  <c r="BB35" i="5"/>
  <c r="BB22" i="5"/>
  <c r="BA22" i="5"/>
  <c r="BA299" i="5"/>
  <c r="BB299" i="5"/>
  <c r="BB324" i="5"/>
  <c r="BA324" i="5"/>
  <c r="BB265" i="5"/>
  <c r="BA265" i="5"/>
  <c r="BA305" i="5"/>
  <c r="BB305" i="5"/>
  <c r="BB318" i="5"/>
  <c r="BA318" i="5"/>
  <c r="BB264" i="5"/>
  <c r="BA264" i="5"/>
  <c r="BB200" i="5"/>
  <c r="BA200" i="5"/>
  <c r="BB212" i="5"/>
  <c r="BA212" i="5"/>
  <c r="BB211" i="5"/>
  <c r="BA211" i="5"/>
  <c r="BA173" i="5"/>
  <c r="BB173" i="5"/>
  <c r="BA164" i="5"/>
  <c r="BB164" i="5"/>
  <c r="BA148" i="5"/>
  <c r="BB148" i="5"/>
  <c r="BB135" i="5"/>
  <c r="BA135" i="5"/>
  <c r="BB140" i="5"/>
  <c r="BA140" i="5"/>
  <c r="BB98" i="5"/>
  <c r="BA98" i="5"/>
  <c r="BA69" i="5"/>
  <c r="BB69" i="5"/>
  <c r="BA66" i="5"/>
  <c r="BB66" i="5"/>
  <c r="BB60" i="5"/>
  <c r="BA60" i="5"/>
  <c r="BA27" i="5"/>
  <c r="BB27" i="5"/>
  <c r="V435" i="5"/>
  <c r="U435" i="5"/>
  <c r="V230" i="5"/>
  <c r="U230" i="5"/>
  <c r="U93" i="5"/>
  <c r="V93" i="5"/>
  <c r="U492" i="5"/>
  <c r="V492" i="5"/>
  <c r="V379" i="5"/>
  <c r="U379" i="5"/>
  <c r="U423" i="5"/>
  <c r="V423" i="5"/>
  <c r="V226" i="5"/>
  <c r="U226" i="5"/>
  <c r="U394" i="5"/>
  <c r="V394" i="5"/>
  <c r="V427" i="5"/>
  <c r="U427" i="5"/>
  <c r="U119" i="5"/>
  <c r="V119" i="5"/>
  <c r="U530" i="5"/>
  <c r="V530" i="5"/>
  <c r="U544" i="5"/>
  <c r="V544" i="5"/>
  <c r="U560" i="5"/>
  <c r="V560" i="5"/>
  <c r="U455" i="5"/>
  <c r="V455" i="5"/>
  <c r="V519" i="5"/>
  <c r="U519" i="5"/>
  <c r="U351" i="5"/>
  <c r="V351" i="5"/>
  <c r="U420" i="5"/>
  <c r="V420" i="5"/>
  <c r="V289" i="5"/>
  <c r="U289" i="5"/>
  <c r="U142" i="5"/>
  <c r="V142" i="5"/>
  <c r="U520" i="5"/>
  <c r="V520" i="5"/>
  <c r="V542" i="5"/>
  <c r="U542" i="5"/>
  <c r="U506" i="5"/>
  <c r="V506" i="5"/>
  <c r="U425" i="5"/>
  <c r="V425" i="5"/>
  <c r="V496" i="5"/>
  <c r="U496" i="5"/>
  <c r="U402" i="5"/>
  <c r="V402" i="5"/>
  <c r="V267" i="5"/>
  <c r="U267" i="5"/>
  <c r="V232" i="5"/>
  <c r="U232" i="5"/>
  <c r="V95" i="5"/>
  <c r="U95" i="5"/>
  <c r="V445" i="5"/>
  <c r="U445" i="5"/>
  <c r="V514" i="5"/>
  <c r="U514" i="5"/>
  <c r="V482" i="5"/>
  <c r="U482" i="5"/>
  <c r="V377" i="5"/>
  <c r="U377" i="5"/>
  <c r="U466" i="5"/>
  <c r="V466" i="5"/>
  <c r="U319" i="5"/>
  <c r="V319" i="5"/>
  <c r="U259" i="5"/>
  <c r="V259" i="5"/>
  <c r="V186" i="5"/>
  <c r="U186" i="5"/>
  <c r="U53" i="5"/>
  <c r="V53" i="5"/>
  <c r="U353" i="5"/>
  <c r="V353" i="5"/>
  <c r="V390" i="5"/>
  <c r="U390" i="5"/>
  <c r="U262" i="5"/>
  <c r="V262" i="5"/>
  <c r="V269" i="5"/>
  <c r="U269" i="5"/>
  <c r="V291" i="5"/>
  <c r="U291" i="5"/>
  <c r="V257" i="5"/>
  <c r="U257" i="5"/>
  <c r="U217" i="5"/>
  <c r="V217" i="5"/>
  <c r="U198" i="5"/>
  <c r="V198" i="5"/>
  <c r="U167" i="5"/>
  <c r="V167" i="5"/>
  <c r="U103" i="5"/>
  <c r="V103" i="5"/>
  <c r="U97" i="5"/>
  <c r="V97" i="5"/>
  <c r="U23" i="5"/>
  <c r="V23" i="5"/>
  <c r="U340" i="5"/>
  <c r="V340" i="5"/>
  <c r="U371" i="5"/>
  <c r="V371" i="5"/>
  <c r="U387" i="5"/>
  <c r="V387" i="5"/>
  <c r="V354" i="5"/>
  <c r="U354" i="5"/>
  <c r="V268" i="5"/>
  <c r="U268" i="5"/>
  <c r="V288" i="5"/>
  <c r="U288" i="5"/>
  <c r="U255" i="5"/>
  <c r="V255" i="5"/>
  <c r="U216" i="5"/>
  <c r="V216" i="5"/>
  <c r="U197" i="5"/>
  <c r="V197" i="5"/>
  <c r="V165" i="5"/>
  <c r="U165" i="5"/>
  <c r="U99" i="5"/>
  <c r="V99" i="5"/>
  <c r="U96" i="5"/>
  <c r="V96" i="5"/>
  <c r="U20" i="5"/>
  <c r="V20" i="5"/>
  <c r="U19" i="5"/>
  <c r="V19" i="5"/>
  <c r="V535" i="5"/>
  <c r="U535" i="5"/>
  <c r="U490" i="5"/>
  <c r="V490" i="5"/>
  <c r="U536" i="5"/>
  <c r="V536" i="5"/>
  <c r="U526" i="5"/>
  <c r="V526" i="5"/>
  <c r="V457" i="5"/>
  <c r="U457" i="5"/>
  <c r="V368" i="5"/>
  <c r="U368" i="5"/>
  <c r="U516" i="5"/>
  <c r="V516" i="5"/>
  <c r="V430" i="5"/>
  <c r="U430" i="5"/>
  <c r="U361" i="5"/>
  <c r="V361" i="5"/>
  <c r="V380" i="5"/>
  <c r="U380" i="5"/>
  <c r="V403" i="5"/>
  <c r="U403" i="5"/>
  <c r="U280" i="5"/>
  <c r="V280" i="5"/>
  <c r="V285" i="5"/>
  <c r="U285" i="5"/>
  <c r="V302" i="5"/>
  <c r="U302" i="5"/>
  <c r="V270" i="5"/>
  <c r="U270" i="5"/>
  <c r="V238" i="5"/>
  <c r="U238" i="5"/>
  <c r="V164" i="5"/>
  <c r="U164" i="5"/>
  <c r="V178" i="5"/>
  <c r="U178" i="5"/>
  <c r="V116" i="5"/>
  <c r="U116" i="5"/>
  <c r="V102" i="5"/>
  <c r="U102" i="5"/>
  <c r="V51" i="5"/>
  <c r="U51" i="5"/>
  <c r="V29" i="5"/>
  <c r="U29" i="5"/>
  <c r="V468" i="5"/>
  <c r="U468" i="5"/>
  <c r="V532" i="5"/>
  <c r="U532" i="5"/>
  <c r="V458" i="5"/>
  <c r="U458" i="5"/>
  <c r="V411" i="5"/>
  <c r="U411" i="5"/>
  <c r="U348" i="5"/>
  <c r="V348" i="5"/>
  <c r="U386" i="5"/>
  <c r="V386" i="5"/>
  <c r="U429" i="5"/>
  <c r="V429" i="5"/>
  <c r="U364" i="5"/>
  <c r="V364" i="5"/>
  <c r="U356" i="5"/>
  <c r="V356" i="5"/>
  <c r="U293" i="5"/>
  <c r="V293" i="5"/>
  <c r="V331" i="5"/>
  <c r="U331" i="5"/>
  <c r="V251" i="5"/>
  <c r="U251" i="5"/>
  <c r="U282" i="5"/>
  <c r="V282" i="5"/>
  <c r="V241" i="5"/>
  <c r="U241" i="5"/>
  <c r="V180" i="5"/>
  <c r="U180" i="5"/>
  <c r="U159" i="5"/>
  <c r="V159" i="5"/>
  <c r="V205" i="5"/>
  <c r="U205" i="5"/>
  <c r="U185" i="5"/>
  <c r="V185" i="5"/>
  <c r="V133" i="5"/>
  <c r="U133" i="5"/>
  <c r="V152" i="5"/>
  <c r="U152" i="5"/>
  <c r="U137" i="5"/>
  <c r="V137" i="5"/>
  <c r="V139" i="5"/>
  <c r="U139" i="5"/>
  <c r="V85" i="5"/>
  <c r="U85" i="5"/>
  <c r="V92" i="5"/>
  <c r="U92" i="5"/>
  <c r="U35" i="5"/>
  <c r="V35" i="5"/>
  <c r="V52" i="5"/>
  <c r="U52" i="5"/>
  <c r="U26" i="5"/>
  <c r="V26" i="5"/>
  <c r="V334" i="5"/>
  <c r="U334" i="5"/>
  <c r="V273" i="5"/>
  <c r="U273" i="5"/>
  <c r="V239" i="5"/>
  <c r="U239" i="5"/>
  <c r="U188" i="5"/>
  <c r="V188" i="5"/>
  <c r="V161" i="5"/>
  <c r="U161" i="5"/>
  <c r="U117" i="5"/>
  <c r="V117" i="5"/>
  <c r="U121" i="5"/>
  <c r="V121" i="5"/>
  <c r="U105" i="5"/>
  <c r="V105" i="5"/>
  <c r="U57" i="5"/>
  <c r="V57" i="5"/>
  <c r="V43" i="5"/>
  <c r="U43" i="5"/>
  <c r="V38" i="5"/>
  <c r="U38" i="5"/>
  <c r="AJ33" i="5"/>
  <c r="AJ141" i="5"/>
  <c r="AJ29" i="5"/>
  <c r="AJ64" i="5"/>
  <c r="AJ97" i="5"/>
  <c r="AJ129" i="5"/>
  <c r="AJ160" i="5"/>
  <c r="AJ176" i="5"/>
  <c r="AJ62" i="5"/>
  <c r="AJ185" i="5"/>
  <c r="AJ203" i="5"/>
  <c r="AJ219" i="5"/>
  <c r="AJ233" i="5"/>
  <c r="AJ255" i="5"/>
  <c r="AJ270" i="5"/>
  <c r="AJ286" i="5"/>
  <c r="AJ302" i="5"/>
  <c r="AJ319" i="5"/>
  <c r="AJ55" i="5"/>
  <c r="AJ107" i="5"/>
  <c r="AJ139" i="5"/>
  <c r="AJ186" i="5"/>
  <c r="AJ202" i="5"/>
  <c r="AJ218" i="5"/>
  <c r="AJ235" i="5"/>
  <c r="AJ20" i="5"/>
  <c r="AJ67" i="5"/>
  <c r="AJ193" i="5"/>
  <c r="AJ212" i="5"/>
  <c r="AJ231" i="5"/>
  <c r="AJ244" i="5"/>
  <c r="AJ252" i="5"/>
  <c r="AJ260" i="5"/>
  <c r="AJ276" i="5"/>
  <c r="AJ292" i="5"/>
  <c r="AJ308" i="5"/>
  <c r="AJ324" i="5"/>
  <c r="AJ194" i="5"/>
  <c r="AJ264" i="5"/>
  <c r="AJ296" i="5"/>
  <c r="AJ321" i="5"/>
  <c r="AJ339" i="5"/>
  <c r="AJ355" i="5"/>
  <c r="AJ371" i="5"/>
  <c r="AJ383" i="5"/>
  <c r="AJ396" i="5"/>
  <c r="AJ462" i="5"/>
  <c r="AJ478" i="5"/>
  <c r="AJ494" i="5"/>
  <c r="AJ509" i="5"/>
  <c r="AJ519" i="5"/>
  <c r="AJ529" i="5"/>
  <c r="AJ543" i="5"/>
  <c r="AJ559" i="5"/>
  <c r="AJ127" i="5"/>
  <c r="AJ221" i="5"/>
  <c r="AJ269" i="5"/>
  <c r="AJ301" i="5"/>
  <c r="AJ318" i="5"/>
  <c r="AJ333" i="5"/>
  <c r="AJ349" i="5"/>
  <c r="AJ365" i="5"/>
  <c r="AJ385" i="5"/>
  <c r="AJ401" i="5"/>
  <c r="AJ417" i="5"/>
  <c r="AJ433" i="5"/>
  <c r="AJ253" i="5"/>
  <c r="AJ271" i="5"/>
  <c r="AJ303" i="5"/>
  <c r="AJ389" i="5"/>
  <c r="AJ403" i="5"/>
  <c r="AJ419" i="5"/>
  <c r="AJ435" i="5"/>
  <c r="AJ451" i="5"/>
  <c r="AJ467" i="5"/>
  <c r="AJ483" i="5"/>
  <c r="AJ499" i="5"/>
  <c r="AJ514" i="5"/>
  <c r="AJ530" i="5"/>
  <c r="AJ540" i="5"/>
  <c r="AJ548" i="5"/>
  <c r="AJ209" i="5"/>
  <c r="AJ344" i="5"/>
  <c r="AJ376" i="5"/>
  <c r="AJ59" i="5"/>
  <c r="AJ157" i="5"/>
  <c r="AJ34" i="5"/>
  <c r="AJ66" i="5"/>
  <c r="AJ101" i="5"/>
  <c r="AJ133" i="5"/>
  <c r="AJ162" i="5"/>
  <c r="AJ180" i="5"/>
  <c r="AJ89" i="5"/>
  <c r="AJ189" i="5"/>
  <c r="AJ207" i="5"/>
  <c r="AJ223" i="5"/>
  <c r="AJ239" i="5"/>
  <c r="AJ259" i="5"/>
  <c r="AJ275" i="5"/>
  <c r="AJ291" i="5"/>
  <c r="AJ307" i="5"/>
  <c r="AJ326" i="5"/>
  <c r="AJ73" i="5"/>
  <c r="AJ115" i="5"/>
  <c r="AJ148" i="5"/>
  <c r="AJ190" i="5"/>
  <c r="AJ206" i="5"/>
  <c r="AJ222" i="5"/>
  <c r="AJ238" i="5"/>
  <c r="AJ30" i="5"/>
  <c r="AJ76" i="5"/>
  <c r="AJ200" i="5"/>
  <c r="AJ216" i="5"/>
  <c r="AJ234" i="5"/>
  <c r="AJ246" i="5"/>
  <c r="AJ254" i="5"/>
  <c r="AJ262" i="5"/>
  <c r="AJ278" i="5"/>
  <c r="AJ294" i="5"/>
  <c r="AJ312" i="5"/>
  <c r="AJ119" i="5"/>
  <c r="AJ227" i="5"/>
  <c r="AJ277" i="5"/>
  <c r="AJ309" i="5"/>
  <c r="AJ325" i="5"/>
  <c r="AJ343" i="5"/>
  <c r="AJ359" i="5"/>
  <c r="AJ375" i="5"/>
  <c r="AJ388" i="5"/>
  <c r="AJ398" i="5"/>
  <c r="AJ464" i="5"/>
  <c r="AJ480" i="5"/>
  <c r="AJ496" i="5"/>
  <c r="AJ511" i="5"/>
  <c r="AJ523" i="5"/>
  <c r="AJ533" i="5"/>
  <c r="AJ547" i="5"/>
  <c r="AJ23" i="5"/>
  <c r="AJ196" i="5"/>
  <c r="AJ230" i="5"/>
  <c r="AJ274" i="5"/>
  <c r="AJ306" i="5"/>
  <c r="B76" i="5"/>
  <c r="AJ91" i="5"/>
  <c r="AJ173" i="5"/>
  <c r="AJ50" i="5"/>
  <c r="AJ82" i="5"/>
  <c r="AJ117" i="5"/>
  <c r="AJ154" i="5"/>
  <c r="AJ170" i="5"/>
  <c r="AJ52" i="5"/>
  <c r="AJ181" i="5"/>
  <c r="AJ199" i="5"/>
  <c r="AJ215" i="5"/>
  <c r="AJ228" i="5"/>
  <c r="AJ251" i="5"/>
  <c r="AJ268" i="5"/>
  <c r="AJ284" i="5"/>
  <c r="AJ300" i="5"/>
  <c r="AJ315" i="5"/>
  <c r="AJ46" i="5"/>
  <c r="AJ99" i="5"/>
  <c r="AJ131" i="5"/>
  <c r="AJ182" i="5"/>
  <c r="AJ198" i="5"/>
  <c r="AJ214" i="5"/>
  <c r="AJ229" i="5"/>
  <c r="AJ242" i="5"/>
  <c r="AJ57" i="5"/>
  <c r="AJ178" i="5"/>
  <c r="AJ208" i="5"/>
  <c r="AJ225" i="5"/>
  <c r="AJ241" i="5"/>
  <c r="AJ250" i="5"/>
  <c r="AJ258" i="5"/>
  <c r="AJ273" i="5"/>
  <c r="AJ289" i="5"/>
  <c r="AJ305" i="5"/>
  <c r="AJ320" i="5"/>
  <c r="AJ179" i="5"/>
  <c r="AJ247" i="5"/>
  <c r="AJ287" i="5"/>
  <c r="AJ317" i="5"/>
  <c r="AJ335" i="5"/>
  <c r="AJ351" i="5"/>
  <c r="AJ367" i="5"/>
  <c r="AJ379" i="5"/>
  <c r="AJ394" i="5"/>
  <c r="AJ459" i="5"/>
  <c r="AJ475" i="5"/>
  <c r="AJ491" i="5"/>
  <c r="AJ507" i="5"/>
  <c r="AJ517" i="5"/>
  <c r="AJ527" i="5"/>
  <c r="AJ539" i="5"/>
  <c r="AJ555" i="5"/>
  <c r="AJ95" i="5"/>
  <c r="AJ213" i="5"/>
  <c r="AJ249" i="5"/>
  <c r="AJ288" i="5"/>
  <c r="AJ314" i="5"/>
  <c r="AJ331" i="5"/>
  <c r="AJ345" i="5"/>
  <c r="AJ361" i="5"/>
  <c r="AJ381" i="5"/>
  <c r="AJ395" i="5"/>
  <c r="AJ413" i="5"/>
  <c r="AJ429" i="5"/>
  <c r="AJ232" i="5"/>
  <c r="AJ266" i="5"/>
  <c r="AJ298" i="5"/>
  <c r="AJ378" i="5"/>
  <c r="AJ399" i="5"/>
  <c r="AJ415" i="5"/>
  <c r="AJ431" i="5"/>
  <c r="AJ447" i="5"/>
  <c r="AJ461" i="5"/>
  <c r="AJ477" i="5"/>
  <c r="AJ493" i="5"/>
  <c r="AJ508" i="5"/>
  <c r="AJ524" i="5"/>
  <c r="AJ538" i="5"/>
  <c r="AJ546" i="5"/>
  <c r="AJ144" i="5"/>
  <c r="AJ336" i="5"/>
  <c r="AJ368" i="5"/>
  <c r="AJ408" i="5"/>
  <c r="AJ161" i="5"/>
  <c r="AJ150" i="5"/>
  <c r="AJ197" i="5"/>
  <c r="AJ265" i="5"/>
  <c r="AJ36" i="5"/>
  <c r="AJ192" i="5"/>
  <c r="AJ39" i="5"/>
  <c r="AJ236" i="5"/>
  <c r="AJ283" i="5"/>
  <c r="AJ237" i="5"/>
  <c r="AJ347" i="5"/>
  <c r="AJ453" i="5"/>
  <c r="AJ513" i="5"/>
  <c r="AJ60" i="5"/>
  <c r="AJ310" i="5"/>
  <c r="AJ341" i="5"/>
  <c r="AJ373" i="5"/>
  <c r="AJ409" i="5"/>
  <c r="AJ135" i="5"/>
  <c r="AJ293" i="5"/>
  <c r="AJ393" i="5"/>
  <c r="AJ427" i="5"/>
  <c r="AJ456" i="5"/>
  <c r="AJ488" i="5"/>
  <c r="AJ520" i="5"/>
  <c r="AJ544" i="5"/>
  <c r="AJ327" i="5"/>
  <c r="AJ400" i="5"/>
  <c r="AJ437" i="5"/>
  <c r="AJ458" i="5"/>
  <c r="AJ490" i="5"/>
  <c r="AJ560" i="5"/>
  <c r="AJ500" i="5"/>
  <c r="AJ541" i="5"/>
  <c r="AJ406" i="5"/>
  <c r="AJ466" i="5"/>
  <c r="AJ263" i="5"/>
  <c r="AJ354" i="5"/>
  <c r="AJ402" i="5"/>
  <c r="AJ434" i="5"/>
  <c r="AJ450" i="5"/>
  <c r="AJ528" i="5"/>
  <c r="AJ436" i="5"/>
  <c r="AJ78" i="5"/>
  <c r="AJ348" i="5"/>
  <c r="AJ380" i="5"/>
  <c r="AJ428" i="5"/>
  <c r="AJ474" i="5"/>
  <c r="AJ506" i="5"/>
  <c r="AJ526" i="5"/>
  <c r="AJ111" i="5"/>
  <c r="AJ334" i="5"/>
  <c r="AJ366" i="5"/>
  <c r="AJ444" i="5"/>
  <c r="AJ554" i="5"/>
  <c r="AJ175" i="5"/>
  <c r="AJ136" i="5"/>
  <c r="AJ31" i="5"/>
  <c r="AJ86" i="5"/>
  <c r="AJ22" i="5"/>
  <c r="AJ132" i="5"/>
  <c r="AJ124" i="5"/>
  <c r="AJ85" i="5"/>
  <c r="AJ163" i="5"/>
  <c r="AJ130" i="5"/>
  <c r="AJ191" i="5"/>
  <c r="AJ110" i="5"/>
  <c r="AJ42" i="5"/>
  <c r="AJ100" i="5"/>
  <c r="AJ79" i="5"/>
  <c r="AJ32" i="5"/>
  <c r="AJ53" i="5"/>
  <c r="AJ45" i="5"/>
  <c r="AJ168" i="5"/>
  <c r="AJ211" i="5"/>
  <c r="AJ281" i="5"/>
  <c r="AJ83" i="5"/>
  <c r="AJ210" i="5"/>
  <c r="AJ142" i="5"/>
  <c r="AJ248" i="5"/>
  <c r="AJ299" i="5"/>
  <c r="AJ282" i="5"/>
  <c r="AJ363" i="5"/>
  <c r="AJ469" i="5"/>
  <c r="AJ525" i="5"/>
  <c r="AJ205" i="5"/>
  <c r="AJ322" i="5"/>
  <c r="AJ353" i="5"/>
  <c r="AJ387" i="5"/>
  <c r="AJ421" i="5"/>
  <c r="AJ257" i="5"/>
  <c r="AJ323" i="5"/>
  <c r="AJ407" i="5"/>
  <c r="AJ439" i="5"/>
  <c r="AJ470" i="5"/>
  <c r="AJ502" i="5"/>
  <c r="AJ532" i="5"/>
  <c r="AJ550" i="5"/>
  <c r="AJ352" i="5"/>
  <c r="AJ416" i="5"/>
  <c r="AJ441" i="5"/>
  <c r="AJ471" i="5"/>
  <c r="AJ503" i="5"/>
  <c r="AJ463" i="5"/>
  <c r="AJ512" i="5"/>
  <c r="AJ549" i="5"/>
  <c r="AJ422" i="5"/>
  <c r="AJ479" i="5"/>
  <c r="AJ329" i="5"/>
  <c r="AJ362" i="5"/>
  <c r="AJ410" i="5"/>
  <c r="AJ438" i="5"/>
  <c r="AJ468" i="5"/>
  <c r="AJ545" i="5"/>
  <c r="AJ452" i="5"/>
  <c r="AJ285" i="5"/>
  <c r="AJ356" i="5"/>
  <c r="AJ404" i="5"/>
  <c r="AJ455" i="5"/>
  <c r="AJ487" i="5"/>
  <c r="AJ510" i="5"/>
  <c r="AJ534" i="5"/>
  <c r="AJ201" i="5"/>
  <c r="AJ342" i="5"/>
  <c r="AJ397" i="5"/>
  <c r="AJ457" i="5"/>
  <c r="AJ120" i="5"/>
  <c r="AJ81" i="5"/>
  <c r="AJ187" i="5"/>
  <c r="AJ70" i="5"/>
  <c r="AJ159" i="5"/>
  <c r="AJ116" i="5"/>
  <c r="AJ104" i="5"/>
  <c r="AJ106" i="5"/>
  <c r="AJ171" i="5"/>
  <c r="AJ134" i="5"/>
  <c r="AJ98" i="5"/>
  <c r="AJ80" i="5"/>
  <c r="AJ25" i="5"/>
  <c r="AJ226" i="5"/>
  <c r="AJ297" i="5"/>
  <c r="AJ123" i="5"/>
  <c r="AJ224" i="5"/>
  <c r="AJ204" i="5"/>
  <c r="AJ256" i="5"/>
  <c r="AJ316" i="5"/>
  <c r="AJ313" i="5"/>
  <c r="AJ377" i="5"/>
  <c r="AJ485" i="5"/>
  <c r="AJ535" i="5"/>
  <c r="AJ245" i="5"/>
  <c r="AJ328" i="5"/>
  <c r="AJ357" i="5"/>
  <c r="AJ392" i="5"/>
  <c r="AJ425" i="5"/>
  <c r="AJ261" i="5"/>
  <c r="AJ332" i="5"/>
  <c r="AJ411" i="5"/>
  <c r="AJ443" i="5"/>
  <c r="AJ472" i="5"/>
  <c r="AJ504" i="5"/>
  <c r="AJ536" i="5"/>
  <c r="AJ552" i="5"/>
  <c r="AJ360" i="5"/>
  <c r="AJ424" i="5"/>
  <c r="AJ445" i="5"/>
  <c r="AJ476" i="5"/>
  <c r="AJ515" i="5"/>
  <c r="AJ473" i="5"/>
  <c r="AJ521" i="5"/>
  <c r="AJ553" i="5"/>
  <c r="AJ440" i="5"/>
  <c r="AJ41" i="5"/>
  <c r="AJ338" i="5"/>
  <c r="AJ370" i="5"/>
  <c r="AJ418" i="5"/>
  <c r="AJ442" i="5"/>
  <c r="AJ482" i="5"/>
  <c r="AJ558" i="5"/>
  <c r="AJ489" i="5"/>
  <c r="AJ304" i="5"/>
  <c r="AJ364" i="5"/>
  <c r="AJ412" i="5"/>
  <c r="AJ460" i="5"/>
  <c r="AJ492" i="5"/>
  <c r="AJ518" i="5"/>
  <c r="AJ556" i="5"/>
  <c r="AJ272" i="5"/>
  <c r="AJ350" i="5"/>
  <c r="AJ414" i="5"/>
  <c r="AJ484" i="5"/>
  <c r="AJ65" i="5"/>
  <c r="AJ128" i="5"/>
  <c r="AJ54" i="5"/>
  <c r="AJ112" i="5"/>
  <c r="AJ149" i="5"/>
  <c r="AJ108" i="5"/>
  <c r="AJ8" i="5"/>
  <c r="AJ140" i="5"/>
  <c r="AJ122" i="5"/>
  <c r="AJ90" i="5"/>
  <c r="AJ126" i="5"/>
  <c r="AJ102" i="5"/>
  <c r="AJ74" i="5"/>
  <c r="AJ51" i="5"/>
  <c r="AJ35" i="5"/>
  <c r="AJ92" i="5"/>
  <c r="AJ26" i="5"/>
  <c r="AJ72" i="5"/>
  <c r="AJ113" i="5"/>
  <c r="AJ177" i="5"/>
  <c r="AJ152" i="5"/>
  <c r="AJ551" i="5"/>
  <c r="AJ405" i="5"/>
  <c r="AJ423" i="5"/>
  <c r="AJ542" i="5"/>
  <c r="AJ449" i="5"/>
  <c r="AJ537" i="5"/>
  <c r="AJ346" i="5"/>
  <c r="AJ505" i="5"/>
  <c r="AJ372" i="5"/>
  <c r="AJ522" i="5"/>
  <c r="AJ430" i="5"/>
  <c r="AJ151" i="5"/>
  <c r="AJ167" i="5"/>
  <c r="AJ118" i="5"/>
  <c r="AJ37" i="5"/>
  <c r="AJ137" i="5"/>
  <c r="AJ240" i="5"/>
  <c r="AJ330" i="5"/>
  <c r="AJ279" i="5"/>
  <c r="AJ103" i="5"/>
  <c r="AJ454" i="5"/>
  <c r="AJ295" i="5"/>
  <c r="AJ481" i="5"/>
  <c r="AJ374" i="5"/>
  <c r="AJ386" i="5"/>
  <c r="AJ382" i="5"/>
  <c r="AJ420" i="5"/>
  <c r="AJ19" i="5"/>
  <c r="AJ498" i="5"/>
  <c r="AJ47" i="5"/>
  <c r="AJ114" i="5"/>
  <c r="AJ69" i="5"/>
  <c r="AJ58" i="5"/>
  <c r="AJ96" i="5"/>
  <c r="AJ21" i="5"/>
  <c r="AJ243" i="5"/>
  <c r="AJ220" i="5"/>
  <c r="AJ390" i="5"/>
  <c r="AJ337" i="5"/>
  <c r="AJ280" i="5"/>
  <c r="AJ486" i="5"/>
  <c r="AJ384" i="5"/>
  <c r="AJ531" i="5"/>
  <c r="AJ448" i="5"/>
  <c r="AJ426" i="5"/>
  <c r="AJ557" i="5"/>
  <c r="AJ465" i="5"/>
  <c r="AJ290" i="5"/>
  <c r="AJ145" i="5"/>
  <c r="AJ94" i="5"/>
  <c r="AJ63" i="5"/>
  <c r="AJ88" i="5"/>
  <c r="AJ311" i="5"/>
  <c r="AJ391" i="5"/>
  <c r="AJ217" i="5"/>
  <c r="AJ358" i="5"/>
  <c r="AJ183" i="5"/>
  <c r="AJ48" i="5"/>
  <c r="AJ267" i="5"/>
  <c r="AJ516" i="5"/>
  <c r="AJ446" i="5"/>
  <c r="AJ155" i="5"/>
  <c r="AJ501" i="5"/>
  <c r="AJ432" i="5"/>
  <c r="AJ340" i="5"/>
  <c r="AJ369" i="5"/>
  <c r="AJ495" i="5"/>
  <c r="AJ38" i="5"/>
  <c r="AJ497" i="5"/>
  <c r="AJ68" i="5"/>
  <c r="B25" i="2"/>
  <c r="H17" i="1"/>
  <c r="AK77" i="5"/>
  <c r="AL77" i="5"/>
  <c r="AL24" i="5"/>
  <c r="AK24" i="5"/>
  <c r="AK184" i="5"/>
  <c r="AL184" i="5"/>
  <c r="AK158" i="5"/>
  <c r="AL27" i="5"/>
  <c r="AK164" i="5"/>
  <c r="AL105" i="5"/>
  <c r="AK75" i="5"/>
  <c r="AX7" i="5"/>
  <c r="AY7" i="5"/>
  <c r="AK195" i="5"/>
  <c r="AL44" i="5"/>
  <c r="AL188" i="5"/>
  <c r="AK169" i="5"/>
  <c r="AL169" i="5"/>
  <c r="AL87" i="5"/>
  <c r="AK87" i="5"/>
  <c r="AL174" i="5"/>
  <c r="AK174" i="5"/>
  <c r="AL143" i="5"/>
  <c r="AK143" i="5"/>
  <c r="AK125" i="5"/>
  <c r="AL125" i="5"/>
  <c r="AK138" i="5"/>
  <c r="AL138" i="5"/>
  <c r="AK166" i="5"/>
  <c r="AL166" i="5"/>
  <c r="AK109" i="5"/>
  <c r="AK43" i="5"/>
  <c r="AL43" i="5"/>
  <c r="AL84" i="5"/>
  <c r="AK84" i="5"/>
  <c r="AK172" i="5"/>
  <c r="AL172" i="5"/>
  <c r="AK121" i="5"/>
  <c r="AK56" i="5"/>
  <c r="AL56" i="5"/>
  <c r="AL147" i="5"/>
  <c r="AK147" i="5"/>
  <c r="AK7" i="5"/>
  <c r="AL7" i="5"/>
  <c r="BA7" i="5"/>
  <c r="BB7" i="5"/>
  <c r="AV33" i="5" l="1"/>
  <c r="AU33" i="5"/>
  <c r="AV49" i="5"/>
  <c r="AU49" i="5"/>
  <c r="AU560" i="5"/>
  <c r="AV560" i="5"/>
  <c r="AV475" i="5"/>
  <c r="AU475" i="5"/>
  <c r="AV431" i="5"/>
  <c r="AU431" i="5"/>
  <c r="AV119" i="5"/>
  <c r="AU119" i="5"/>
  <c r="AV455" i="5"/>
  <c r="AU455" i="5"/>
  <c r="AU19" i="5"/>
  <c r="AV19" i="5"/>
  <c r="AV546" i="5"/>
  <c r="AU546" i="5"/>
  <c r="AV266" i="5"/>
  <c r="AU266" i="5"/>
  <c r="AU552" i="5"/>
  <c r="AV552" i="5"/>
  <c r="AU256" i="5"/>
  <c r="AV256" i="5"/>
  <c r="AV389" i="5"/>
  <c r="AU389" i="5"/>
  <c r="AU35" i="5"/>
  <c r="AV35" i="5"/>
  <c r="AV482" i="5"/>
  <c r="AU482" i="5"/>
  <c r="AU354" i="5"/>
  <c r="AV354" i="5"/>
  <c r="AV521" i="5"/>
  <c r="AU521" i="5"/>
  <c r="AU454" i="5"/>
  <c r="AV454" i="5"/>
  <c r="AU545" i="5"/>
  <c r="AV545" i="5"/>
  <c r="AV528" i="5"/>
  <c r="AU528" i="5"/>
  <c r="AV498" i="5"/>
  <c r="AU498" i="5"/>
  <c r="AV464" i="5"/>
  <c r="AU464" i="5"/>
  <c r="AU414" i="5"/>
  <c r="AV414" i="5"/>
  <c r="AV374" i="5"/>
  <c r="AU374" i="5"/>
  <c r="AV236" i="5"/>
  <c r="AU236" i="5"/>
  <c r="AV108" i="5"/>
  <c r="AU108" i="5"/>
  <c r="AV446" i="5"/>
  <c r="AU446" i="5"/>
  <c r="AU413" i="5"/>
  <c r="AV413" i="5"/>
  <c r="AU484" i="5"/>
  <c r="AV484" i="5"/>
  <c r="AU463" i="5"/>
  <c r="AV463" i="5"/>
  <c r="AU457" i="5"/>
  <c r="AV457" i="5"/>
  <c r="AU422" i="5"/>
  <c r="AV422" i="5"/>
  <c r="AV409" i="5"/>
  <c r="AU409" i="5"/>
  <c r="AV323" i="5"/>
  <c r="AU323" i="5"/>
  <c r="AV206" i="5"/>
  <c r="AU206" i="5"/>
  <c r="AU68" i="5"/>
  <c r="AV68" i="5"/>
  <c r="AU537" i="5"/>
  <c r="AV537" i="5"/>
  <c r="AU358" i="5"/>
  <c r="AV358" i="5"/>
  <c r="AV554" i="5"/>
  <c r="AU554" i="5"/>
  <c r="AV549" i="5"/>
  <c r="AU549" i="5"/>
  <c r="AV517" i="5"/>
  <c r="AU517" i="5"/>
  <c r="AV481" i="5"/>
  <c r="AU481" i="5"/>
  <c r="AU298" i="5"/>
  <c r="AV298" i="5"/>
  <c r="AV292" i="5"/>
  <c r="AU292" i="5"/>
  <c r="AV171" i="5"/>
  <c r="AU171" i="5"/>
  <c r="AU509" i="5"/>
  <c r="AV509" i="5"/>
  <c r="AV550" i="5"/>
  <c r="AU550" i="5"/>
  <c r="AU478" i="5"/>
  <c r="AV478" i="5"/>
  <c r="AU272" i="5"/>
  <c r="AV272" i="5"/>
  <c r="AU456" i="5"/>
  <c r="AV456" i="5"/>
  <c r="AU518" i="5"/>
  <c r="AV518" i="5"/>
  <c r="AU445" i="5"/>
  <c r="AV445" i="5"/>
  <c r="AV168" i="5"/>
  <c r="AU168" i="5"/>
  <c r="AU352" i="5"/>
  <c r="AV352" i="5"/>
  <c r="AV376" i="5"/>
  <c r="AU376" i="5"/>
  <c r="AU180" i="5"/>
  <c r="AV180" i="5"/>
  <c r="AV388" i="5"/>
  <c r="AU388" i="5"/>
  <c r="AU349" i="5"/>
  <c r="AV349" i="5"/>
  <c r="AU269" i="5"/>
  <c r="AV269" i="5"/>
  <c r="AU258" i="5"/>
  <c r="AV258" i="5"/>
  <c r="AU252" i="5"/>
  <c r="AV252" i="5"/>
  <c r="AV192" i="5"/>
  <c r="AU192" i="5"/>
  <c r="AV140" i="5"/>
  <c r="AU140" i="5"/>
  <c r="AU116" i="5"/>
  <c r="AV116" i="5"/>
  <c r="AU127" i="5"/>
  <c r="AV127" i="5"/>
  <c r="AU72" i="5"/>
  <c r="AV72" i="5"/>
  <c r="AV384" i="5"/>
  <c r="AU384" i="5"/>
  <c r="AU488" i="5"/>
  <c r="AV488" i="5"/>
  <c r="AV350" i="5"/>
  <c r="AU350" i="5"/>
  <c r="AV383" i="5"/>
  <c r="AU383" i="5"/>
  <c r="AV405" i="5"/>
  <c r="AU405" i="5"/>
  <c r="AV326" i="5"/>
  <c r="AU326" i="5"/>
  <c r="AV406" i="5"/>
  <c r="AU406" i="5"/>
  <c r="AU290" i="5"/>
  <c r="AV290" i="5"/>
  <c r="AV313" i="5"/>
  <c r="AU313" i="5"/>
  <c r="AV308" i="5"/>
  <c r="AU308" i="5"/>
  <c r="AU293" i="5"/>
  <c r="AV293" i="5"/>
  <c r="AU188" i="5"/>
  <c r="AV188" i="5"/>
  <c r="AV197" i="5"/>
  <c r="AU197" i="5"/>
  <c r="AV179" i="5"/>
  <c r="AU179" i="5"/>
  <c r="AV151" i="5"/>
  <c r="AU151" i="5"/>
  <c r="AV98" i="5"/>
  <c r="AU98" i="5"/>
  <c r="AU60" i="5"/>
  <c r="AV60" i="5"/>
  <c r="AU380" i="5"/>
  <c r="AV380" i="5"/>
  <c r="AV507" i="5"/>
  <c r="AU507" i="5"/>
  <c r="AV439" i="5"/>
  <c r="AU439" i="5"/>
  <c r="AU483" i="5"/>
  <c r="AV483" i="5"/>
  <c r="AV370" i="5"/>
  <c r="AU370" i="5"/>
  <c r="AU487" i="5"/>
  <c r="AV487" i="5"/>
  <c r="AV346" i="5"/>
  <c r="AU346" i="5"/>
  <c r="AU375" i="5"/>
  <c r="AV375" i="5"/>
  <c r="AV396" i="5"/>
  <c r="AU396" i="5"/>
  <c r="AV321" i="5"/>
  <c r="AU321" i="5"/>
  <c r="AV403" i="5"/>
  <c r="AU403" i="5"/>
  <c r="AU284" i="5"/>
  <c r="AV284" i="5"/>
  <c r="AV303" i="5"/>
  <c r="AU303" i="5"/>
  <c r="AU304" i="5"/>
  <c r="AV304" i="5"/>
  <c r="AV287" i="5"/>
  <c r="AU287" i="5"/>
  <c r="AV166" i="5"/>
  <c r="AU166" i="5"/>
  <c r="AU194" i="5"/>
  <c r="AV194" i="5"/>
  <c r="AV178" i="5"/>
  <c r="AU178" i="5"/>
  <c r="AV148" i="5"/>
  <c r="AU148" i="5"/>
  <c r="AV97" i="5"/>
  <c r="AU97" i="5"/>
  <c r="AU57" i="5"/>
  <c r="AV57" i="5"/>
  <c r="AV155" i="5"/>
  <c r="AU155" i="5"/>
  <c r="AU226" i="5"/>
  <c r="AV226" i="5"/>
  <c r="AU132" i="5"/>
  <c r="AV132" i="5"/>
  <c r="AV519" i="5"/>
  <c r="AU519" i="5"/>
  <c r="AU544" i="5"/>
  <c r="AV544" i="5"/>
  <c r="AV536" i="5"/>
  <c r="AU536" i="5"/>
  <c r="AV531" i="5"/>
  <c r="AU531" i="5"/>
  <c r="AV433" i="5"/>
  <c r="AU433" i="5"/>
  <c r="AU137" i="5"/>
  <c r="AV137" i="5"/>
  <c r="AU432" i="5"/>
  <c r="AV432" i="5"/>
  <c r="AV520" i="5"/>
  <c r="AU520" i="5"/>
  <c r="AU458" i="5"/>
  <c r="AV458" i="5"/>
  <c r="AU330" i="5"/>
  <c r="AV330" i="5"/>
  <c r="AU107" i="5"/>
  <c r="AV107" i="5"/>
  <c r="AV395" i="5"/>
  <c r="AU395" i="5"/>
  <c r="AV392" i="5"/>
  <c r="AU392" i="5"/>
  <c r="AU357" i="5"/>
  <c r="AV357" i="5"/>
  <c r="AV300" i="5"/>
  <c r="AU300" i="5"/>
  <c r="AU50" i="5"/>
  <c r="AV50" i="5"/>
  <c r="AV504" i="5"/>
  <c r="AU504" i="5"/>
  <c r="AV472" i="5"/>
  <c r="AU472" i="5"/>
  <c r="AV469" i="5"/>
  <c r="AU469" i="5"/>
  <c r="AV369" i="5"/>
  <c r="AU369" i="5"/>
  <c r="AV268" i="5"/>
  <c r="AU268" i="5"/>
  <c r="AU174" i="5"/>
  <c r="AV174" i="5"/>
  <c r="AU289" i="5"/>
  <c r="AV289" i="5"/>
  <c r="AU232" i="5"/>
  <c r="AV232" i="5"/>
  <c r="AV158" i="5"/>
  <c r="AU158" i="5"/>
  <c r="AV94" i="5"/>
  <c r="AU94" i="5"/>
  <c r="AU499" i="5"/>
  <c r="AV499" i="5"/>
  <c r="AV404" i="5"/>
  <c r="AU404" i="5"/>
  <c r="AV355" i="5"/>
  <c r="AU355" i="5"/>
  <c r="AV364" i="5"/>
  <c r="AU364" i="5"/>
  <c r="AU196" i="5"/>
  <c r="AV196" i="5"/>
  <c r="AV225" i="5"/>
  <c r="AU225" i="5"/>
  <c r="AU161" i="5"/>
  <c r="AV161" i="5"/>
  <c r="AV85" i="5"/>
  <c r="AU85" i="5"/>
  <c r="AU473" i="5"/>
  <c r="AV473" i="5"/>
  <c r="AU459" i="5"/>
  <c r="AV459" i="5"/>
  <c r="AU425" i="5"/>
  <c r="AV425" i="5"/>
  <c r="AV412" i="5"/>
  <c r="AU412" i="5"/>
  <c r="AV410" i="5"/>
  <c r="AU410" i="5"/>
  <c r="AV421" i="5"/>
  <c r="AU421" i="5"/>
  <c r="AV117" i="5"/>
  <c r="AU117" i="5"/>
  <c r="AV315" i="5"/>
  <c r="AU315" i="5"/>
  <c r="AU193" i="5"/>
  <c r="AV193" i="5"/>
  <c r="AU82" i="5"/>
  <c r="AV82" i="5"/>
  <c r="AV423" i="5"/>
  <c r="AU423" i="5"/>
  <c r="AV529" i="5"/>
  <c r="AU529" i="5"/>
  <c r="AU515" i="5"/>
  <c r="AV515" i="5"/>
  <c r="AV123" i="5"/>
  <c r="AU123" i="5"/>
  <c r="AV535" i="5"/>
  <c r="AU535" i="5"/>
  <c r="AU394" i="5"/>
  <c r="AV394" i="5"/>
  <c r="AV204" i="5"/>
  <c r="AU204" i="5"/>
  <c r="AV470" i="5"/>
  <c r="AU470" i="5"/>
  <c r="AU471" i="5"/>
  <c r="AV471" i="5"/>
  <c r="AV207" i="5"/>
  <c r="AU207" i="5"/>
  <c r="AU449" i="5"/>
  <c r="AV449" i="5"/>
  <c r="AV426" i="5"/>
  <c r="AU426" i="5"/>
  <c r="AV495" i="5"/>
  <c r="AU495" i="5"/>
  <c r="AV476" i="5"/>
  <c r="AU476" i="5"/>
  <c r="AV462" i="5"/>
  <c r="AU462" i="5"/>
  <c r="AV434" i="5"/>
  <c r="AU434" i="5"/>
  <c r="AV339" i="5"/>
  <c r="AU339" i="5"/>
  <c r="AV343" i="5"/>
  <c r="AU343" i="5"/>
  <c r="AV227" i="5"/>
  <c r="AU227" i="5"/>
  <c r="AU80" i="5"/>
  <c r="AV80" i="5"/>
  <c r="AU556" i="5"/>
  <c r="AV556" i="5"/>
  <c r="AU365" i="5"/>
  <c r="AV365" i="5"/>
  <c r="AV441" i="5"/>
  <c r="AU441" i="5"/>
  <c r="AU551" i="5"/>
  <c r="AV551" i="5"/>
  <c r="AV302" i="5"/>
  <c r="AU302" i="5"/>
  <c r="AU493" i="5"/>
  <c r="AV493" i="5"/>
  <c r="AU333" i="5"/>
  <c r="AV333" i="5"/>
  <c r="AU325" i="5"/>
  <c r="AV325" i="5"/>
  <c r="AU125" i="5"/>
  <c r="AV125" i="5"/>
  <c r="AU534" i="5"/>
  <c r="AV534" i="5"/>
  <c r="AU467" i="5"/>
  <c r="AV467" i="5"/>
  <c r="AV555" i="5"/>
  <c r="AU555" i="5"/>
  <c r="AV539" i="5"/>
  <c r="AU539" i="5"/>
  <c r="AV512" i="5"/>
  <c r="AU512" i="5"/>
  <c r="AV485" i="5"/>
  <c r="AU485" i="5"/>
  <c r="AU344" i="5"/>
  <c r="AV344" i="5"/>
  <c r="AU401" i="5"/>
  <c r="AV401" i="5"/>
  <c r="AV277" i="5"/>
  <c r="AU277" i="5"/>
  <c r="AU124" i="5"/>
  <c r="AV124" i="5"/>
  <c r="AV479" i="5"/>
  <c r="AU479" i="5"/>
  <c r="AU543" i="5"/>
  <c r="AV543" i="5"/>
  <c r="AV468" i="5"/>
  <c r="AU468" i="5"/>
  <c r="AV501" i="5"/>
  <c r="AU501" i="5"/>
  <c r="AV435" i="5"/>
  <c r="AU435" i="5"/>
  <c r="AV502" i="5"/>
  <c r="AU502" i="5"/>
  <c r="AV427" i="5"/>
  <c r="AU427" i="5"/>
  <c r="AV411" i="5"/>
  <c r="AU411" i="5"/>
  <c r="AV317" i="5"/>
  <c r="AU317" i="5"/>
  <c r="AU362" i="5"/>
  <c r="AV362" i="5"/>
  <c r="AV429" i="5"/>
  <c r="AU429" i="5"/>
  <c r="AV366" i="5"/>
  <c r="AU366" i="5"/>
  <c r="AV342" i="5"/>
  <c r="AU342" i="5"/>
  <c r="AU244" i="5"/>
  <c r="AV244" i="5"/>
  <c r="AV332" i="5"/>
  <c r="AU332" i="5"/>
  <c r="AU235" i="5"/>
  <c r="AV235" i="5"/>
  <c r="AV223" i="5"/>
  <c r="AU223" i="5"/>
  <c r="AU169" i="5"/>
  <c r="AV169" i="5"/>
  <c r="AV134" i="5"/>
  <c r="AU134" i="5"/>
  <c r="AV101" i="5"/>
  <c r="AU101" i="5"/>
  <c r="AV26" i="5"/>
  <c r="AU26" i="5"/>
  <c r="AV294" i="5"/>
  <c r="AU294" i="5"/>
  <c r="AV466" i="5"/>
  <c r="AU466" i="5"/>
  <c r="AU305" i="5"/>
  <c r="AV305" i="5"/>
  <c r="AV361" i="5"/>
  <c r="AU361" i="5"/>
  <c r="AV387" i="5"/>
  <c r="AU387" i="5"/>
  <c r="AU267" i="5"/>
  <c r="AV267" i="5"/>
  <c r="AV398" i="5"/>
  <c r="AU398" i="5"/>
  <c r="AV359" i="5"/>
  <c r="AU359" i="5"/>
  <c r="AU288" i="5"/>
  <c r="AV288" i="5"/>
  <c r="AU279" i="5"/>
  <c r="AV279" i="5"/>
  <c r="AU263" i="5"/>
  <c r="AV263" i="5"/>
  <c r="AU220" i="5"/>
  <c r="AV220" i="5"/>
  <c r="AU167" i="5"/>
  <c r="AV167" i="5"/>
  <c r="AV147" i="5"/>
  <c r="AU147" i="5"/>
  <c r="AV145" i="5"/>
  <c r="AU145" i="5"/>
  <c r="AU86" i="5"/>
  <c r="AV86" i="5"/>
  <c r="AU40" i="5"/>
  <c r="AV40" i="5"/>
  <c r="AV553" i="5"/>
  <c r="AU553" i="5"/>
  <c r="AV486" i="5"/>
  <c r="AU486" i="5"/>
  <c r="AV337" i="5"/>
  <c r="AU337" i="5"/>
  <c r="AV460" i="5"/>
  <c r="AU460" i="5"/>
  <c r="AU530" i="5"/>
  <c r="AV530" i="5"/>
  <c r="AU451" i="5"/>
  <c r="AV451" i="5"/>
  <c r="AV275" i="5"/>
  <c r="AU275" i="5"/>
  <c r="AU360" i="5"/>
  <c r="AV360" i="5"/>
  <c r="AU386" i="5"/>
  <c r="AV386" i="5"/>
  <c r="AV262" i="5"/>
  <c r="AU262" i="5"/>
  <c r="AU397" i="5"/>
  <c r="AV397" i="5"/>
  <c r="AU356" i="5"/>
  <c r="AV356" i="5"/>
  <c r="AV285" i="5"/>
  <c r="AU285" i="5"/>
  <c r="AV278" i="5"/>
  <c r="AU278" i="5"/>
  <c r="AU260" i="5"/>
  <c r="AV260" i="5"/>
  <c r="AV216" i="5"/>
  <c r="AU216" i="5"/>
  <c r="AU162" i="5"/>
  <c r="AV162" i="5"/>
  <c r="AU144" i="5"/>
  <c r="AV144" i="5"/>
  <c r="AV143" i="5"/>
  <c r="AU143" i="5"/>
  <c r="AU81" i="5"/>
  <c r="AV81" i="5"/>
  <c r="AU45" i="5"/>
  <c r="AV45" i="5"/>
  <c r="AV547" i="5"/>
  <c r="AU547" i="5"/>
  <c r="AV461" i="5"/>
  <c r="AU461" i="5"/>
  <c r="AU281" i="5"/>
  <c r="AV281" i="5"/>
  <c r="AU353" i="5"/>
  <c r="AV353" i="5"/>
  <c r="AV523" i="5"/>
  <c r="AU523" i="5"/>
  <c r="AV542" i="5"/>
  <c r="AU542" i="5"/>
  <c r="AV497" i="5"/>
  <c r="AU497" i="5"/>
  <c r="AU203" i="5"/>
  <c r="AV203" i="5"/>
  <c r="AU503" i="5"/>
  <c r="AV503" i="5"/>
  <c r="AU533" i="5"/>
  <c r="AV533" i="5"/>
  <c r="AV480" i="5"/>
  <c r="AU480" i="5"/>
  <c r="AU390" i="5"/>
  <c r="AV390" i="5"/>
  <c r="AU213" i="5"/>
  <c r="AV213" i="5"/>
  <c r="AV440" i="5"/>
  <c r="AU440" i="5"/>
  <c r="AV465" i="5"/>
  <c r="AU465" i="5"/>
  <c r="AU452" i="5"/>
  <c r="AV452" i="5"/>
  <c r="AV393" i="5"/>
  <c r="AU393" i="5"/>
  <c r="AU186" i="5"/>
  <c r="AV186" i="5"/>
  <c r="AV559" i="5"/>
  <c r="AU559" i="5"/>
  <c r="AU399" i="5"/>
  <c r="AV399" i="5"/>
  <c r="AV331" i="5"/>
  <c r="AU331" i="5"/>
  <c r="AU334" i="5"/>
  <c r="AV334" i="5"/>
  <c r="AU391" i="5"/>
  <c r="AV391" i="5"/>
  <c r="AV400" i="5"/>
  <c r="AU400" i="5"/>
  <c r="AV296" i="5"/>
  <c r="AU296" i="5"/>
  <c r="AU274" i="5"/>
  <c r="AV274" i="5"/>
  <c r="AV185" i="5"/>
  <c r="AU185" i="5"/>
  <c r="AV104" i="5"/>
  <c r="AU104" i="5"/>
  <c r="AU48" i="5"/>
  <c r="AV48" i="5"/>
  <c r="AV419" i="5"/>
  <c r="AU419" i="5"/>
  <c r="AU202" i="5"/>
  <c r="AV202" i="5"/>
  <c r="AV424" i="5"/>
  <c r="AU424" i="5"/>
  <c r="AV338" i="5"/>
  <c r="AU338" i="5"/>
  <c r="AV320" i="5"/>
  <c r="AU320" i="5"/>
  <c r="AU208" i="5"/>
  <c r="AV208" i="5"/>
  <c r="AV120" i="5"/>
  <c r="AU120" i="5"/>
  <c r="AV59" i="5"/>
  <c r="AU59" i="5"/>
  <c r="AV525" i="5"/>
  <c r="AU525" i="5"/>
  <c r="AV496" i="5"/>
  <c r="AU496" i="5"/>
  <c r="AV494" i="5"/>
  <c r="AU494" i="5"/>
  <c r="AV402" i="5"/>
  <c r="AU402" i="5"/>
  <c r="AV340" i="5"/>
  <c r="AU340" i="5"/>
  <c r="AV341" i="5"/>
  <c r="AU341" i="5"/>
  <c r="AV336" i="5"/>
  <c r="AU336" i="5"/>
  <c r="AU222" i="5"/>
  <c r="AV222" i="5"/>
  <c r="AU149" i="5"/>
  <c r="AV149" i="5"/>
  <c r="AV58" i="5"/>
  <c r="AU58" i="5"/>
  <c r="AU381" i="5"/>
  <c r="AV381" i="5"/>
  <c r="AV540" i="5"/>
  <c r="AU540" i="5"/>
  <c r="AV450" i="5"/>
  <c r="AU450" i="5"/>
  <c r="AV527" i="5"/>
  <c r="AU527" i="5"/>
  <c r="AV505" i="5"/>
  <c r="AU505" i="5"/>
  <c r="AV254" i="5"/>
  <c r="AU254" i="5"/>
  <c r="AV522" i="5"/>
  <c r="AU522" i="5"/>
  <c r="AV428" i="5"/>
  <c r="AU428" i="5"/>
  <c r="AV442" i="5"/>
  <c r="AU442" i="5"/>
  <c r="AV76" i="5"/>
  <c r="AU76" i="5"/>
  <c r="AU558" i="5"/>
  <c r="AV558" i="5"/>
  <c r="AU377" i="5"/>
  <c r="AV377" i="5"/>
  <c r="AV444" i="5"/>
  <c r="AU444" i="5"/>
  <c r="AU557" i="5"/>
  <c r="AV557" i="5"/>
  <c r="AV363" i="5"/>
  <c r="AU363" i="5"/>
  <c r="AU508" i="5"/>
  <c r="AV508" i="5"/>
  <c r="AV367" i="5"/>
  <c r="AU367" i="5"/>
  <c r="AV253" i="5"/>
  <c r="AU253" i="5"/>
  <c r="AU170" i="5"/>
  <c r="AV170" i="5"/>
  <c r="AU538" i="5"/>
  <c r="AV538" i="5"/>
  <c r="AU511" i="5"/>
  <c r="AV511" i="5"/>
  <c r="AV532" i="5"/>
  <c r="AU532" i="5"/>
  <c r="AU541" i="5"/>
  <c r="AV541" i="5"/>
  <c r="AV524" i="5"/>
  <c r="AU524" i="5"/>
  <c r="AV491" i="5"/>
  <c r="AU491" i="5"/>
  <c r="AU379" i="5"/>
  <c r="AV379" i="5"/>
  <c r="AU420" i="5"/>
  <c r="AV420" i="5"/>
  <c r="AU309" i="5"/>
  <c r="AV309" i="5"/>
  <c r="AV106" i="5"/>
  <c r="AU106" i="5"/>
  <c r="AU500" i="5"/>
  <c r="AV500" i="5"/>
  <c r="AV430" i="5"/>
  <c r="AU430" i="5"/>
  <c r="AU526" i="5"/>
  <c r="AV526" i="5"/>
  <c r="AU506" i="5"/>
  <c r="AV506" i="5"/>
  <c r="AV477" i="5"/>
  <c r="AU477" i="5"/>
  <c r="AV448" i="5"/>
  <c r="AU448" i="5"/>
  <c r="AV373" i="5"/>
  <c r="AU373" i="5"/>
  <c r="AV231" i="5"/>
  <c r="AU231" i="5"/>
  <c r="AU242" i="5"/>
  <c r="AV242" i="5"/>
  <c r="AU74" i="5"/>
  <c r="AV74" i="5"/>
  <c r="AU416" i="5"/>
  <c r="AV416" i="5"/>
  <c r="AU514" i="5"/>
  <c r="AV514" i="5"/>
  <c r="AU453" i="5"/>
  <c r="AV453" i="5"/>
  <c r="AU490" i="5"/>
  <c r="AV490" i="5"/>
  <c r="AU408" i="5"/>
  <c r="AV408" i="5"/>
  <c r="AU489" i="5"/>
  <c r="AV489" i="5"/>
  <c r="AU371" i="5"/>
  <c r="AV371" i="5"/>
  <c r="AU385" i="5"/>
  <c r="AV385" i="5"/>
  <c r="AU407" i="5"/>
  <c r="AV407" i="5"/>
  <c r="AV329" i="5"/>
  <c r="AU329" i="5"/>
  <c r="AV415" i="5"/>
  <c r="AU415" i="5"/>
  <c r="AV310" i="5"/>
  <c r="AU310" i="5"/>
  <c r="AU318" i="5"/>
  <c r="AV318" i="5"/>
  <c r="AV319" i="5"/>
  <c r="AU319" i="5"/>
  <c r="AU306" i="5"/>
  <c r="AV306" i="5"/>
  <c r="AU212" i="5"/>
  <c r="AV212" i="5"/>
  <c r="AV201" i="5"/>
  <c r="AU201" i="5"/>
  <c r="AV112" i="5"/>
  <c r="AU112" i="5"/>
  <c r="AU99" i="5"/>
  <c r="AV99" i="5"/>
  <c r="AV105" i="5"/>
  <c r="AU105" i="5"/>
  <c r="AU67" i="5"/>
  <c r="AV67" i="5"/>
  <c r="AV513" i="5"/>
  <c r="AU513" i="5"/>
  <c r="AV443" i="5"/>
  <c r="AU443" i="5"/>
  <c r="AV418" i="5"/>
  <c r="AU418" i="5"/>
  <c r="AV351" i="5"/>
  <c r="AU351" i="5"/>
  <c r="AV372" i="5"/>
  <c r="AU372" i="5"/>
  <c r="AV437" i="5"/>
  <c r="AU437" i="5"/>
  <c r="AV382" i="5"/>
  <c r="AU382" i="5"/>
  <c r="AV348" i="5"/>
  <c r="AU348" i="5"/>
  <c r="AV264" i="5"/>
  <c r="AU264" i="5"/>
  <c r="AU241" i="5"/>
  <c r="AV241" i="5"/>
  <c r="AV228" i="5"/>
  <c r="AU228" i="5"/>
  <c r="AU247" i="5"/>
  <c r="AV247" i="5"/>
  <c r="AV95" i="5"/>
  <c r="AU95" i="5"/>
  <c r="AU152" i="5"/>
  <c r="AV152" i="5"/>
  <c r="AU114" i="5"/>
  <c r="AV114" i="5"/>
  <c r="AU73" i="5"/>
  <c r="AV73" i="5"/>
  <c r="AU492" i="5"/>
  <c r="AV492" i="5"/>
  <c r="AV548" i="5"/>
  <c r="AU548" i="5"/>
  <c r="AV474" i="5"/>
  <c r="AU474" i="5"/>
  <c r="AV516" i="5"/>
  <c r="AU516" i="5"/>
  <c r="AV447" i="5"/>
  <c r="AU447" i="5"/>
  <c r="AV510" i="5"/>
  <c r="AU510" i="5"/>
  <c r="AV438" i="5"/>
  <c r="AU438" i="5"/>
  <c r="AV417" i="5"/>
  <c r="AU417" i="5"/>
  <c r="AV347" i="5"/>
  <c r="AU347" i="5"/>
  <c r="AU368" i="5"/>
  <c r="AV368" i="5"/>
  <c r="AV436" i="5"/>
  <c r="AU436" i="5"/>
  <c r="AV378" i="5"/>
  <c r="AU378" i="5"/>
  <c r="AV345" i="5"/>
  <c r="AU345" i="5"/>
  <c r="AV261" i="5"/>
  <c r="AU261" i="5"/>
  <c r="AV219" i="5"/>
  <c r="AU219" i="5"/>
  <c r="AV214" i="5"/>
  <c r="AU214" i="5"/>
  <c r="AU245" i="5"/>
  <c r="AV245" i="5"/>
  <c r="AU184" i="5"/>
  <c r="AV184" i="5"/>
  <c r="AU146" i="5"/>
  <c r="AV146" i="5"/>
  <c r="AU113" i="5"/>
  <c r="AV113" i="5"/>
  <c r="AU70" i="5"/>
  <c r="AV70" i="5"/>
  <c r="AU27" i="5"/>
  <c r="AV27" i="5"/>
  <c r="BA85" i="5"/>
  <c r="BB276" i="5"/>
  <c r="BA54" i="5"/>
  <c r="BA213" i="5"/>
  <c r="BB316" i="5"/>
  <c r="BB133" i="5"/>
  <c r="BB313" i="5"/>
  <c r="BB105" i="5"/>
  <c r="BA88" i="5"/>
  <c r="BB231" i="5"/>
  <c r="BA235" i="5"/>
  <c r="BB109" i="5"/>
  <c r="BB21" i="5"/>
  <c r="BB201" i="5"/>
  <c r="BA339" i="5"/>
  <c r="BB195" i="5"/>
  <c r="BB34" i="5"/>
  <c r="BB241" i="5"/>
  <c r="BB72" i="5"/>
  <c r="BA149" i="5"/>
  <c r="BB225" i="5"/>
  <c r="BB207" i="5"/>
  <c r="BB338" i="5"/>
  <c r="BA76" i="5"/>
  <c r="BB101" i="5"/>
  <c r="BA214" i="5"/>
  <c r="BA317" i="5"/>
  <c r="BA411" i="5"/>
  <c r="BA65" i="5"/>
  <c r="BB145" i="5"/>
  <c r="BB210" i="5"/>
  <c r="BB298" i="5"/>
  <c r="BA41" i="5"/>
  <c r="BA122" i="5"/>
  <c r="BB189" i="5"/>
  <c r="BB306" i="5"/>
  <c r="BB100" i="5"/>
  <c r="BA279" i="5"/>
  <c r="BB147" i="5"/>
  <c r="BA157" i="5"/>
  <c r="BA47" i="5"/>
  <c r="AK71" i="5"/>
  <c r="AL71" i="5"/>
  <c r="AL61" i="5"/>
  <c r="AK61" i="5"/>
  <c r="AK40" i="5"/>
  <c r="AL146" i="5"/>
  <c r="AK146" i="5"/>
  <c r="AK93" i="5"/>
  <c r="AL93" i="5"/>
  <c r="H57" i="1"/>
  <c r="B146" i="2"/>
  <c r="H61" i="1" s="1"/>
  <c r="B143" i="2"/>
  <c r="H59" i="1" s="1"/>
  <c r="AS31" i="5"/>
  <c r="BC31" i="5" s="1"/>
  <c r="AS466" i="5"/>
  <c r="BC466" i="5" s="1"/>
  <c r="AS417" i="5"/>
  <c r="AS422" i="5"/>
  <c r="BC422" i="5" s="1"/>
  <c r="AS497" i="5"/>
  <c r="AS449" i="5"/>
  <c r="AS405" i="5"/>
  <c r="AS492" i="5"/>
  <c r="AS264" i="5"/>
  <c r="AS26" i="5"/>
  <c r="BC26" i="5" s="1"/>
  <c r="AS12" i="5"/>
  <c r="AS287" i="5"/>
  <c r="BC287" i="5" s="1"/>
  <c r="BE287" i="5" s="1"/>
  <c r="AS339" i="5"/>
  <c r="AS446" i="5"/>
  <c r="BC446" i="5" s="1"/>
  <c r="AS91" i="5"/>
  <c r="BC91" i="5" s="1"/>
  <c r="AS161" i="5"/>
  <c r="BC161" i="5" s="1"/>
  <c r="AS484" i="5"/>
  <c r="AS310" i="5"/>
  <c r="BC310" i="5" s="1"/>
  <c r="AS50" i="5"/>
  <c r="AS435" i="5"/>
  <c r="BC435" i="5" s="1"/>
  <c r="AS210" i="5"/>
  <c r="BC210" i="5" s="1"/>
  <c r="BE210" i="5" s="1"/>
  <c r="AS71" i="5"/>
  <c r="BC71" i="5" s="1"/>
  <c r="BE71" i="5" s="1"/>
  <c r="AS177" i="5"/>
  <c r="AS540" i="5"/>
  <c r="BC540" i="5" s="1"/>
  <c r="AS511" i="5"/>
  <c r="AS444" i="5"/>
  <c r="BC444" i="5" s="1"/>
  <c r="AS548" i="5"/>
  <c r="AS319" i="5"/>
  <c r="BC319" i="5" s="1"/>
  <c r="AS455" i="5"/>
  <c r="AS128" i="5"/>
  <c r="AS528" i="5"/>
  <c r="AS434" i="5"/>
  <c r="BC434" i="5" s="1"/>
  <c r="AS205" i="5"/>
  <c r="AS538" i="5"/>
  <c r="BC538" i="5" s="1"/>
  <c r="AS452" i="5"/>
  <c r="AS265" i="5"/>
  <c r="BC265" i="5" s="1"/>
  <c r="AS64" i="5"/>
  <c r="BC64" i="5" s="1"/>
  <c r="BE64" i="5" s="1"/>
  <c r="AS114" i="5"/>
  <c r="BC114" i="5" s="1"/>
  <c r="BD114" i="5" s="1"/>
  <c r="AS11" i="5"/>
  <c r="AS514" i="5"/>
  <c r="BC514" i="5" s="1"/>
  <c r="AS382" i="5"/>
  <c r="AS373" i="5"/>
  <c r="BC373" i="5" s="1"/>
  <c r="AS500" i="5"/>
  <c r="AS258" i="5"/>
  <c r="BC258" i="5" s="1"/>
  <c r="AS426" i="5"/>
  <c r="AS54" i="5"/>
  <c r="BC54" i="5" s="1"/>
  <c r="AS429" i="5"/>
  <c r="AS439" i="5"/>
  <c r="BC439" i="5" s="1"/>
  <c r="AS208" i="5"/>
  <c r="BC208" i="5" s="1"/>
  <c r="AS240" i="5"/>
  <c r="BC240" i="5" s="1"/>
  <c r="AS550" i="5"/>
  <c r="AS506" i="5"/>
  <c r="BC506" i="5" s="1"/>
  <c r="AS496" i="5"/>
  <c r="AS350" i="5"/>
  <c r="AS159" i="5"/>
  <c r="BC159" i="5" s="1"/>
  <c r="AS33" i="5"/>
  <c r="BC33" i="5" s="1"/>
  <c r="AS164" i="5"/>
  <c r="BC164" i="5" s="1"/>
  <c r="BE164" i="5" s="1"/>
  <c r="AS292" i="5"/>
  <c r="BC292" i="5" s="1"/>
  <c r="AS252" i="5"/>
  <c r="AS418" i="5"/>
  <c r="BC418" i="5" s="1"/>
  <c r="AS43" i="5"/>
  <c r="BC43" i="5" s="1"/>
  <c r="BD43" i="5" s="1"/>
  <c r="AS120" i="5"/>
  <c r="AS219" i="5"/>
  <c r="BC219" i="5" s="1"/>
  <c r="BD219" i="5" s="1"/>
  <c r="AS290" i="5"/>
  <c r="BC290" i="5" s="1"/>
  <c r="AS315" i="5"/>
  <c r="BC315" i="5" s="1"/>
  <c r="BE315" i="5" s="1"/>
  <c r="AS442" i="5"/>
  <c r="BC442" i="5" s="1"/>
  <c r="AS156" i="5"/>
  <c r="BC156" i="5" s="1"/>
  <c r="AS21" i="5"/>
  <c r="AS154" i="5"/>
  <c r="BC154" i="5" s="1"/>
  <c r="AS505" i="5"/>
  <c r="BC505" i="5" s="1"/>
  <c r="AS197" i="5"/>
  <c r="BC197" i="5" s="1"/>
  <c r="AS524" i="5"/>
  <c r="AS390" i="5"/>
  <c r="AS359" i="5"/>
  <c r="BC359" i="5" s="1"/>
  <c r="AS101" i="5"/>
  <c r="BC101" i="5" s="1"/>
  <c r="AS200" i="5"/>
  <c r="AS199" i="5"/>
  <c r="BC199" i="5" s="1"/>
  <c r="AS146" i="5"/>
  <c r="BC146" i="5" s="1"/>
  <c r="AS212" i="5"/>
  <c r="BC212" i="5" s="1"/>
  <c r="AS55" i="5"/>
  <c r="BC55" i="5" s="1"/>
  <c r="BD55" i="5" s="1"/>
  <c r="AS460" i="5"/>
  <c r="AS109" i="5"/>
  <c r="BC109" i="5" s="1"/>
  <c r="AS365" i="5"/>
  <c r="AS28" i="5"/>
  <c r="BC28" i="5" s="1"/>
  <c r="AS179" i="5"/>
  <c r="AS467" i="5"/>
  <c r="BC467" i="5" s="1"/>
  <c r="AS180" i="5"/>
  <c r="BC180" i="5" s="1"/>
  <c r="BE180" i="5" s="1"/>
  <c r="AS398" i="5"/>
  <c r="BC398" i="5" s="1"/>
  <c r="AS207" i="5"/>
  <c r="AS428" i="5"/>
  <c r="BC428" i="5" s="1"/>
  <c r="AS488" i="5"/>
  <c r="AS306" i="5"/>
  <c r="BC306" i="5" s="1"/>
  <c r="BD306" i="5" s="1"/>
  <c r="AS98" i="5"/>
  <c r="BC98" i="5" s="1"/>
  <c r="BE98" i="5" s="1"/>
  <c r="AS512" i="5"/>
  <c r="BC512" i="5" s="1"/>
  <c r="AS304" i="5"/>
  <c r="AS46" i="5"/>
  <c r="AS202" i="5"/>
  <c r="BC202" i="5" s="1"/>
  <c r="AS337" i="5"/>
  <c r="BC337" i="5" s="1"/>
  <c r="BD337" i="5" s="1"/>
  <c r="AS228" i="5"/>
  <c r="AS552" i="5"/>
  <c r="BC552" i="5" s="1"/>
  <c r="AS157" i="5"/>
  <c r="BC157" i="5" s="1"/>
  <c r="AS355" i="5"/>
  <c r="AS508" i="5"/>
  <c r="AS515" i="5"/>
  <c r="BC515" i="5" s="1"/>
  <c r="AS215" i="5"/>
  <c r="AS29" i="5"/>
  <c r="BC29" i="5" s="1"/>
  <c r="AS454" i="5"/>
  <c r="AS402" i="5"/>
  <c r="BC402" i="5" s="1"/>
  <c r="AS222" i="5"/>
  <c r="BC222" i="5" s="1"/>
  <c r="BE222" i="5" s="1"/>
  <c r="AS84" i="5"/>
  <c r="BC84" i="5" s="1"/>
  <c r="BE84" i="5" s="1"/>
  <c r="AS225" i="5"/>
  <c r="BC225" i="5" s="1"/>
  <c r="AS302" i="5"/>
  <c r="BC302" i="5" s="1"/>
  <c r="AS380" i="5"/>
  <c r="AS86" i="5"/>
  <c r="AS230" i="5"/>
  <c r="AS358" i="5"/>
  <c r="BC358" i="5" s="1"/>
  <c r="AS371" i="5"/>
  <c r="AS149" i="5"/>
  <c r="BC149" i="5" s="1"/>
  <c r="AS192" i="5"/>
  <c r="AS85" i="5"/>
  <c r="BC85" i="5" s="1"/>
  <c r="AS22" i="5"/>
  <c r="AS234" i="5"/>
  <c r="BC234" i="5" s="1"/>
  <c r="BD234" i="5" s="1"/>
  <c r="AS254" i="5"/>
  <c r="AS403" i="5"/>
  <c r="BC403" i="5" s="1"/>
  <c r="AS106" i="5"/>
  <c r="AS178" i="5"/>
  <c r="BC178" i="5" s="1"/>
  <c r="AS259" i="5"/>
  <c r="AS368" i="5"/>
  <c r="BC368" i="5" s="1"/>
  <c r="AS384" i="5"/>
  <c r="AS143" i="5"/>
  <c r="BC143" i="5" s="1"/>
  <c r="AS66" i="5"/>
  <c r="AS122" i="5"/>
  <c r="BC122" i="5" s="1"/>
  <c r="BD122" i="5" s="1"/>
  <c r="AS99" i="5"/>
  <c r="AS36" i="5"/>
  <c r="BC36" i="5" s="1"/>
  <c r="AS267" i="5"/>
  <c r="AS283" i="5"/>
  <c r="BC283" i="5" s="1"/>
  <c r="BD283" i="5" s="1"/>
  <c r="AS425" i="5"/>
  <c r="AS148" i="5"/>
  <c r="BC148" i="5" s="1"/>
  <c r="AS195" i="5"/>
  <c r="BC195" i="5" s="1"/>
  <c r="BD195" i="5" s="1"/>
  <c r="AS271" i="5"/>
  <c r="BC271" i="5" s="1"/>
  <c r="AS386" i="5"/>
  <c r="AS399" i="5"/>
  <c r="AS115" i="5"/>
  <c r="BC115" i="5" s="1"/>
  <c r="BE115" i="5" s="1"/>
  <c r="AS47" i="5"/>
  <c r="BC47" i="5" s="1"/>
  <c r="AS184" i="5"/>
  <c r="BC184" i="5" s="1"/>
  <c r="AS100" i="5"/>
  <c r="BC100" i="5" s="1"/>
  <c r="BE100" i="5" s="1"/>
  <c r="AS45" i="5"/>
  <c r="BC45" i="5" s="1"/>
  <c r="BD45" i="5" s="1"/>
  <c r="AS303" i="5"/>
  <c r="AS409" i="5"/>
  <c r="AS336" i="5"/>
  <c r="BC336" i="5" s="1"/>
  <c r="AS96" i="5"/>
  <c r="AS216" i="5"/>
  <c r="BC216" i="5" s="1"/>
  <c r="AS327" i="5"/>
  <c r="AS324" i="5"/>
  <c r="BC324" i="5" s="1"/>
  <c r="AS357" i="5"/>
  <c r="AS182" i="5"/>
  <c r="BC182" i="5" s="1"/>
  <c r="AS78" i="5"/>
  <c r="BC78" i="5" s="1"/>
  <c r="BE78" i="5" s="1"/>
  <c r="AS172" i="5"/>
  <c r="BC172" i="5" s="1"/>
  <c r="AS142" i="5"/>
  <c r="AS37" i="5"/>
  <c r="BC37" i="5" s="1"/>
  <c r="AS522" i="5"/>
  <c r="AS366" i="5"/>
  <c r="AS165" i="5"/>
  <c r="AS322" i="5"/>
  <c r="AS110" i="5"/>
  <c r="BC110" i="5" s="1"/>
  <c r="AS464" i="5"/>
  <c r="AS51" i="5"/>
  <c r="BC51" i="5" s="1"/>
  <c r="BD51" i="5" s="1"/>
  <c r="AS471" i="5"/>
  <c r="AS438" i="5"/>
  <c r="AS556" i="5"/>
  <c r="BC556" i="5" s="1"/>
  <c r="AS479" i="5"/>
  <c r="AS489" i="5"/>
  <c r="BC489" i="5" s="1"/>
  <c r="AS389" i="5"/>
  <c r="AS558" i="5"/>
  <c r="BC558" i="5" s="1"/>
  <c r="AS342" i="5"/>
  <c r="AS56" i="5"/>
  <c r="BC56" i="5" s="1"/>
  <c r="AS13" i="5"/>
  <c r="AS256" i="5"/>
  <c r="AS547" i="5"/>
  <c r="AS223" i="5"/>
  <c r="BC223" i="5" s="1"/>
  <c r="BE223" i="5" s="1"/>
  <c r="AS81" i="5"/>
  <c r="BC81" i="5" s="1"/>
  <c r="AS313" i="5"/>
  <c r="BC313" i="5" s="1"/>
  <c r="AS473" i="5"/>
  <c r="AS340" i="5"/>
  <c r="BC340" i="5" s="1"/>
  <c r="AS27" i="5"/>
  <c r="AS516" i="5"/>
  <c r="BC516" i="5" s="1"/>
  <c r="AS139" i="5"/>
  <c r="BC139" i="5" s="1"/>
  <c r="AS93" i="5"/>
  <c r="BC93" i="5" s="1"/>
  <c r="AS430" i="5"/>
  <c r="AS494" i="5"/>
  <c r="BC494" i="5" s="1"/>
  <c r="AS551" i="5"/>
  <c r="AS485" i="5"/>
  <c r="BC485" i="5" s="1"/>
  <c r="AS23" i="5"/>
  <c r="BC23" i="5" s="1"/>
  <c r="BE23" i="5" s="1"/>
  <c r="AS227" i="5"/>
  <c r="BC227" i="5" s="1"/>
  <c r="AS519" i="5"/>
  <c r="AS397" i="5"/>
  <c r="BC397" i="5" s="1"/>
  <c r="AS299" i="5"/>
  <c r="BC299" i="5" s="1"/>
  <c r="BD299" i="5" s="1"/>
  <c r="AS443" i="5"/>
  <c r="BC443" i="5" s="1"/>
  <c r="AS498" i="5"/>
  <c r="AS407" i="5"/>
  <c r="BC407" i="5" s="1"/>
  <c r="AS111" i="5"/>
  <c r="BC111" i="5" s="1"/>
  <c r="AS116" i="5"/>
  <c r="BC116" i="5" s="1"/>
  <c r="AS231" i="5"/>
  <c r="AS367" i="5"/>
  <c r="BC367" i="5" s="1"/>
  <c r="AS388" i="5"/>
  <c r="AS123" i="5"/>
  <c r="AS282" i="5"/>
  <c r="AS354" i="5"/>
  <c r="BC354" i="5" s="1"/>
  <c r="AS348" i="5"/>
  <c r="AS57" i="5"/>
  <c r="AS152" i="5"/>
  <c r="BC152" i="5" s="1"/>
  <c r="AS97" i="5"/>
  <c r="BC97" i="5" s="1"/>
  <c r="BE97" i="5" s="1"/>
  <c r="AS201" i="5"/>
  <c r="BC201" i="5" s="1"/>
  <c r="AS321" i="5"/>
  <c r="BC321" i="5" s="1"/>
  <c r="AS361" i="5"/>
  <c r="AS472" i="5"/>
  <c r="BC472" i="5" s="1"/>
  <c r="AS140" i="5"/>
  <c r="BC140" i="5" s="1"/>
  <c r="AS238" i="5"/>
  <c r="BC238" i="5" s="1"/>
  <c r="AS198" i="5"/>
  <c r="BC198" i="5" s="1"/>
  <c r="BD198" i="5" s="1"/>
  <c r="AS193" i="5"/>
  <c r="BC193" i="5" s="1"/>
  <c r="AS394" i="5"/>
  <c r="AS131" i="5"/>
  <c r="BC131" i="5" s="1"/>
  <c r="AS25" i="5"/>
  <c r="AS141" i="5"/>
  <c r="BC141" i="5" s="1"/>
  <c r="BD141" i="5" s="1"/>
  <c r="AS48" i="5"/>
  <c r="BC48" i="5" s="1"/>
  <c r="BD48" i="5" s="1"/>
  <c r="AS266" i="5"/>
  <c r="BC266" i="5" s="1"/>
  <c r="AS331" i="5"/>
  <c r="AS383" i="5"/>
  <c r="BC383" i="5" s="1"/>
  <c r="AS490" i="5"/>
  <c r="AS155" i="5"/>
  <c r="BC155" i="5" s="1"/>
  <c r="AS194" i="5"/>
  <c r="BC194" i="5" s="1"/>
  <c r="AS247" i="5"/>
  <c r="BC247" i="5" s="1"/>
  <c r="AS257" i="5"/>
  <c r="AS406" i="5"/>
  <c r="AS117" i="5"/>
  <c r="BC117" i="5" s="1"/>
  <c r="AS40" i="5"/>
  <c r="BC40" i="5" s="1"/>
  <c r="AS121" i="5"/>
  <c r="BC121" i="5" s="1"/>
  <c r="AS75" i="5"/>
  <c r="BC75" i="5" s="1"/>
  <c r="BD75" i="5" s="1"/>
  <c r="AS214" i="5"/>
  <c r="AS284" i="5"/>
  <c r="BC284" i="5" s="1"/>
  <c r="AS312" i="5"/>
  <c r="AS436" i="5"/>
  <c r="BC436" i="5" s="1"/>
  <c r="AS102" i="5"/>
  <c r="AS217" i="5"/>
  <c r="AS291" i="5"/>
  <c r="AS396" i="5"/>
  <c r="BC396" i="5" s="1"/>
  <c r="AS416" i="5"/>
  <c r="AS88" i="5"/>
  <c r="BC88" i="5" s="1"/>
  <c r="AS65" i="5"/>
  <c r="AS169" i="5"/>
  <c r="BC169" i="5" s="1"/>
  <c r="AS83" i="5"/>
  <c r="BC83" i="5" s="1"/>
  <c r="BD83" i="5" s="1"/>
  <c r="AS445" i="5"/>
  <c r="BC445" i="5" s="1"/>
  <c r="AS504" i="5"/>
  <c r="AS493" i="5"/>
  <c r="BC493" i="5" s="1"/>
  <c r="AS135" i="5"/>
  <c r="AS235" i="5"/>
  <c r="BC235" i="5" s="1"/>
  <c r="AS468" i="5"/>
  <c r="AS241" i="5"/>
  <c r="BC241" i="5" s="1"/>
  <c r="AS333" i="5"/>
  <c r="AS539" i="5"/>
  <c r="BC539" i="5" s="1"/>
  <c r="AS408" i="5"/>
  <c r="AS502" i="5"/>
  <c r="BC502" i="5" s="1"/>
  <c r="AS459" i="5"/>
  <c r="AS431" i="5"/>
  <c r="BC431" i="5" s="1"/>
  <c r="AS173" i="5"/>
  <c r="AS534" i="5"/>
  <c r="BC534" i="5" s="1"/>
  <c r="AS250" i="5"/>
  <c r="AS535" i="5"/>
  <c r="BC535" i="5" s="1"/>
  <c r="AS463" i="5"/>
  <c r="AS82" i="5"/>
  <c r="BC82" i="5" s="1"/>
  <c r="BD82" i="5" s="1"/>
  <c r="AS423" i="5"/>
  <c r="AS63" i="5"/>
  <c r="BC63" i="5" s="1"/>
  <c r="AS253" i="5"/>
  <c r="AS456" i="5"/>
  <c r="BC456" i="5" s="1"/>
  <c r="AS183" i="5"/>
  <c r="BC183" i="5" s="1"/>
  <c r="AS118" i="5"/>
  <c r="BC118" i="5" s="1"/>
  <c r="AS138" i="5"/>
  <c r="BC138" i="5" s="1"/>
  <c r="AS308" i="5"/>
  <c r="BC308" i="5" s="1"/>
  <c r="AS334" i="5"/>
  <c r="AS181" i="5"/>
  <c r="BC181" i="5" s="1"/>
  <c r="AS305" i="5"/>
  <c r="BC305" i="5" s="1"/>
  <c r="BE305" i="5" s="1"/>
  <c r="AS458" i="5"/>
  <c r="BC458" i="5" s="1"/>
  <c r="AS211" i="5"/>
  <c r="BC211" i="5" s="1"/>
  <c r="AS53" i="5"/>
  <c r="BC53" i="5" s="1"/>
  <c r="BD53" i="5" s="1"/>
  <c r="AS301" i="5"/>
  <c r="AS60" i="5"/>
  <c r="BC60" i="5" s="1"/>
  <c r="AS246" i="5"/>
  <c r="AS369" i="5"/>
  <c r="BC369" i="5" s="1"/>
  <c r="BE369" i="5" s="1"/>
  <c r="AS104" i="5"/>
  <c r="AS133" i="5"/>
  <c r="BC133" i="5" s="1"/>
  <c r="BD133" i="5" s="1"/>
  <c r="AS279" i="5"/>
  <c r="BC279" i="5" s="1"/>
  <c r="AS404" i="5"/>
  <c r="BC404" i="5" s="1"/>
  <c r="AS127" i="5"/>
  <c r="BC127" i="5" s="1"/>
  <c r="BD127" i="5" s="1"/>
  <c r="AS268" i="5"/>
  <c r="BC268" i="5" s="1"/>
  <c r="AS433" i="5"/>
  <c r="AS42" i="5"/>
  <c r="BC42" i="5" s="1"/>
  <c r="AS35" i="5"/>
  <c r="BC35" i="5" s="1"/>
  <c r="BE35" i="5" s="1"/>
  <c r="AS320" i="5"/>
  <c r="BC320" i="5" s="1"/>
  <c r="AS410" i="5"/>
  <c r="AS124" i="5"/>
  <c r="BC124" i="5" s="1"/>
  <c r="AS326" i="5"/>
  <c r="BC326" i="5" s="1"/>
  <c r="AS39" i="5"/>
  <c r="BC39" i="5" s="1"/>
  <c r="AS103" i="5"/>
  <c r="AS391" i="5"/>
  <c r="BC391" i="5" s="1"/>
  <c r="AS220" i="5"/>
  <c r="AS518" i="5"/>
  <c r="AS343" i="5"/>
  <c r="AS381" i="5"/>
  <c r="AS105" i="5"/>
  <c r="BC105" i="5" s="1"/>
  <c r="AS134" i="5"/>
  <c r="BC134" i="5" s="1"/>
  <c r="AS349" i="5"/>
  <c r="AS125" i="5"/>
  <c r="BC125" i="5" s="1"/>
  <c r="AS196" i="5"/>
  <c r="AS176" i="5"/>
  <c r="BC176" i="5" s="1"/>
  <c r="AS542" i="5"/>
  <c r="AS170" i="5"/>
  <c r="BC170" i="5" s="1"/>
  <c r="AS483" i="5"/>
  <c r="AS332" i="5"/>
  <c r="BC332" i="5" s="1"/>
  <c r="AS187" i="5"/>
  <c r="AS224" i="5"/>
  <c r="BC224" i="5" s="1"/>
  <c r="AS448" i="5"/>
  <c r="AS24" i="5"/>
  <c r="BC24" i="5" s="1"/>
  <c r="AS364" i="5"/>
  <c r="AS527" i="5"/>
  <c r="BC527" i="5" s="1"/>
  <c r="AS520" i="5"/>
  <c r="AS32" i="5"/>
  <c r="BC32" i="5" s="1"/>
  <c r="AS531" i="5"/>
  <c r="AS513" i="5"/>
  <c r="BC513" i="5" s="1"/>
  <c r="AS377" i="5"/>
  <c r="AS507" i="5"/>
  <c r="BC507" i="5" s="1"/>
  <c r="AS144" i="5"/>
  <c r="BC144" i="5" s="1"/>
  <c r="BD144" i="5" s="1"/>
  <c r="AS263" i="5"/>
  <c r="BC263" i="5" s="1"/>
  <c r="BE263" i="5" s="1"/>
  <c r="AS34" i="5"/>
  <c r="AS323" i="5"/>
  <c r="BC323" i="5" s="1"/>
  <c r="AS38" i="5"/>
  <c r="BC38" i="5" s="1"/>
  <c r="BD38" i="5" s="1"/>
  <c r="AS307" i="5"/>
  <c r="BC307" i="5" s="1"/>
  <c r="AS163" i="5"/>
  <c r="BC163" i="5" s="1"/>
  <c r="BD163" i="5" s="1"/>
  <c r="AS112" i="5"/>
  <c r="BC112" i="5" s="1"/>
  <c r="BE112" i="5" s="1"/>
  <c r="AS269" i="5"/>
  <c r="BC269" i="5" s="1"/>
  <c r="BE269" i="5" s="1"/>
  <c r="AS395" i="5"/>
  <c r="BC395" i="5" s="1"/>
  <c r="AS204" i="5"/>
  <c r="AS255" i="5"/>
  <c r="BC255" i="5" s="1"/>
  <c r="AS162" i="5"/>
  <c r="AS168" i="5"/>
  <c r="BC168" i="5" s="1"/>
  <c r="BD168" i="5" s="1"/>
  <c r="AS62" i="5"/>
  <c r="AS393" i="5"/>
  <c r="BC393" i="5" s="1"/>
  <c r="BD393" i="5" s="1"/>
  <c r="AS79" i="5"/>
  <c r="AS311" i="5"/>
  <c r="BC311" i="5" s="1"/>
  <c r="AS335" i="5"/>
  <c r="AS74" i="5"/>
  <c r="BC74" i="5" s="1"/>
  <c r="AS160" i="5"/>
  <c r="BC160" i="5" s="1"/>
  <c r="AS171" i="5"/>
  <c r="BC171" i="5" s="1"/>
  <c r="AS370" i="5"/>
  <c r="AS175" i="5"/>
  <c r="BC175" i="5" s="1"/>
  <c r="BE175" i="5" s="1"/>
  <c r="AS341" i="5"/>
  <c r="AS174" i="5"/>
  <c r="BC174" i="5" s="1"/>
  <c r="AS158" i="5"/>
  <c r="BC158" i="5" s="1"/>
  <c r="BE158" i="5" s="1"/>
  <c r="AS58" i="5"/>
  <c r="BC58" i="5" s="1"/>
  <c r="AS206" i="5"/>
  <c r="BC206" i="5" s="1"/>
  <c r="AS486" i="5"/>
  <c r="BC486" i="5" s="1"/>
  <c r="AS376" i="5"/>
  <c r="AS378" i="5"/>
  <c r="AS530" i="5"/>
  <c r="AS153" i="5"/>
  <c r="BC153" i="5" s="1"/>
  <c r="AS526" i="5"/>
  <c r="AS328" i="5"/>
  <c r="BC328" i="5" s="1"/>
  <c r="AS461" i="5"/>
  <c r="AS20" i="5"/>
  <c r="BC20" i="5" s="1"/>
  <c r="AS451" i="5"/>
  <c r="AS145" i="5"/>
  <c r="BC145" i="5" s="1"/>
  <c r="AS441" i="5"/>
  <c r="AS69" i="5"/>
  <c r="BC69" i="5" s="1"/>
  <c r="AS274" i="5"/>
  <c r="BC274" i="5" s="1"/>
  <c r="AS237" i="5"/>
  <c r="BC237" i="5" s="1"/>
  <c r="BD237" i="5" s="1"/>
  <c r="AS147" i="5"/>
  <c r="BC147" i="5" s="1"/>
  <c r="AS346" i="5"/>
  <c r="BC346" i="5" s="1"/>
  <c r="AS475" i="5"/>
  <c r="AS30" i="5"/>
  <c r="BC30" i="5" s="1"/>
  <c r="AS203" i="5"/>
  <c r="AS107" i="5"/>
  <c r="AS457" i="5"/>
  <c r="AS419" i="5"/>
  <c r="BC419" i="5" s="1"/>
  <c r="AS517" i="5"/>
  <c r="AS420" i="5"/>
  <c r="BC420" i="5" s="1"/>
  <c r="AS248" i="5"/>
  <c r="AS544" i="5"/>
  <c r="BC544" i="5" s="1"/>
  <c r="AS213" i="5"/>
  <c r="BC213" i="5" s="1"/>
  <c r="AS330" i="5"/>
  <c r="BC330" i="5" s="1"/>
  <c r="AS374" i="5"/>
  <c r="AS229" i="5"/>
  <c r="BC229" i="5" s="1"/>
  <c r="AS411" i="5"/>
  <c r="BC411" i="5" s="1"/>
  <c r="AS72" i="5"/>
  <c r="BC72" i="5" s="1"/>
  <c r="AS297" i="5"/>
  <c r="AS61" i="5"/>
  <c r="BC61" i="5" s="1"/>
  <c r="BD61" i="5" s="1"/>
  <c r="AS413" i="5"/>
  <c r="AS277" i="5"/>
  <c r="BC277" i="5" s="1"/>
  <c r="AS44" i="5"/>
  <c r="BC44" i="5" s="1"/>
  <c r="BD44" i="5" s="1"/>
  <c r="AS270" i="5"/>
  <c r="BC270" i="5" s="1"/>
  <c r="AS95" i="5"/>
  <c r="AS482" i="5"/>
  <c r="BC482" i="5" s="1"/>
  <c r="AS529" i="5"/>
  <c r="AS151" i="5"/>
  <c r="BC151" i="5" s="1"/>
  <c r="AS67" i="5"/>
  <c r="AS167" i="5"/>
  <c r="BC167" i="5" s="1"/>
  <c r="AS375" i="5"/>
  <c r="AS314" i="5"/>
  <c r="BC314" i="5" s="1"/>
  <c r="AS300" i="5"/>
  <c r="AS166" i="5"/>
  <c r="BC166" i="5" s="1"/>
  <c r="BE166" i="5" s="1"/>
  <c r="AS76" i="5"/>
  <c r="BC76" i="5" s="1"/>
  <c r="AS41" i="5"/>
  <c r="BC41" i="5" s="1"/>
  <c r="BD41" i="5" s="1"/>
  <c r="AS347" i="5"/>
  <c r="AS325" i="5"/>
  <c r="BC325" i="5" s="1"/>
  <c r="AS137" i="5"/>
  <c r="BC137" i="5" s="1"/>
  <c r="AS189" i="5"/>
  <c r="BC189" i="5" s="1"/>
  <c r="AS352" i="5"/>
  <c r="AS295" i="5"/>
  <c r="BC295" i="5" s="1"/>
  <c r="AS244" i="5"/>
  <c r="AS474" i="5"/>
  <c r="BC474" i="5" s="1"/>
  <c r="AS119" i="5"/>
  <c r="BC119" i="5" s="1"/>
  <c r="BD119" i="5" s="1"/>
  <c r="AS338" i="5"/>
  <c r="BC338" i="5" s="1"/>
  <c r="BD338" i="5" s="1"/>
  <c r="AS239" i="5"/>
  <c r="AS89" i="5"/>
  <c r="BC89" i="5" s="1"/>
  <c r="AS260" i="5"/>
  <c r="AS278" i="5"/>
  <c r="BC278" i="5" s="1"/>
  <c r="BD278" i="5" s="1"/>
  <c r="AS232" i="5"/>
  <c r="BC232" i="5" s="1"/>
  <c r="AS52" i="5"/>
  <c r="BC52" i="5" s="1"/>
  <c r="AS77" i="5"/>
  <c r="AS249" i="5"/>
  <c r="BC249" i="5" s="1"/>
  <c r="AS288" i="5"/>
  <c r="BC288" i="5" s="1"/>
  <c r="AS186" i="5"/>
  <c r="BC186" i="5" s="1"/>
  <c r="AS130" i="5"/>
  <c r="BC130" i="5" s="1"/>
  <c r="BE130" i="5" s="1"/>
  <c r="AS49" i="5"/>
  <c r="BC49" i="5" s="1"/>
  <c r="AS385" i="5"/>
  <c r="AS480" i="5"/>
  <c r="BC480" i="5" s="1"/>
  <c r="AS316" i="5"/>
  <c r="BC316" i="5" s="1"/>
  <c r="BD316" i="5" s="1"/>
  <c r="AS87" i="5"/>
  <c r="BC87" i="5" s="1"/>
  <c r="AS465" i="5"/>
  <c r="BC465" i="5" s="1"/>
  <c r="AS363" i="5"/>
  <c r="BC363" i="5" s="1"/>
  <c r="AS424" i="5"/>
  <c r="BC424" i="5" s="1"/>
  <c r="AS281" i="5"/>
  <c r="BC281" i="5" s="1"/>
  <c r="AS537" i="5"/>
  <c r="AS275" i="5"/>
  <c r="BC275" i="5" s="1"/>
  <c r="AS372" i="5"/>
  <c r="AS129" i="5"/>
  <c r="BC129" i="5" s="1"/>
  <c r="AS427" i="5"/>
  <c r="AS108" i="5"/>
  <c r="BC108" i="5" s="1"/>
  <c r="AS421" i="5"/>
  <c r="AS543" i="5"/>
  <c r="BC543" i="5" s="1"/>
  <c r="BE543" i="5" s="1"/>
  <c r="AS7" i="5"/>
  <c r="BC7" i="5" s="1"/>
  <c r="BD7" i="5" s="1"/>
  <c r="AS555" i="5"/>
  <c r="BC555" i="5" s="1"/>
  <c r="BE555" i="5" s="1"/>
  <c r="AS509" i="5"/>
  <c r="AS491" i="5"/>
  <c r="BC491" i="5" s="1"/>
  <c r="AS440" i="5"/>
  <c r="AS94" i="5"/>
  <c r="BC94" i="5" s="1"/>
  <c r="BD94" i="5" s="1"/>
  <c r="AS437" i="5"/>
  <c r="BC437" i="5" s="1"/>
  <c r="AS285" i="5"/>
  <c r="BC285" i="5" s="1"/>
  <c r="AS545" i="5"/>
  <c r="BC545" i="5" s="1"/>
  <c r="AS549" i="5"/>
  <c r="BC549" i="5" s="1"/>
  <c r="BE549" i="5" s="1"/>
  <c r="AS136" i="5"/>
  <c r="BC136" i="5" s="1"/>
  <c r="AS296" i="5"/>
  <c r="BC296" i="5" s="1"/>
  <c r="BD296" i="5" s="1"/>
  <c r="AS262" i="5"/>
  <c r="BC262" i="5" s="1"/>
  <c r="BE262" i="5" s="1"/>
  <c r="AS245" i="5"/>
  <c r="BC245" i="5" s="1"/>
  <c r="BD245" i="5" s="1"/>
  <c r="AS289" i="5"/>
  <c r="BC289" i="5" s="1"/>
  <c r="AS280" i="5"/>
  <c r="AS59" i="5"/>
  <c r="BC59" i="5" s="1"/>
  <c r="BE59" i="5" s="1"/>
  <c r="AS190" i="5"/>
  <c r="BC190" i="5" s="1"/>
  <c r="AS559" i="5"/>
  <c r="BC559" i="5" s="1"/>
  <c r="AS226" i="5"/>
  <c r="BC226" i="5" s="1"/>
  <c r="AS309" i="5"/>
  <c r="BC309" i="5" s="1"/>
  <c r="AS185" i="5"/>
  <c r="BC185" i="5" s="1"/>
  <c r="AS379" i="5"/>
  <c r="AS242" i="5"/>
  <c r="BC242" i="5" s="1"/>
  <c r="AS553" i="5"/>
  <c r="BC553" i="5" s="1"/>
  <c r="AS362" i="5"/>
  <c r="BC362" i="5" s="1"/>
  <c r="AS150" i="5"/>
  <c r="BC150" i="5" s="1"/>
  <c r="AS525" i="5"/>
  <c r="BC525" i="5" s="1"/>
  <c r="AS345" i="5"/>
  <c r="AS92" i="5"/>
  <c r="BC92" i="5" s="1"/>
  <c r="AS298" i="5"/>
  <c r="BC298" i="5" s="1"/>
  <c r="AS191" i="5"/>
  <c r="BC191" i="5" s="1"/>
  <c r="BE191" i="5" s="1"/>
  <c r="AS462" i="5"/>
  <c r="AS432" i="5"/>
  <c r="BC432" i="5" s="1"/>
  <c r="AS412" i="5"/>
  <c r="BC412" i="5" s="1"/>
  <c r="AS521" i="5"/>
  <c r="BC521" i="5" s="1"/>
  <c r="BD521" i="5" s="1"/>
  <c r="AS353" i="5"/>
  <c r="AS401" i="5"/>
  <c r="BC401" i="5" s="1"/>
  <c r="AS90" i="5"/>
  <c r="AS453" i="5"/>
  <c r="BC453" i="5" s="1"/>
  <c r="BD453" i="5" s="1"/>
  <c r="AS450" i="5"/>
  <c r="BC450" i="5" s="1"/>
  <c r="AS360" i="5"/>
  <c r="BC360" i="5" s="1"/>
  <c r="AS344" i="5"/>
  <c r="AS392" i="5"/>
  <c r="BC392" i="5" s="1"/>
  <c r="AS251" i="5"/>
  <c r="BC251" i="5" s="1"/>
  <c r="AS510" i="5"/>
  <c r="AS560" i="5"/>
  <c r="BC560" i="5" s="1"/>
  <c r="BE560" i="5" s="1"/>
  <c r="AS536" i="5"/>
  <c r="BC536" i="5" s="1"/>
  <c r="BD536" i="5" s="1"/>
  <c r="AS476" i="5"/>
  <c r="BC476" i="5" s="1"/>
  <c r="AS477" i="5"/>
  <c r="BC477" i="5" s="1"/>
  <c r="AS503" i="5"/>
  <c r="AS469" i="5"/>
  <c r="BC469" i="5" s="1"/>
  <c r="BD469" i="5" s="1"/>
  <c r="AS10" i="5"/>
  <c r="AS70" i="5"/>
  <c r="BC70" i="5" s="1"/>
  <c r="BD70" i="5" s="1"/>
  <c r="AS209" i="5"/>
  <c r="BC209" i="5" s="1"/>
  <c r="AS400" i="5"/>
  <c r="BC400" i="5" s="1"/>
  <c r="AS233" i="5"/>
  <c r="AS415" i="5"/>
  <c r="BC415" i="5" s="1"/>
  <c r="AS80" i="5"/>
  <c r="BC80" i="5" s="1"/>
  <c r="AS294" i="5"/>
  <c r="BC294" i="5" s="1"/>
  <c r="AS73" i="5"/>
  <c r="BC73" i="5" s="1"/>
  <c r="AS113" i="5"/>
  <c r="BC113" i="5" s="1"/>
  <c r="BD113" i="5" s="1"/>
  <c r="AS533" i="5"/>
  <c r="AS478" i="5"/>
  <c r="BC478" i="5" s="1"/>
  <c r="AS9" i="5"/>
  <c r="AS218" i="5"/>
  <c r="BC218" i="5" s="1"/>
  <c r="AS132" i="5"/>
  <c r="BC132" i="5" s="1"/>
  <c r="AS557" i="5"/>
  <c r="BC557" i="5" s="1"/>
  <c r="AS293" i="5"/>
  <c r="AS501" i="5"/>
  <c r="BC501" i="5" s="1"/>
  <c r="AS126" i="5"/>
  <c r="BC126" i="5" s="1"/>
  <c r="AS499" i="5"/>
  <c r="BC499" i="5" s="1"/>
  <c r="AS541" i="5"/>
  <c r="AS481" i="5"/>
  <c r="BC481" i="5" s="1"/>
  <c r="BD481" i="5" s="1"/>
  <c r="AS236" i="5"/>
  <c r="BC236" i="5" s="1"/>
  <c r="BD236" i="5" s="1"/>
  <c r="AS554" i="5"/>
  <c r="BC554" i="5" s="1"/>
  <c r="AS286" i="5"/>
  <c r="AS273" i="5"/>
  <c r="BC273" i="5" s="1"/>
  <c r="AS487" i="5"/>
  <c r="BC487" i="5" s="1"/>
  <c r="AS470" i="5"/>
  <c r="BC470" i="5" s="1"/>
  <c r="BE470" i="5" s="1"/>
  <c r="AS68" i="5"/>
  <c r="BC68" i="5" s="1"/>
  <c r="AS221" i="5"/>
  <c r="BC221" i="5" s="1"/>
  <c r="BE221" i="5" s="1"/>
  <c r="AS317" i="5"/>
  <c r="BC317" i="5" s="1"/>
  <c r="AS8" i="5"/>
  <c r="BC8" i="5" s="1"/>
  <c r="BD8" i="5" s="1"/>
  <c r="AS329" i="5"/>
  <c r="BC329" i="5" s="1"/>
  <c r="BE329" i="5" s="1"/>
  <c r="AS447" i="5"/>
  <c r="BC447" i="5" s="1"/>
  <c r="AS351" i="5"/>
  <c r="BC351" i="5" s="1"/>
  <c r="AS532" i="5"/>
  <c r="BC532" i="5" s="1"/>
  <c r="AS546" i="5"/>
  <c r="BC546" i="5" s="1"/>
  <c r="AS414" i="5"/>
  <c r="BC414" i="5" s="1"/>
  <c r="AS387" i="5"/>
  <c r="BC387" i="5" s="1"/>
  <c r="AS318" i="5"/>
  <c r="BC318" i="5" s="1"/>
  <c r="AS272" i="5"/>
  <c r="AS523" i="5"/>
  <c r="BC523" i="5" s="1"/>
  <c r="AS188" i="5"/>
  <c r="AS495" i="5"/>
  <c r="BC495" i="5" s="1"/>
  <c r="BE495" i="5" s="1"/>
  <c r="AS276" i="5"/>
  <c r="BC276" i="5" s="1"/>
  <c r="AS356" i="5"/>
  <c r="BC356" i="5" s="1"/>
  <c r="BD356" i="5" s="1"/>
  <c r="AS243" i="5"/>
  <c r="BC243" i="5" s="1"/>
  <c r="AS261" i="5"/>
  <c r="BC261" i="5" s="1"/>
  <c r="AS19" i="5"/>
  <c r="BC19" i="5" s="1"/>
  <c r="BC537" i="5"/>
  <c r="BD537" i="5" s="1"/>
  <c r="AL12" i="5"/>
  <c r="BC462" i="5"/>
  <c r="BD462" i="5" s="1"/>
  <c r="BB552" i="5"/>
  <c r="BA552" i="5"/>
  <c r="BB539" i="5"/>
  <c r="BA539" i="5"/>
  <c r="BA514" i="5"/>
  <c r="BB514" i="5"/>
  <c r="BA273" i="5"/>
  <c r="BB273" i="5"/>
  <c r="BB376" i="5"/>
  <c r="BA376" i="5"/>
  <c r="BA90" i="5"/>
  <c r="BB90" i="5"/>
  <c r="BB456" i="5"/>
  <c r="BA456" i="5"/>
  <c r="BA498" i="5"/>
  <c r="BB498" i="5"/>
  <c r="BA349" i="5"/>
  <c r="BB349" i="5"/>
  <c r="BA258" i="5"/>
  <c r="BB258" i="5"/>
  <c r="BB155" i="5"/>
  <c r="BA155" i="5"/>
  <c r="BA534" i="5"/>
  <c r="BB534" i="5"/>
  <c r="BA519" i="5"/>
  <c r="BB519" i="5"/>
  <c r="BA379" i="5"/>
  <c r="BB379" i="5"/>
  <c r="BA385" i="5"/>
  <c r="BB385" i="5"/>
  <c r="BB170" i="5"/>
  <c r="BA170" i="5"/>
  <c r="BB513" i="5"/>
  <c r="BA513" i="5"/>
  <c r="BB441" i="5"/>
  <c r="BA441" i="5"/>
  <c r="BA204" i="5"/>
  <c r="BB204" i="5"/>
  <c r="BC379" i="5"/>
  <c r="BA535" i="5"/>
  <c r="BB535" i="5"/>
  <c r="BA445" i="5"/>
  <c r="BB445" i="5"/>
  <c r="BA485" i="5"/>
  <c r="BB485" i="5"/>
  <c r="BA520" i="5"/>
  <c r="BB520" i="5"/>
  <c r="BB487" i="5"/>
  <c r="BA487" i="5"/>
  <c r="BB434" i="5"/>
  <c r="BA434" i="5"/>
  <c r="BA506" i="5"/>
  <c r="BB506" i="5"/>
  <c r="BA427" i="5"/>
  <c r="BB427" i="5"/>
  <c r="BB497" i="5"/>
  <c r="BA497" i="5"/>
  <c r="BA362" i="5"/>
  <c r="BB362" i="5"/>
  <c r="BB355" i="5"/>
  <c r="BA355" i="5"/>
  <c r="BA209" i="5"/>
  <c r="BB209" i="5"/>
  <c r="BB370" i="5"/>
  <c r="BA370" i="5"/>
  <c r="BA436" i="5"/>
  <c r="BB436" i="5"/>
  <c r="BB319" i="5"/>
  <c r="BA319" i="5"/>
  <c r="BB272" i="5"/>
  <c r="BA272" i="5"/>
  <c r="BB182" i="5"/>
  <c r="BA182" i="5"/>
  <c r="BB124" i="5"/>
  <c r="BA124" i="5"/>
  <c r="BA79" i="5"/>
  <c r="BB79" i="5"/>
  <c r="BB537" i="5"/>
  <c r="BA537" i="5"/>
  <c r="BA481" i="5"/>
  <c r="BB481" i="5"/>
  <c r="BA557" i="5"/>
  <c r="BB557" i="5"/>
  <c r="BA328" i="5"/>
  <c r="BB328" i="5"/>
  <c r="BB505" i="5"/>
  <c r="BA505" i="5"/>
  <c r="BB473" i="5"/>
  <c r="BA473" i="5"/>
  <c r="BA387" i="5"/>
  <c r="BB387" i="5"/>
  <c r="BB474" i="5"/>
  <c r="BA474" i="5"/>
  <c r="BB394" i="5"/>
  <c r="BA394" i="5"/>
  <c r="BA472" i="5"/>
  <c r="BB472" i="5"/>
  <c r="BB406" i="5"/>
  <c r="BA406" i="5"/>
  <c r="BB340" i="5"/>
  <c r="BA340" i="5"/>
  <c r="BA408" i="5"/>
  <c r="BB408" i="5"/>
  <c r="BA356" i="5"/>
  <c r="BB356" i="5"/>
  <c r="BA420" i="5"/>
  <c r="BB420" i="5"/>
  <c r="BA343" i="5"/>
  <c r="BB343" i="5"/>
  <c r="BB281" i="5"/>
  <c r="BA281" i="5"/>
  <c r="BB203" i="5"/>
  <c r="BA203" i="5"/>
  <c r="BA106" i="5"/>
  <c r="BB106" i="5"/>
  <c r="BA28" i="5"/>
  <c r="BB28" i="5"/>
  <c r="BB542" i="5"/>
  <c r="BA542" i="5"/>
  <c r="BB524" i="5"/>
  <c r="BA524" i="5"/>
  <c r="BB517" i="5"/>
  <c r="BA517" i="5"/>
  <c r="BB523" i="5"/>
  <c r="BA523" i="5"/>
  <c r="BB489" i="5"/>
  <c r="BA489" i="5"/>
  <c r="BB443" i="5"/>
  <c r="BA443" i="5"/>
  <c r="BA511" i="5"/>
  <c r="BB511" i="5"/>
  <c r="BA439" i="5"/>
  <c r="BB439" i="5"/>
  <c r="BA515" i="5"/>
  <c r="BB515" i="5"/>
  <c r="BA401" i="5"/>
  <c r="BB401" i="5"/>
  <c r="BB366" i="5"/>
  <c r="BA366" i="5"/>
  <c r="BA254" i="5"/>
  <c r="BB254" i="5"/>
  <c r="BA377" i="5"/>
  <c r="BB377" i="5"/>
  <c r="BA250" i="5"/>
  <c r="BB250" i="5"/>
  <c r="BB360" i="5"/>
  <c r="BA360" i="5"/>
  <c r="BB321" i="5"/>
  <c r="BA321" i="5"/>
  <c r="BA217" i="5"/>
  <c r="BB217" i="5"/>
  <c r="BA104" i="5"/>
  <c r="BB104" i="5"/>
  <c r="BB77" i="5"/>
  <c r="BA77" i="5"/>
  <c r="BA19" i="5"/>
  <c r="BB19" i="5"/>
  <c r="BB501" i="5"/>
  <c r="BA501" i="5"/>
  <c r="BA558" i="5"/>
  <c r="BB558" i="5"/>
  <c r="BB425" i="5"/>
  <c r="BA425" i="5"/>
  <c r="BB509" i="5"/>
  <c r="BA509" i="5"/>
  <c r="BB479" i="5"/>
  <c r="BA479" i="5"/>
  <c r="BA405" i="5"/>
  <c r="BB405" i="5"/>
  <c r="BB480" i="5"/>
  <c r="BA480" i="5"/>
  <c r="BA403" i="5"/>
  <c r="BB403" i="5"/>
  <c r="BA478" i="5"/>
  <c r="BB478" i="5"/>
  <c r="BB416" i="5"/>
  <c r="BA416" i="5"/>
  <c r="BA342" i="5"/>
  <c r="BB342" i="5"/>
  <c r="BB417" i="5"/>
  <c r="BA417" i="5"/>
  <c r="BB361" i="5"/>
  <c r="BA361" i="5"/>
  <c r="BA428" i="5"/>
  <c r="BB428" i="5"/>
  <c r="BA358" i="5"/>
  <c r="BB358" i="5"/>
  <c r="BB307" i="5"/>
  <c r="BA307" i="5"/>
  <c r="BA205" i="5"/>
  <c r="BB205" i="5"/>
  <c r="BB128" i="5"/>
  <c r="BA128" i="5"/>
  <c r="BB58" i="5"/>
  <c r="BA58" i="5"/>
  <c r="BA543" i="5"/>
  <c r="BB543" i="5"/>
  <c r="BA493" i="5"/>
  <c r="BB493" i="5"/>
  <c r="BB447" i="5"/>
  <c r="BA447" i="5"/>
  <c r="BA442" i="5"/>
  <c r="BB442" i="5"/>
  <c r="BA260" i="5"/>
  <c r="BB260" i="5"/>
  <c r="BA244" i="5"/>
  <c r="BB244" i="5"/>
  <c r="BA36" i="5"/>
  <c r="BB36" i="5"/>
  <c r="BA437" i="5"/>
  <c r="BB437" i="5"/>
  <c r="BB486" i="5"/>
  <c r="BA486" i="5"/>
  <c r="BB426" i="5"/>
  <c r="BA426" i="5"/>
  <c r="BA354" i="5"/>
  <c r="BB354" i="5"/>
  <c r="BA365" i="5"/>
  <c r="BB365" i="5"/>
  <c r="BB253" i="5"/>
  <c r="BA253" i="5"/>
  <c r="BA49" i="5"/>
  <c r="BB49" i="5"/>
  <c r="BA549" i="5"/>
  <c r="BB549" i="5"/>
  <c r="BA495" i="5"/>
  <c r="BB495" i="5"/>
  <c r="BB462" i="5"/>
  <c r="BA462" i="5"/>
  <c r="BB457" i="5"/>
  <c r="BA457" i="5"/>
  <c r="BA389" i="5"/>
  <c r="BB389" i="5"/>
  <c r="BA275" i="5"/>
  <c r="BB275" i="5"/>
  <c r="BB102" i="5"/>
  <c r="BA102" i="5"/>
  <c r="BB541" i="5"/>
  <c r="BA541" i="5"/>
  <c r="BA522" i="5"/>
  <c r="BB522" i="5"/>
  <c r="BA507" i="5"/>
  <c r="BB507" i="5"/>
  <c r="BB504" i="5"/>
  <c r="BA504" i="5"/>
  <c r="BA364" i="5"/>
  <c r="BB364" i="5"/>
  <c r="BB375" i="5"/>
  <c r="BA375" i="5"/>
  <c r="BB294" i="5"/>
  <c r="BA294" i="5"/>
  <c r="BB142" i="5"/>
  <c r="BA142" i="5"/>
  <c r="BD98" i="5"/>
  <c r="BC90" i="5"/>
  <c r="BA546" i="5"/>
  <c r="BB546" i="5"/>
  <c r="BB491" i="5"/>
  <c r="BA491" i="5"/>
  <c r="BA560" i="5"/>
  <c r="BB560" i="5"/>
  <c r="BA421" i="5"/>
  <c r="BB421" i="5"/>
  <c r="BA508" i="5"/>
  <c r="BB508" i="5"/>
  <c r="BB476" i="5"/>
  <c r="BA476" i="5"/>
  <c r="BA396" i="5"/>
  <c r="BB396" i="5"/>
  <c r="BB477" i="5"/>
  <c r="BA477" i="5"/>
  <c r="BA397" i="5"/>
  <c r="BB397" i="5"/>
  <c r="BA475" i="5"/>
  <c r="BB475" i="5"/>
  <c r="BA415" i="5"/>
  <c r="BB415" i="5"/>
  <c r="BA341" i="5"/>
  <c r="BB341" i="5"/>
  <c r="BB413" i="5"/>
  <c r="BA413" i="5"/>
  <c r="BA359" i="5"/>
  <c r="BB359" i="5"/>
  <c r="BB423" i="5"/>
  <c r="BA423" i="5"/>
  <c r="BA357" i="5"/>
  <c r="BB357" i="5"/>
  <c r="BB291" i="5"/>
  <c r="BA291" i="5"/>
  <c r="BB165" i="5"/>
  <c r="BA165" i="5"/>
  <c r="BA120" i="5"/>
  <c r="BB120" i="5"/>
  <c r="BA63" i="5"/>
  <c r="BB63" i="5"/>
  <c r="BB438" i="5"/>
  <c r="BA438" i="5"/>
  <c r="BA550" i="5"/>
  <c r="BB550" i="5"/>
  <c r="BA536" i="5"/>
  <c r="BB536" i="5"/>
  <c r="BA555" i="5"/>
  <c r="BB555" i="5"/>
  <c r="BB499" i="5"/>
  <c r="BA499" i="5"/>
  <c r="BA455" i="5"/>
  <c r="BB455" i="5"/>
  <c r="BB308" i="5"/>
  <c r="BA308" i="5"/>
  <c r="BA465" i="5"/>
  <c r="BB465" i="5"/>
  <c r="BB270" i="5"/>
  <c r="BA270" i="5"/>
  <c r="BA458" i="5"/>
  <c r="BB458" i="5"/>
  <c r="BB388" i="5"/>
  <c r="BA388" i="5"/>
  <c r="BA289" i="5"/>
  <c r="BB289" i="5"/>
  <c r="BB390" i="5"/>
  <c r="BA390" i="5"/>
  <c r="BA304" i="5"/>
  <c r="BB304" i="5"/>
  <c r="BB404" i="5"/>
  <c r="BA404" i="5"/>
  <c r="BB301" i="5"/>
  <c r="BA301" i="5"/>
  <c r="BB239" i="5"/>
  <c r="BA239" i="5"/>
  <c r="BB185" i="5"/>
  <c r="BA185" i="5"/>
  <c r="BA87" i="5"/>
  <c r="BB87" i="5"/>
  <c r="BA33" i="5"/>
  <c r="BB33" i="5"/>
  <c r="BA528" i="5"/>
  <c r="BB528" i="5"/>
  <c r="BB433" i="5"/>
  <c r="BA433" i="5"/>
  <c r="BB449" i="5"/>
  <c r="BA449" i="5"/>
  <c r="BB510" i="5"/>
  <c r="BA510" i="5"/>
  <c r="BA482" i="5"/>
  <c r="BB482" i="5"/>
  <c r="BB430" i="5"/>
  <c r="BA430" i="5"/>
  <c r="BB484" i="5"/>
  <c r="BA484" i="5"/>
  <c r="BB412" i="5"/>
  <c r="BA412" i="5"/>
  <c r="BA490" i="5"/>
  <c r="BB490" i="5"/>
  <c r="BA311" i="5"/>
  <c r="BB311" i="5"/>
  <c r="BB348" i="5"/>
  <c r="BA348" i="5"/>
  <c r="BB418" i="5"/>
  <c r="BA418" i="5"/>
  <c r="BA363" i="5"/>
  <c r="BB363" i="5"/>
  <c r="BA431" i="5"/>
  <c r="BB431" i="5"/>
  <c r="BB224" i="5"/>
  <c r="BA224" i="5"/>
  <c r="BB327" i="5"/>
  <c r="BA327" i="5"/>
  <c r="BA216" i="5"/>
  <c r="BB216" i="5"/>
  <c r="BA146" i="5"/>
  <c r="BB146" i="5"/>
  <c r="BA57" i="5"/>
  <c r="BB57" i="5"/>
  <c r="BB464" i="5"/>
  <c r="BA464" i="5"/>
  <c r="BA407" i="5"/>
  <c r="BB407" i="5"/>
  <c r="BB548" i="5"/>
  <c r="BA548" i="5"/>
  <c r="BA229" i="5"/>
  <c r="BB229" i="5"/>
  <c r="BB502" i="5"/>
  <c r="BA502" i="5"/>
  <c r="BA466" i="5"/>
  <c r="BB466" i="5"/>
  <c r="BB353" i="5"/>
  <c r="BA353" i="5"/>
  <c r="BB468" i="5"/>
  <c r="BA468" i="5"/>
  <c r="BA382" i="5"/>
  <c r="BB382" i="5"/>
  <c r="BB460" i="5"/>
  <c r="BA460" i="5"/>
  <c r="BB398" i="5"/>
  <c r="BA398" i="5"/>
  <c r="BB333" i="5"/>
  <c r="BA333" i="5"/>
  <c r="BA399" i="5"/>
  <c r="BB399" i="5"/>
  <c r="BB345" i="5"/>
  <c r="BA345" i="5"/>
  <c r="BA410" i="5"/>
  <c r="BB410" i="5"/>
  <c r="BA320" i="5"/>
  <c r="BB320" i="5"/>
  <c r="BB259" i="5"/>
  <c r="BA259" i="5"/>
  <c r="BB162" i="5"/>
  <c r="BA162" i="5"/>
  <c r="BB129" i="5"/>
  <c r="BA129" i="5"/>
  <c r="BB42" i="5"/>
  <c r="BA42" i="5"/>
  <c r="BA527" i="5"/>
  <c r="BB527" i="5"/>
  <c r="BA451" i="5"/>
  <c r="BB451" i="5"/>
  <c r="BA526" i="5"/>
  <c r="BB526" i="5"/>
  <c r="BA374" i="5"/>
  <c r="BB374" i="5"/>
  <c r="BA384" i="5"/>
  <c r="BB384" i="5"/>
  <c r="BA248" i="5"/>
  <c r="BB248" i="5"/>
  <c r="BB181" i="5"/>
  <c r="BA181" i="5"/>
  <c r="BA533" i="5"/>
  <c r="BB533" i="5"/>
  <c r="BB518" i="5"/>
  <c r="BA518" i="5"/>
  <c r="BB432" i="5"/>
  <c r="BA432" i="5"/>
  <c r="BA496" i="5"/>
  <c r="BB496" i="5"/>
  <c r="BB419" i="5"/>
  <c r="BA419" i="5"/>
  <c r="BA435" i="5"/>
  <c r="BB435" i="5"/>
  <c r="BB233" i="5"/>
  <c r="BA233" i="5"/>
  <c r="BA372" i="5"/>
  <c r="BB372" i="5"/>
  <c r="BB554" i="5"/>
  <c r="BA554" i="5"/>
  <c r="BB454" i="5"/>
  <c r="BA454" i="5"/>
  <c r="BB532" i="5"/>
  <c r="BA532" i="5"/>
  <c r="BB286" i="5"/>
  <c r="BA286" i="5"/>
  <c r="BA293" i="5"/>
  <c r="BB293" i="5"/>
  <c r="BB215" i="5"/>
  <c r="BA215" i="5"/>
  <c r="BA37" i="5"/>
  <c r="BB37" i="5"/>
  <c r="BB448" i="5"/>
  <c r="BA448" i="5"/>
  <c r="BB488" i="5"/>
  <c r="BA488" i="5"/>
  <c r="BB429" i="5"/>
  <c r="BA429" i="5"/>
  <c r="BA368" i="5"/>
  <c r="BB368" i="5"/>
  <c r="BA245" i="5"/>
  <c r="BB245" i="5"/>
  <c r="BB440" i="5"/>
  <c r="BA440" i="5"/>
  <c r="BB335" i="5"/>
  <c r="BA335" i="5"/>
  <c r="BA62" i="5"/>
  <c r="BB62" i="5"/>
  <c r="BC533" i="5"/>
  <c r="BD533" i="5" s="1"/>
  <c r="BC286" i="5"/>
  <c r="BC440" i="5"/>
  <c r="BB450" i="5"/>
  <c r="BA450" i="5"/>
  <c r="BB551" i="5"/>
  <c r="BA551" i="5"/>
  <c r="BB540" i="5"/>
  <c r="BA540" i="5"/>
  <c r="BB556" i="5"/>
  <c r="BA556" i="5"/>
  <c r="BB500" i="5"/>
  <c r="BA500" i="5"/>
  <c r="BB463" i="5"/>
  <c r="BA463" i="5"/>
  <c r="BB347" i="5"/>
  <c r="BA347" i="5"/>
  <c r="BB467" i="5"/>
  <c r="BA467" i="5"/>
  <c r="BA325" i="5"/>
  <c r="BB325" i="5"/>
  <c r="BB459" i="5"/>
  <c r="BA459" i="5"/>
  <c r="BB395" i="5"/>
  <c r="BA395" i="5"/>
  <c r="BA292" i="5"/>
  <c r="BB292" i="5"/>
  <c r="BA392" i="5"/>
  <c r="BB392" i="5"/>
  <c r="BA334" i="5"/>
  <c r="BB334" i="5"/>
  <c r="BB409" i="5"/>
  <c r="BA409" i="5"/>
  <c r="BB310" i="5"/>
  <c r="BA310" i="5"/>
  <c r="BA193" i="5"/>
  <c r="BB193" i="5"/>
  <c r="BB143" i="5"/>
  <c r="BA143" i="5"/>
  <c r="BA99" i="5"/>
  <c r="BB99" i="5"/>
  <c r="BA46" i="5"/>
  <c r="BB46" i="5"/>
  <c r="BA547" i="5"/>
  <c r="BB547" i="5"/>
  <c r="BB538" i="5"/>
  <c r="BA538" i="5"/>
  <c r="BA521" i="5"/>
  <c r="BB521" i="5"/>
  <c r="BB530" i="5"/>
  <c r="BA530" i="5"/>
  <c r="BA492" i="5"/>
  <c r="BB492" i="5"/>
  <c r="BB444" i="5"/>
  <c r="BA444" i="5"/>
  <c r="BA512" i="5"/>
  <c r="BB512" i="5"/>
  <c r="BA446" i="5"/>
  <c r="BB446" i="5"/>
  <c r="BB525" i="5"/>
  <c r="BA525" i="5"/>
  <c r="BA422" i="5"/>
  <c r="BB422" i="5"/>
  <c r="BA371" i="5"/>
  <c r="BB371" i="5"/>
  <c r="BB267" i="5"/>
  <c r="BA267" i="5"/>
  <c r="BB380" i="5"/>
  <c r="BA380" i="5"/>
  <c r="BB252" i="5"/>
  <c r="BA252" i="5"/>
  <c r="BB367" i="5"/>
  <c r="BA367" i="5"/>
  <c r="BB192" i="5"/>
  <c r="BA192" i="5"/>
  <c r="BB228" i="5"/>
  <c r="BA228" i="5"/>
  <c r="BA167" i="5"/>
  <c r="BB167" i="5"/>
  <c r="BB93" i="5"/>
  <c r="BA93" i="5"/>
  <c r="BB483" i="5"/>
  <c r="BA483" i="5"/>
  <c r="BA424" i="5"/>
  <c r="BB424" i="5"/>
  <c r="BB553" i="5"/>
  <c r="BA553" i="5"/>
  <c r="BA297" i="5"/>
  <c r="BB297" i="5"/>
  <c r="BA503" i="5"/>
  <c r="BB503" i="5"/>
  <c r="BB469" i="5"/>
  <c r="BA469" i="5"/>
  <c r="BB381" i="5"/>
  <c r="BA381" i="5"/>
  <c r="BA470" i="5"/>
  <c r="BB470" i="5"/>
  <c r="BB391" i="5"/>
  <c r="BA391" i="5"/>
  <c r="BB471" i="5"/>
  <c r="BA471" i="5"/>
  <c r="BB400" i="5"/>
  <c r="BA400" i="5"/>
  <c r="BA336" i="5"/>
  <c r="BB336" i="5"/>
  <c r="BB402" i="5"/>
  <c r="BA402" i="5"/>
  <c r="BA350" i="5"/>
  <c r="BB350" i="5"/>
  <c r="BB414" i="5"/>
  <c r="BA414" i="5"/>
  <c r="BB330" i="5"/>
  <c r="BA330" i="5"/>
  <c r="BA271" i="5"/>
  <c r="BB271" i="5"/>
  <c r="BA187" i="5"/>
  <c r="BB187" i="5"/>
  <c r="BB151" i="5"/>
  <c r="BA151" i="5"/>
  <c r="BA67" i="5"/>
  <c r="BB67" i="5"/>
  <c r="BB559" i="5"/>
  <c r="BA559" i="5"/>
  <c r="BB544" i="5"/>
  <c r="BA544" i="5"/>
  <c r="BB529" i="5"/>
  <c r="BA529" i="5"/>
  <c r="BA545" i="5"/>
  <c r="BB545" i="5"/>
  <c r="BB494" i="5"/>
  <c r="BA494" i="5"/>
  <c r="BB453" i="5"/>
  <c r="BA453" i="5"/>
  <c r="BB516" i="5"/>
  <c r="BA516" i="5"/>
  <c r="BA461" i="5"/>
  <c r="BB461" i="5"/>
  <c r="BB531" i="5"/>
  <c r="BA531" i="5"/>
  <c r="BA452" i="5"/>
  <c r="BB452" i="5"/>
  <c r="BA378" i="5"/>
  <c r="BB378" i="5"/>
  <c r="BB280" i="5"/>
  <c r="BA280" i="5"/>
  <c r="BA386" i="5"/>
  <c r="BB386" i="5"/>
  <c r="BB277" i="5"/>
  <c r="BA277" i="5"/>
  <c r="BB383" i="5"/>
  <c r="BA383" i="5"/>
  <c r="BA257" i="5"/>
  <c r="BB257" i="5"/>
  <c r="BA186" i="5"/>
  <c r="BB186" i="5"/>
  <c r="BB153" i="5"/>
  <c r="BA153" i="5"/>
  <c r="BA96" i="5"/>
  <c r="BB96" i="5"/>
  <c r="BA25" i="5"/>
  <c r="BB25" i="5"/>
  <c r="AY364" i="5"/>
  <c r="AX364" i="5"/>
  <c r="BC364" i="5"/>
  <c r="AY511" i="5"/>
  <c r="AX511" i="5"/>
  <c r="BC511" i="5"/>
  <c r="AY438" i="5"/>
  <c r="AX438" i="5"/>
  <c r="BC438" i="5"/>
  <c r="AY530" i="5"/>
  <c r="BC530" i="5"/>
  <c r="AX530" i="5"/>
  <c r="AY514" i="5"/>
  <c r="AX514" i="5"/>
  <c r="AX558" i="5"/>
  <c r="AY558" i="5"/>
  <c r="AX510" i="5"/>
  <c r="AY510" i="5"/>
  <c r="AY523" i="5"/>
  <c r="AX523" i="5"/>
  <c r="AX303" i="5"/>
  <c r="AY303" i="5"/>
  <c r="AY447" i="5"/>
  <c r="AX447" i="5"/>
  <c r="AY421" i="5"/>
  <c r="AX421" i="5"/>
  <c r="BC454" i="5"/>
  <c r="AX454" i="5"/>
  <c r="AY454" i="5"/>
  <c r="AX403" i="5"/>
  <c r="AY403" i="5"/>
  <c r="AX497" i="5"/>
  <c r="AY497" i="5"/>
  <c r="BC497" i="5"/>
  <c r="AY547" i="5"/>
  <c r="AX547" i="5"/>
  <c r="BC547" i="5"/>
  <c r="AX417" i="5"/>
  <c r="AY417" i="5"/>
  <c r="BC417" i="5"/>
  <c r="AY512" i="5"/>
  <c r="AX512" i="5"/>
  <c r="AX264" i="5"/>
  <c r="AY264" i="5"/>
  <c r="AX344" i="5"/>
  <c r="AY344" i="5"/>
  <c r="AX267" i="5"/>
  <c r="BC267" i="5"/>
  <c r="AY267" i="5"/>
  <c r="AX232" i="5"/>
  <c r="AY232" i="5"/>
  <c r="AX142" i="5"/>
  <c r="AY142" i="5"/>
  <c r="BC142" i="5"/>
  <c r="AX86" i="5"/>
  <c r="AY86" i="5"/>
  <c r="AX94" i="5"/>
  <c r="AY94" i="5"/>
  <c r="AX27" i="5"/>
  <c r="AY27" i="5"/>
  <c r="AX389" i="5"/>
  <c r="AY389" i="5"/>
  <c r="BC389" i="5"/>
  <c r="AY260" i="5"/>
  <c r="AX260" i="5"/>
  <c r="BC260" i="5"/>
  <c r="AX284" i="5"/>
  <c r="AY284" i="5"/>
  <c r="AX175" i="5"/>
  <c r="AY175" i="5"/>
  <c r="AY151" i="5"/>
  <c r="AX151" i="5"/>
  <c r="AY103" i="5"/>
  <c r="AX103" i="5"/>
  <c r="AY66" i="5"/>
  <c r="AX66" i="5"/>
  <c r="AY384" i="5"/>
  <c r="AX384" i="5"/>
  <c r="BC384" i="5"/>
  <c r="AY316" i="5"/>
  <c r="AX316" i="5"/>
  <c r="AY230" i="5"/>
  <c r="AX230" i="5"/>
  <c r="AX172" i="5"/>
  <c r="AY172" i="5"/>
  <c r="AY173" i="5"/>
  <c r="AX173" i="5"/>
  <c r="AX64" i="5"/>
  <c r="AY64" i="5"/>
  <c r="AY97" i="5"/>
  <c r="AX97" i="5"/>
  <c r="AX60" i="5"/>
  <c r="AY60" i="5"/>
  <c r="AY61" i="5"/>
  <c r="AX61" i="5"/>
  <c r="AY21" i="5"/>
  <c r="AX21" i="5"/>
  <c r="AY22" i="5"/>
  <c r="AX22" i="5"/>
  <c r="AY427" i="5"/>
  <c r="AX427" i="5"/>
  <c r="BC370" i="5"/>
  <c r="AX370" i="5"/>
  <c r="AY370" i="5"/>
  <c r="BC297" i="5"/>
  <c r="AY297" i="5"/>
  <c r="AX297" i="5"/>
  <c r="AX280" i="5"/>
  <c r="AY280" i="5"/>
  <c r="AY329" i="5"/>
  <c r="AX329" i="5"/>
  <c r="AX253" i="5"/>
  <c r="AY253" i="5"/>
  <c r="BC253" i="5"/>
  <c r="AY216" i="5"/>
  <c r="AX216" i="5"/>
  <c r="AX231" i="5"/>
  <c r="AY231" i="5"/>
  <c r="AY214" i="5"/>
  <c r="AX214" i="5"/>
  <c r="AY188" i="5"/>
  <c r="AX188" i="5"/>
  <c r="AY176" i="5"/>
  <c r="AX176" i="5"/>
  <c r="AX131" i="5"/>
  <c r="AY131" i="5"/>
  <c r="AY141" i="5"/>
  <c r="AX141" i="5"/>
  <c r="AX135" i="5"/>
  <c r="AY135" i="5"/>
  <c r="AY95" i="5"/>
  <c r="AX95" i="5"/>
  <c r="AX70" i="5"/>
  <c r="AY70" i="5"/>
  <c r="AY65" i="5"/>
  <c r="AX65" i="5"/>
  <c r="AX34" i="5"/>
  <c r="AY34" i="5"/>
  <c r="AX33" i="5"/>
  <c r="AY33" i="5"/>
  <c r="BC427" i="5"/>
  <c r="BC421" i="5"/>
  <c r="BC264" i="5"/>
  <c r="BE264" i="5" s="1"/>
  <c r="BC22" i="5"/>
  <c r="BD22" i="5" s="1"/>
  <c r="BC86" i="5"/>
  <c r="BE86" i="5" s="1"/>
  <c r="BC21" i="5"/>
  <c r="BE21" i="5" s="1"/>
  <c r="AX407" i="5"/>
  <c r="AY407" i="5"/>
  <c r="AY529" i="5"/>
  <c r="AX529" i="5"/>
  <c r="BC529" i="5"/>
  <c r="AY471" i="5"/>
  <c r="AX471" i="5"/>
  <c r="BC471" i="5"/>
  <c r="AY560" i="5"/>
  <c r="AX560" i="5"/>
  <c r="AX414" i="5"/>
  <c r="AY414" i="5"/>
  <c r="AY453" i="5"/>
  <c r="AX453" i="5"/>
  <c r="AX531" i="5"/>
  <c r="AY531" i="5"/>
  <c r="BC531" i="5"/>
  <c r="AX456" i="5"/>
  <c r="AY456" i="5"/>
  <c r="AX495" i="5"/>
  <c r="AY495" i="5"/>
  <c r="AY274" i="5"/>
  <c r="AX274" i="5"/>
  <c r="AY404" i="5"/>
  <c r="AX404" i="5"/>
  <c r="AX481" i="5"/>
  <c r="AY481" i="5"/>
  <c r="AX372" i="5"/>
  <c r="AY372" i="5"/>
  <c r="AY360" i="5"/>
  <c r="AX360" i="5"/>
  <c r="AY548" i="5"/>
  <c r="AX548" i="5"/>
  <c r="BC548" i="5"/>
  <c r="AX550" i="5"/>
  <c r="AY550" i="5"/>
  <c r="BC550" i="5"/>
  <c r="AY542" i="5"/>
  <c r="AX542" i="5"/>
  <c r="BC542" i="5"/>
  <c r="AX464" i="5"/>
  <c r="AY464" i="5"/>
  <c r="BC464" i="5"/>
  <c r="AX411" i="5"/>
  <c r="AY411" i="5"/>
  <c r="AY502" i="5"/>
  <c r="AX502" i="5"/>
  <c r="AX449" i="5"/>
  <c r="AY449" i="5"/>
  <c r="BC449" i="5"/>
  <c r="AY506" i="5"/>
  <c r="AX506" i="5"/>
  <c r="AY446" i="5"/>
  <c r="AX446" i="5"/>
  <c r="AX396" i="5"/>
  <c r="AY396" i="5"/>
  <c r="AX420" i="5"/>
  <c r="AY420" i="5"/>
  <c r="AX342" i="5"/>
  <c r="AY342" i="5"/>
  <c r="BC342" i="5"/>
  <c r="AY557" i="5"/>
  <c r="AX557" i="5"/>
  <c r="AY554" i="5"/>
  <c r="AX554" i="5"/>
  <c r="AX549" i="5"/>
  <c r="AY549" i="5"/>
  <c r="AY540" i="5"/>
  <c r="AX540" i="5"/>
  <c r="AY460" i="5"/>
  <c r="AX460" i="5"/>
  <c r="BC460" i="5"/>
  <c r="AX402" i="5"/>
  <c r="AY402" i="5"/>
  <c r="AX499" i="5"/>
  <c r="AY499" i="5"/>
  <c r="AX443" i="5"/>
  <c r="AY443" i="5"/>
  <c r="AX505" i="5"/>
  <c r="AY505" i="5"/>
  <c r="AX444" i="5"/>
  <c r="AY444" i="5"/>
  <c r="AX391" i="5"/>
  <c r="AY391" i="5"/>
  <c r="AX415" i="5"/>
  <c r="AY415" i="5"/>
  <c r="AX336" i="5"/>
  <c r="AY336" i="5"/>
  <c r="AY555" i="5"/>
  <c r="AX555" i="5"/>
  <c r="AY551" i="5"/>
  <c r="AX551" i="5"/>
  <c r="BC551" i="5"/>
  <c r="AX532" i="5"/>
  <c r="AY532" i="5"/>
  <c r="AY538" i="5"/>
  <c r="AX538" i="5"/>
  <c r="AY458" i="5"/>
  <c r="AX458" i="5"/>
  <c r="AX393" i="5"/>
  <c r="AY393" i="5"/>
  <c r="AX494" i="5"/>
  <c r="AY494" i="5"/>
  <c r="AX441" i="5"/>
  <c r="AY441" i="5"/>
  <c r="BC441" i="5"/>
  <c r="AX500" i="5"/>
  <c r="AY500" i="5"/>
  <c r="BC500" i="5"/>
  <c r="AX440" i="5"/>
  <c r="AY440" i="5"/>
  <c r="AX387" i="5"/>
  <c r="AY387" i="5"/>
  <c r="AX406" i="5"/>
  <c r="AY406" i="5"/>
  <c r="BC406" i="5"/>
  <c r="AY318" i="5"/>
  <c r="AX318" i="5"/>
  <c r="AX379" i="5"/>
  <c r="AY379" i="5"/>
  <c r="AY307" i="5"/>
  <c r="AX307" i="5"/>
  <c r="AX308" i="5"/>
  <c r="AY308" i="5"/>
  <c r="AX250" i="5"/>
  <c r="AY250" i="5"/>
  <c r="BC250" i="5"/>
  <c r="AY293" i="5"/>
  <c r="AX293" i="5"/>
  <c r="BC293" i="5"/>
  <c r="AX177" i="5"/>
  <c r="AY177" i="5"/>
  <c r="AX269" i="5"/>
  <c r="AY269" i="5"/>
  <c r="AX223" i="5"/>
  <c r="AY223" i="5"/>
  <c r="AX239" i="5"/>
  <c r="AY239" i="5"/>
  <c r="BC239" i="5"/>
  <c r="AX222" i="5"/>
  <c r="AY222" i="5"/>
  <c r="AX200" i="5"/>
  <c r="AY200" i="5"/>
  <c r="AY186" i="5"/>
  <c r="AX186" i="5"/>
  <c r="AY144" i="5"/>
  <c r="AX144" i="5"/>
  <c r="AX153" i="5"/>
  <c r="AY153" i="5"/>
  <c r="AX149" i="5"/>
  <c r="AY149" i="5"/>
  <c r="AX100" i="5"/>
  <c r="AY100" i="5"/>
  <c r="AX78" i="5"/>
  <c r="AY78" i="5"/>
  <c r="AX79" i="5"/>
  <c r="AY79" i="5"/>
  <c r="BC79" i="5"/>
  <c r="AX55" i="5"/>
  <c r="AY55" i="5"/>
  <c r="AX44" i="5"/>
  <c r="AY44" i="5"/>
  <c r="AY434" i="5"/>
  <c r="AX434" i="5"/>
  <c r="AY377" i="5"/>
  <c r="AX377" i="5"/>
  <c r="BC377" i="5"/>
  <c r="AX296" i="5"/>
  <c r="AY296" i="5"/>
  <c r="AY304" i="5"/>
  <c r="AX304" i="5"/>
  <c r="BC304" i="5"/>
  <c r="AX245" i="5"/>
  <c r="AY245" i="5"/>
  <c r="AY287" i="5"/>
  <c r="AX287" i="5"/>
  <c r="AY331" i="5"/>
  <c r="AX331" i="5"/>
  <c r="BC331" i="5"/>
  <c r="AX262" i="5"/>
  <c r="AY262" i="5"/>
  <c r="AY220" i="5"/>
  <c r="AX220" i="5"/>
  <c r="AY237" i="5"/>
  <c r="AX237" i="5"/>
  <c r="AY219" i="5"/>
  <c r="AX219" i="5"/>
  <c r="AY196" i="5"/>
  <c r="AX196" i="5"/>
  <c r="AY185" i="5"/>
  <c r="AX185" i="5"/>
  <c r="AY140" i="5"/>
  <c r="AX140" i="5"/>
  <c r="AX145" i="5"/>
  <c r="AY145" i="5"/>
  <c r="AX146" i="5"/>
  <c r="AY146" i="5"/>
  <c r="AX98" i="5"/>
  <c r="AY98" i="5"/>
  <c r="AY82" i="5"/>
  <c r="AX82" i="5"/>
  <c r="AY75" i="5"/>
  <c r="AX75" i="5"/>
  <c r="AY53" i="5"/>
  <c r="AX53" i="5"/>
  <c r="AY41" i="5"/>
  <c r="AX41" i="5"/>
  <c r="AY8" i="5"/>
  <c r="AX8" i="5"/>
  <c r="AX371" i="5"/>
  <c r="AY371" i="5"/>
  <c r="BC371" i="5"/>
  <c r="AX281" i="5"/>
  <c r="AY281" i="5"/>
  <c r="AY299" i="5"/>
  <c r="AX299" i="5"/>
  <c r="AX221" i="5"/>
  <c r="AY221" i="5"/>
  <c r="AY283" i="5"/>
  <c r="AX283" i="5"/>
  <c r="AX330" i="5"/>
  <c r="AY330" i="5"/>
  <c r="AX256" i="5"/>
  <c r="AY256" i="5"/>
  <c r="AY218" i="5"/>
  <c r="AX218" i="5"/>
  <c r="AY234" i="5"/>
  <c r="AX234" i="5"/>
  <c r="AX217" i="5"/>
  <c r="AY217" i="5"/>
  <c r="BC217" i="5"/>
  <c r="AX191" i="5"/>
  <c r="AY191" i="5"/>
  <c r="AY180" i="5"/>
  <c r="AX180" i="5"/>
  <c r="AX133" i="5"/>
  <c r="AY133" i="5"/>
  <c r="AX143" i="5"/>
  <c r="AY143" i="5"/>
  <c r="AX138" i="5"/>
  <c r="AY138" i="5"/>
  <c r="AX96" i="5"/>
  <c r="AY96" i="5"/>
  <c r="BC96" i="5"/>
  <c r="AX72" i="5"/>
  <c r="AY72" i="5"/>
  <c r="AX71" i="5"/>
  <c r="AY71" i="5"/>
  <c r="AX51" i="5"/>
  <c r="AY51" i="5"/>
  <c r="AX38" i="5"/>
  <c r="AY38" i="5"/>
  <c r="AT13" i="5"/>
  <c r="AZ13" i="5"/>
  <c r="AW13" i="5"/>
  <c r="T13" i="5"/>
  <c r="AY413" i="5"/>
  <c r="AX413" i="5"/>
  <c r="BC413" i="5"/>
  <c r="BC357" i="5"/>
  <c r="AY357" i="5"/>
  <c r="AX357" i="5"/>
  <c r="AX347" i="5"/>
  <c r="BC347" i="5"/>
  <c r="AY347" i="5"/>
  <c r="AY282" i="5"/>
  <c r="AX282" i="5"/>
  <c r="AX322" i="5"/>
  <c r="AY322" i="5"/>
  <c r="AX263" i="5"/>
  <c r="AY263" i="5"/>
  <c r="AY310" i="5"/>
  <c r="AX310" i="5"/>
  <c r="AX233" i="5"/>
  <c r="AY233" i="5"/>
  <c r="BC233" i="5"/>
  <c r="AX198" i="5"/>
  <c r="AY198" i="5"/>
  <c r="AY197" i="5"/>
  <c r="AX197" i="5"/>
  <c r="AY195" i="5"/>
  <c r="AX195" i="5"/>
  <c r="AY170" i="5"/>
  <c r="AX170" i="5"/>
  <c r="AY164" i="5"/>
  <c r="AX164" i="5"/>
  <c r="AX114" i="5"/>
  <c r="AY114" i="5"/>
  <c r="AY130" i="5"/>
  <c r="AX130" i="5"/>
  <c r="AX120" i="5"/>
  <c r="AY120" i="5"/>
  <c r="BC120" i="5"/>
  <c r="AX84" i="5"/>
  <c r="AY84" i="5"/>
  <c r="AX83" i="5"/>
  <c r="AY83" i="5"/>
  <c r="AX54" i="5"/>
  <c r="AY54" i="5"/>
  <c r="AX45" i="5"/>
  <c r="AY45" i="5"/>
  <c r="AX48" i="5"/>
  <c r="AY48" i="5"/>
  <c r="BC95" i="5"/>
  <c r="BC282" i="5"/>
  <c r="AY513" i="5"/>
  <c r="AX513" i="5"/>
  <c r="AY474" i="5"/>
  <c r="AX474" i="5"/>
  <c r="AY536" i="5"/>
  <c r="AX536" i="5"/>
  <c r="AX266" i="5"/>
  <c r="AY266" i="5"/>
  <c r="AX462" i="5"/>
  <c r="AY462" i="5"/>
  <c r="AY422" i="5"/>
  <c r="AX422" i="5"/>
  <c r="AY467" i="5"/>
  <c r="AX467" i="5"/>
  <c r="AY507" i="5"/>
  <c r="AX507" i="5"/>
  <c r="AY552" i="5"/>
  <c r="AX552" i="5"/>
  <c r="AY519" i="5"/>
  <c r="BC519" i="5"/>
  <c r="AX519" i="5"/>
  <c r="AY300" i="5"/>
  <c r="AX300" i="5"/>
  <c r="AY556" i="5"/>
  <c r="AX556" i="5"/>
  <c r="AX508" i="5"/>
  <c r="AY508" i="5"/>
  <c r="BC508" i="5"/>
  <c r="AX401" i="5"/>
  <c r="AY401" i="5"/>
  <c r="AX390" i="5"/>
  <c r="AY390" i="5"/>
  <c r="BC390" i="5"/>
  <c r="AY309" i="5"/>
  <c r="AX309" i="5"/>
  <c r="AX181" i="5"/>
  <c r="AY181" i="5"/>
  <c r="AX179" i="5"/>
  <c r="AY179" i="5"/>
  <c r="AX106" i="5"/>
  <c r="AY106" i="5"/>
  <c r="BC106" i="5"/>
  <c r="AY28" i="5"/>
  <c r="AX28" i="5"/>
  <c r="AX319" i="5"/>
  <c r="AY319" i="5"/>
  <c r="AY248" i="5"/>
  <c r="AX248" i="5"/>
  <c r="BC248" i="5"/>
  <c r="AX235" i="5"/>
  <c r="AY235" i="5"/>
  <c r="AY80" i="5"/>
  <c r="AX80" i="5"/>
  <c r="AY93" i="5"/>
  <c r="AX93" i="5"/>
  <c r="AY23" i="5"/>
  <c r="AX23" i="5"/>
  <c r="AX258" i="5"/>
  <c r="AY258" i="5"/>
  <c r="AY227" i="5"/>
  <c r="AX227" i="5"/>
  <c r="AY207" i="5"/>
  <c r="AX207" i="5"/>
  <c r="BC207" i="5"/>
  <c r="AY246" i="5"/>
  <c r="AX246" i="5"/>
  <c r="BC231" i="5"/>
  <c r="BE231" i="5" s="1"/>
  <c r="BC27" i="5"/>
  <c r="BD27" i="5" s="1"/>
  <c r="BC66" i="5"/>
  <c r="BE66" i="5" s="1"/>
  <c r="BC34" i="5"/>
  <c r="BD34" i="5" s="1"/>
  <c r="BC214" i="5"/>
  <c r="BE214" i="5" s="1"/>
  <c r="BC103" i="5"/>
  <c r="BD103" i="5" s="1"/>
  <c r="BC173" i="5"/>
  <c r="AY261" i="5"/>
  <c r="AX261" i="5"/>
  <c r="AX491" i="5"/>
  <c r="AY491" i="5"/>
  <c r="AY424" i="5"/>
  <c r="AX424" i="5"/>
  <c r="AY559" i="5"/>
  <c r="AX559" i="5"/>
  <c r="AY503" i="5"/>
  <c r="AX503" i="5"/>
  <c r="AX397" i="5"/>
  <c r="AY397" i="5"/>
  <c r="AX546" i="5"/>
  <c r="AY546" i="5"/>
  <c r="AX375" i="5"/>
  <c r="AY375" i="5"/>
  <c r="BC375" i="5"/>
  <c r="AX430" i="5"/>
  <c r="AY430" i="5"/>
  <c r="BC430" i="5"/>
  <c r="AX19" i="5"/>
  <c r="AY19" i="5"/>
  <c r="AX526" i="5"/>
  <c r="AY526" i="5"/>
  <c r="BC526" i="5"/>
  <c r="AX373" i="5"/>
  <c r="AY373" i="5"/>
  <c r="AY388" i="5"/>
  <c r="AX388" i="5"/>
  <c r="BC388" i="5"/>
  <c r="AY525" i="5"/>
  <c r="AX525" i="5"/>
  <c r="AX541" i="5"/>
  <c r="AY541" i="5"/>
  <c r="BC541" i="5"/>
  <c r="AY459" i="5"/>
  <c r="AX459" i="5"/>
  <c r="BC459" i="5"/>
  <c r="AY534" i="5"/>
  <c r="AX534" i="5"/>
  <c r="AY448" i="5"/>
  <c r="AX448" i="5"/>
  <c r="BC448" i="5"/>
  <c r="AY351" i="5"/>
  <c r="AX351" i="5"/>
  <c r="AY489" i="5"/>
  <c r="AX489" i="5"/>
  <c r="AY436" i="5"/>
  <c r="AX436" i="5"/>
  <c r="AY492" i="5"/>
  <c r="AX492" i="5"/>
  <c r="BC492" i="5"/>
  <c r="AY429" i="5"/>
  <c r="AX429" i="5"/>
  <c r="BC429" i="5"/>
  <c r="AY382" i="5"/>
  <c r="AX382" i="5"/>
  <c r="BC382" i="5"/>
  <c r="AX398" i="5"/>
  <c r="AY398" i="5"/>
  <c r="AX439" i="5"/>
  <c r="AY439" i="5"/>
  <c r="AX515" i="5"/>
  <c r="AY515" i="5"/>
  <c r="AY539" i="5"/>
  <c r="AX539" i="5"/>
  <c r="BC452" i="5"/>
  <c r="AX452" i="5"/>
  <c r="AY452" i="5"/>
  <c r="AX533" i="5"/>
  <c r="AY533" i="5"/>
  <c r="AX445" i="5"/>
  <c r="AY445" i="5"/>
  <c r="AX339" i="5"/>
  <c r="AY339" i="5"/>
  <c r="BC488" i="5"/>
  <c r="AX488" i="5"/>
  <c r="AY488" i="5"/>
  <c r="AX431" i="5"/>
  <c r="AY431" i="5"/>
  <c r="BC484" i="5"/>
  <c r="AX484" i="5"/>
  <c r="AY484" i="5"/>
  <c r="AY428" i="5"/>
  <c r="AX428" i="5"/>
  <c r="AY381" i="5"/>
  <c r="AX381" i="5"/>
  <c r="BC381" i="5"/>
  <c r="AX395" i="5"/>
  <c r="AY395" i="5"/>
  <c r="AX432" i="5"/>
  <c r="AY432" i="5"/>
  <c r="AX504" i="5"/>
  <c r="AY504" i="5"/>
  <c r="BC504" i="5"/>
  <c r="AX535" i="5"/>
  <c r="AY535" i="5"/>
  <c r="AX423" i="5"/>
  <c r="AY423" i="5"/>
  <c r="BC423" i="5"/>
  <c r="AX527" i="5"/>
  <c r="AY527" i="5"/>
  <c r="AX442" i="5"/>
  <c r="AY442" i="5"/>
  <c r="AX335" i="5"/>
  <c r="AY335" i="5"/>
  <c r="BC335" i="5"/>
  <c r="AX487" i="5"/>
  <c r="AY487" i="5"/>
  <c r="AY418" i="5"/>
  <c r="AX418" i="5"/>
  <c r="AX482" i="5"/>
  <c r="AY482" i="5"/>
  <c r="AX385" i="5"/>
  <c r="AY385" i="5"/>
  <c r="BC385" i="5"/>
  <c r="AX376" i="5"/>
  <c r="AY376" i="5"/>
  <c r="BC376" i="5"/>
  <c r="AX394" i="5"/>
  <c r="AY394" i="5"/>
  <c r="BC394" i="5"/>
  <c r="AX426" i="5"/>
  <c r="AY426" i="5"/>
  <c r="BC426" i="5"/>
  <c r="AX365" i="5"/>
  <c r="AY365" i="5"/>
  <c r="BC365" i="5"/>
  <c r="AX212" i="5"/>
  <c r="AY212" i="5"/>
  <c r="AY292" i="5"/>
  <c r="AX292" i="5"/>
  <c r="AY190" i="5"/>
  <c r="AX190" i="5"/>
  <c r="AX275" i="5"/>
  <c r="AY275" i="5"/>
  <c r="AX326" i="5"/>
  <c r="AY326" i="5"/>
  <c r="AY247" i="5"/>
  <c r="AX247" i="5"/>
  <c r="AY209" i="5"/>
  <c r="AX209" i="5"/>
  <c r="AY215" i="5"/>
  <c r="AX215" i="5"/>
  <c r="BC215" i="5"/>
  <c r="AY210" i="5"/>
  <c r="AX210" i="5"/>
  <c r="AX184" i="5"/>
  <c r="AY184" i="5"/>
  <c r="AX174" i="5"/>
  <c r="AY174" i="5"/>
  <c r="AY129" i="5"/>
  <c r="AX129" i="5"/>
  <c r="AY136" i="5"/>
  <c r="AX136" i="5"/>
  <c r="AX128" i="5"/>
  <c r="AY128" i="5"/>
  <c r="BC128" i="5"/>
  <c r="AX92" i="5"/>
  <c r="AY92" i="5"/>
  <c r="AX67" i="5"/>
  <c r="AY67" i="5"/>
  <c r="BC67" i="5"/>
  <c r="AY62" i="5"/>
  <c r="AX62" i="5"/>
  <c r="BC62" i="5"/>
  <c r="AX69" i="5"/>
  <c r="AY69" i="5"/>
  <c r="AX30" i="5"/>
  <c r="AY30" i="5"/>
  <c r="AY419" i="5"/>
  <c r="AX419" i="5"/>
  <c r="AY363" i="5"/>
  <c r="AX363" i="5"/>
  <c r="AY355" i="5"/>
  <c r="AX355" i="5"/>
  <c r="BC355" i="5"/>
  <c r="AX289" i="5"/>
  <c r="AY289" i="5"/>
  <c r="AY332" i="5"/>
  <c r="AX332" i="5"/>
  <c r="AX268" i="5"/>
  <c r="AY268" i="5"/>
  <c r="AX321" i="5"/>
  <c r="AY321" i="5"/>
  <c r="AY243" i="5"/>
  <c r="AX243" i="5"/>
  <c r="AY206" i="5"/>
  <c r="AX206" i="5"/>
  <c r="AY202" i="5"/>
  <c r="AX202" i="5"/>
  <c r="AY204" i="5"/>
  <c r="AX204" i="5"/>
  <c r="BC204" i="5"/>
  <c r="AX182" i="5"/>
  <c r="AY182" i="5"/>
  <c r="AY168" i="5"/>
  <c r="AX168" i="5"/>
  <c r="AY123" i="5"/>
  <c r="AX123" i="5"/>
  <c r="AY134" i="5"/>
  <c r="AX134" i="5"/>
  <c r="AX126" i="5"/>
  <c r="AY126" i="5"/>
  <c r="AY90" i="5"/>
  <c r="AX90" i="5"/>
  <c r="AX91" i="5"/>
  <c r="AY91" i="5"/>
  <c r="AY57" i="5"/>
  <c r="AX57" i="5"/>
  <c r="BC57" i="5"/>
  <c r="AY63" i="5"/>
  <c r="AX63" i="5"/>
  <c r="AY29" i="5"/>
  <c r="AX29" i="5"/>
  <c r="AY416" i="5"/>
  <c r="AX416" i="5"/>
  <c r="BC416" i="5"/>
  <c r="AY359" i="5"/>
  <c r="AX359" i="5"/>
  <c r="AX353" i="5"/>
  <c r="AY353" i="5"/>
  <c r="BC353" i="5"/>
  <c r="AX286" i="5"/>
  <c r="AY286" i="5"/>
  <c r="AX324" i="5"/>
  <c r="AY324" i="5"/>
  <c r="AX265" i="5"/>
  <c r="AY265" i="5"/>
  <c r="AX317" i="5"/>
  <c r="AY317" i="5"/>
  <c r="AY236" i="5"/>
  <c r="AX236" i="5"/>
  <c r="AX201" i="5"/>
  <c r="AY201" i="5"/>
  <c r="AY199" i="5"/>
  <c r="AX199" i="5"/>
  <c r="AY203" i="5"/>
  <c r="AX203" i="5"/>
  <c r="BC203" i="5"/>
  <c r="AY171" i="5"/>
  <c r="AX171" i="5"/>
  <c r="AY166" i="5"/>
  <c r="AX166" i="5"/>
  <c r="AX121" i="5"/>
  <c r="AY121" i="5"/>
  <c r="AY132" i="5"/>
  <c r="AX132" i="5"/>
  <c r="AY125" i="5"/>
  <c r="AX125" i="5"/>
  <c r="AX89" i="5"/>
  <c r="AY89" i="5"/>
  <c r="AX88" i="5"/>
  <c r="AY88" i="5"/>
  <c r="AY56" i="5"/>
  <c r="AX56" i="5"/>
  <c r="AX52" i="5"/>
  <c r="AY52" i="5"/>
  <c r="AY20" i="5"/>
  <c r="AX20" i="5"/>
  <c r="BC341" i="5"/>
  <c r="AY341" i="5"/>
  <c r="AX341" i="5"/>
  <c r="AX392" i="5"/>
  <c r="AY392" i="5"/>
  <c r="AY345" i="5"/>
  <c r="BC345" i="5"/>
  <c r="AX345" i="5"/>
  <c r="AY328" i="5"/>
  <c r="AX328" i="5"/>
  <c r="AX270" i="5"/>
  <c r="AY270" i="5"/>
  <c r="AY312" i="5"/>
  <c r="AX312" i="5"/>
  <c r="AY251" i="5"/>
  <c r="AX251" i="5"/>
  <c r="AY294" i="5"/>
  <c r="AX294" i="5"/>
  <c r="AX241" i="5"/>
  <c r="AY241" i="5"/>
  <c r="BC187" i="5"/>
  <c r="AX187" i="5"/>
  <c r="AY187" i="5"/>
  <c r="AX240" i="5"/>
  <c r="AY240" i="5"/>
  <c r="AY148" i="5"/>
  <c r="AX148" i="5"/>
  <c r="AX183" i="5"/>
  <c r="AY183" i="5"/>
  <c r="AX155" i="5"/>
  <c r="AY155" i="5"/>
  <c r="AX102" i="5"/>
  <c r="AY102" i="5"/>
  <c r="BC102" i="5"/>
  <c r="AX115" i="5"/>
  <c r="AY115" i="5"/>
  <c r="AX111" i="5"/>
  <c r="AY111" i="5"/>
  <c r="BC99" i="5"/>
  <c r="AX99" i="5"/>
  <c r="AY99" i="5"/>
  <c r="AX58" i="5"/>
  <c r="AY58" i="5"/>
  <c r="AY36" i="5"/>
  <c r="AX36" i="5"/>
  <c r="AY32" i="5"/>
  <c r="AX32" i="5"/>
  <c r="AX26" i="5"/>
  <c r="AY26" i="5"/>
  <c r="BC503" i="5"/>
  <c r="BC220" i="5"/>
  <c r="BC177" i="5"/>
  <c r="BC256" i="5"/>
  <c r="BC196" i="5"/>
  <c r="AX323" i="5"/>
  <c r="AY323" i="5"/>
  <c r="AX472" i="5"/>
  <c r="AY472" i="5"/>
  <c r="AX348" i="5"/>
  <c r="AY348" i="5"/>
  <c r="BC348" i="5"/>
  <c r="AX400" i="5"/>
  <c r="AY400" i="5"/>
  <c r="AY352" i="5"/>
  <c r="AX352" i="5"/>
  <c r="AY457" i="5"/>
  <c r="AX457" i="5"/>
  <c r="BC457" i="5"/>
  <c r="AY490" i="5"/>
  <c r="AX490" i="5"/>
  <c r="BC490" i="5"/>
  <c r="AY455" i="5"/>
  <c r="AX455" i="5"/>
  <c r="BC455" i="5"/>
  <c r="AY405" i="5"/>
  <c r="AX405" i="5"/>
  <c r="BC405" i="5"/>
  <c r="AY358" i="5"/>
  <c r="AX358" i="5"/>
  <c r="AX369" i="5"/>
  <c r="AY369" i="5"/>
  <c r="AX485" i="5"/>
  <c r="AY485" i="5"/>
  <c r="AX509" i="5"/>
  <c r="AY509" i="5"/>
  <c r="AX465" i="5"/>
  <c r="AY465" i="5"/>
  <c r="AY354" i="5"/>
  <c r="AX354" i="5"/>
  <c r="AX383" i="5"/>
  <c r="AY383" i="5"/>
  <c r="AX483" i="5"/>
  <c r="AY483" i="5"/>
  <c r="BC483" i="5"/>
  <c r="AX451" i="5"/>
  <c r="AY451" i="5"/>
  <c r="BC451" i="5"/>
  <c r="AX461" i="5"/>
  <c r="AY461" i="5"/>
  <c r="BC461" i="5"/>
  <c r="AY349" i="5"/>
  <c r="AX349" i="5"/>
  <c r="BC349" i="5"/>
  <c r="AX325" i="5"/>
  <c r="AY325" i="5"/>
  <c r="AY249" i="5"/>
  <c r="AX249" i="5"/>
  <c r="AY290" i="5"/>
  <c r="AX290" i="5"/>
  <c r="AY238" i="5"/>
  <c r="AX238" i="5"/>
  <c r="AY154" i="5"/>
  <c r="AX154" i="5"/>
  <c r="AX87" i="5"/>
  <c r="AY87" i="5"/>
  <c r="AX77" i="5"/>
  <c r="AY77" i="5"/>
  <c r="BC77" i="5"/>
  <c r="AY25" i="5"/>
  <c r="AX25" i="5"/>
  <c r="BC25" i="5"/>
  <c r="AY337" i="5"/>
  <c r="AX337" i="5"/>
  <c r="AX306" i="5"/>
  <c r="AY306" i="5"/>
  <c r="AY229" i="5"/>
  <c r="AX229" i="5"/>
  <c r="AY124" i="5"/>
  <c r="AX124" i="5"/>
  <c r="AX178" i="5"/>
  <c r="AY178" i="5"/>
  <c r="AY161" i="5"/>
  <c r="AX161" i="5"/>
  <c r="AY76" i="5"/>
  <c r="AX76" i="5"/>
  <c r="AY24" i="5"/>
  <c r="AX24" i="5"/>
  <c r="AY327" i="5"/>
  <c r="AX327" i="5"/>
  <c r="BC327" i="5"/>
  <c r="AX301" i="5"/>
  <c r="AY301" i="5"/>
  <c r="BC301" i="5"/>
  <c r="AY278" i="5"/>
  <c r="AX278" i="5"/>
  <c r="AY228" i="5"/>
  <c r="AX228" i="5"/>
  <c r="BC228" i="5"/>
  <c r="AY150" i="5"/>
  <c r="AX150" i="5"/>
  <c r="AY158" i="5"/>
  <c r="AX158" i="5"/>
  <c r="AY85" i="5"/>
  <c r="AX85" i="5"/>
  <c r="AX213" i="5"/>
  <c r="AY213" i="5"/>
  <c r="BC352" i="5"/>
  <c r="BE352" i="5" s="1"/>
  <c r="BC300" i="5"/>
  <c r="BE300" i="5" s="1"/>
  <c r="BC230" i="5"/>
  <c r="BD230" i="5" s="1"/>
  <c r="BC188" i="5"/>
  <c r="BE188" i="5" s="1"/>
  <c r="BC246" i="5"/>
  <c r="BD246" i="5" s="1"/>
  <c r="BC344" i="5"/>
  <c r="BE344" i="5" s="1"/>
  <c r="BC65" i="5"/>
  <c r="BD65" i="5" s="1"/>
  <c r="BC280" i="5"/>
  <c r="BC509" i="5"/>
  <c r="BC510" i="5"/>
  <c r="BC135" i="5"/>
  <c r="BC339" i="5"/>
  <c r="AX468" i="5"/>
  <c r="AY468" i="5"/>
  <c r="BC468" i="5"/>
  <c r="AY463" i="5"/>
  <c r="AX463" i="5"/>
  <c r="BC463" i="5"/>
  <c r="AX537" i="5"/>
  <c r="AY537" i="5"/>
  <c r="AY470" i="5"/>
  <c r="AX470" i="5"/>
  <c r="AY544" i="5"/>
  <c r="AX544" i="5"/>
  <c r="AY450" i="5"/>
  <c r="AX450" i="5"/>
  <c r="AX259" i="5"/>
  <c r="AY259" i="5"/>
  <c r="BC259" i="5"/>
  <c r="AX524" i="5"/>
  <c r="AY524" i="5"/>
  <c r="BC524" i="5"/>
  <c r="AY493" i="5"/>
  <c r="AX493" i="5"/>
  <c r="AX386" i="5"/>
  <c r="AY386" i="5"/>
  <c r="BC386" i="5"/>
  <c r="AY498" i="5"/>
  <c r="AX498" i="5"/>
  <c r="BC498" i="5"/>
  <c r="AY437" i="5"/>
  <c r="AX437" i="5"/>
  <c r="AX480" i="5"/>
  <c r="AY480" i="5"/>
  <c r="AY553" i="5"/>
  <c r="AX553" i="5"/>
  <c r="AX486" i="5"/>
  <c r="AY486" i="5"/>
  <c r="AY528" i="5"/>
  <c r="AX528" i="5"/>
  <c r="BC528" i="5"/>
  <c r="AY291" i="5"/>
  <c r="AX291" i="5"/>
  <c r="BC291" i="5"/>
  <c r="AX517" i="5"/>
  <c r="AY517" i="5"/>
  <c r="BC517" i="5"/>
  <c r="AX435" i="5"/>
  <c r="AY435" i="5"/>
  <c r="AX521" i="5"/>
  <c r="AY521" i="5"/>
  <c r="AY473" i="5"/>
  <c r="AX473" i="5"/>
  <c r="BC473" i="5"/>
  <c r="AX367" i="5"/>
  <c r="AY367" i="5"/>
  <c r="AX479" i="5"/>
  <c r="AY479" i="5"/>
  <c r="BC479" i="5"/>
  <c r="AY338" i="5"/>
  <c r="AX338" i="5"/>
  <c r="AX368" i="5"/>
  <c r="AY368" i="5"/>
  <c r="AX378" i="5"/>
  <c r="AY378" i="5"/>
  <c r="BC378" i="5"/>
  <c r="AY545" i="5"/>
  <c r="AX545" i="5"/>
  <c r="AY478" i="5"/>
  <c r="AX478" i="5"/>
  <c r="AX522" i="5"/>
  <c r="AY522" i="5"/>
  <c r="BC522" i="5"/>
  <c r="AX285" i="5"/>
  <c r="AY285" i="5"/>
  <c r="AY501" i="5"/>
  <c r="AX501" i="5"/>
  <c r="AY433" i="5"/>
  <c r="AX433" i="5"/>
  <c r="BC433" i="5"/>
  <c r="AY520" i="5"/>
  <c r="AX520" i="5"/>
  <c r="BC520" i="5"/>
  <c r="AY469" i="5"/>
  <c r="AX469" i="5"/>
  <c r="AX361" i="5"/>
  <c r="AY361" i="5"/>
  <c r="BC361" i="5"/>
  <c r="AY477" i="5"/>
  <c r="AX477" i="5"/>
  <c r="AY410" i="5"/>
  <c r="BC410" i="5"/>
  <c r="AX410" i="5"/>
  <c r="AY362" i="5"/>
  <c r="AX362" i="5"/>
  <c r="AX374" i="5"/>
  <c r="BC374" i="5"/>
  <c r="AY374" i="5"/>
  <c r="AY543" i="5"/>
  <c r="AX543" i="5"/>
  <c r="AY475" i="5"/>
  <c r="AX475" i="5"/>
  <c r="BC475" i="5"/>
  <c r="AX516" i="5"/>
  <c r="AY516" i="5"/>
  <c r="AY279" i="5"/>
  <c r="AX279" i="5"/>
  <c r="AY496" i="5"/>
  <c r="AX496" i="5"/>
  <c r="BC496" i="5"/>
  <c r="AX425" i="5"/>
  <c r="AY425" i="5"/>
  <c r="BC425" i="5"/>
  <c r="AY518" i="5"/>
  <c r="AX518" i="5"/>
  <c r="BC518" i="5"/>
  <c r="AX466" i="5"/>
  <c r="AY466" i="5"/>
  <c r="AY288" i="5"/>
  <c r="AX288" i="5"/>
  <c r="AX476" i="5"/>
  <c r="AY476" i="5"/>
  <c r="AX409" i="5"/>
  <c r="AY409" i="5"/>
  <c r="BC409" i="5"/>
  <c r="AY343" i="5"/>
  <c r="AX343" i="5"/>
  <c r="BC343" i="5"/>
  <c r="AX366" i="5"/>
  <c r="AY366" i="5"/>
  <c r="BC366" i="5"/>
  <c r="AX412" i="5"/>
  <c r="AY412" i="5"/>
  <c r="AX356" i="5"/>
  <c r="AY356" i="5"/>
  <c r="AX340" i="5"/>
  <c r="AY340" i="5"/>
  <c r="AX277" i="5"/>
  <c r="AY277" i="5"/>
  <c r="AY320" i="5"/>
  <c r="AX320" i="5"/>
  <c r="AY257" i="5"/>
  <c r="AX257" i="5"/>
  <c r="BC257" i="5"/>
  <c r="AY305" i="5"/>
  <c r="AX305" i="5"/>
  <c r="AX211" i="5"/>
  <c r="AY211" i="5"/>
  <c r="AX193" i="5"/>
  <c r="AY193" i="5"/>
  <c r="AX167" i="5"/>
  <c r="AY167" i="5"/>
  <c r="AX194" i="5"/>
  <c r="AY194" i="5"/>
  <c r="AX165" i="5"/>
  <c r="AY165" i="5"/>
  <c r="BC165" i="5"/>
  <c r="AX159" i="5"/>
  <c r="AY159" i="5"/>
  <c r="AX110" i="5"/>
  <c r="AY110" i="5"/>
  <c r="AX127" i="5"/>
  <c r="AY127" i="5"/>
  <c r="AX118" i="5"/>
  <c r="AY118" i="5"/>
  <c r="AX109" i="5"/>
  <c r="AY109" i="5"/>
  <c r="AX74" i="5"/>
  <c r="AY74" i="5"/>
  <c r="AX50" i="5"/>
  <c r="AY50" i="5"/>
  <c r="AX42" i="5"/>
  <c r="AY42" i="5"/>
  <c r="AX43" i="5"/>
  <c r="AY43" i="5"/>
  <c r="AX408" i="5"/>
  <c r="AY408" i="5"/>
  <c r="BC408" i="5"/>
  <c r="AX350" i="5"/>
  <c r="AY350" i="5"/>
  <c r="BC350" i="5"/>
  <c r="AY334" i="5"/>
  <c r="AX334" i="5"/>
  <c r="BC334" i="5"/>
  <c r="AY276" i="5"/>
  <c r="AX276" i="5"/>
  <c r="AX315" i="5"/>
  <c r="AY315" i="5"/>
  <c r="AY255" i="5"/>
  <c r="AX255" i="5"/>
  <c r="AX302" i="5"/>
  <c r="AY302" i="5"/>
  <c r="AX208" i="5"/>
  <c r="AY208" i="5"/>
  <c r="AX192" i="5"/>
  <c r="AY192" i="5"/>
  <c r="BC192" i="5"/>
  <c r="AX244" i="5"/>
  <c r="AY244" i="5"/>
  <c r="BC244" i="5"/>
  <c r="AX162" i="5"/>
  <c r="AY162" i="5"/>
  <c r="BC162" i="5"/>
  <c r="AY137" i="5"/>
  <c r="AX137" i="5"/>
  <c r="AX139" i="5"/>
  <c r="AY139" i="5"/>
  <c r="AX108" i="5"/>
  <c r="AY108" i="5"/>
  <c r="AY122" i="5"/>
  <c r="AX122" i="5"/>
  <c r="AY117" i="5"/>
  <c r="AX117" i="5"/>
  <c r="AY104" i="5"/>
  <c r="AX104" i="5"/>
  <c r="BC104" i="5"/>
  <c r="AY73" i="5"/>
  <c r="AX73" i="5"/>
  <c r="AY49" i="5"/>
  <c r="AX49" i="5"/>
  <c r="AY39" i="5"/>
  <c r="AX39" i="5"/>
  <c r="AX37" i="5"/>
  <c r="AY37" i="5"/>
  <c r="AX399" i="5"/>
  <c r="AY399" i="5"/>
  <c r="BC399" i="5"/>
  <c r="AX346" i="5"/>
  <c r="AY346" i="5"/>
  <c r="AX333" i="5"/>
  <c r="AY333" i="5"/>
  <c r="BC333" i="5"/>
  <c r="AY273" i="5"/>
  <c r="AX273" i="5"/>
  <c r="AY314" i="5"/>
  <c r="AX314" i="5"/>
  <c r="AX254" i="5"/>
  <c r="AY254" i="5"/>
  <c r="BC254" i="5"/>
  <c r="AY298" i="5"/>
  <c r="AX298" i="5"/>
  <c r="AY163" i="5"/>
  <c r="AX163" i="5"/>
  <c r="AX189" i="5"/>
  <c r="AY189" i="5"/>
  <c r="AX242" i="5"/>
  <c r="AY242" i="5"/>
  <c r="AY160" i="5"/>
  <c r="AX160" i="5"/>
  <c r="AY119" i="5"/>
  <c r="AX119" i="5"/>
  <c r="AX113" i="5"/>
  <c r="AY113" i="5"/>
  <c r="AY105" i="5"/>
  <c r="AX105" i="5"/>
  <c r="AX116" i="5"/>
  <c r="AY116" i="5"/>
  <c r="AX112" i="5"/>
  <c r="AY112" i="5"/>
  <c r="AY101" i="5"/>
  <c r="AX101" i="5"/>
  <c r="AY68" i="5"/>
  <c r="AX68" i="5"/>
  <c r="AX47" i="5"/>
  <c r="AY47" i="5"/>
  <c r="AX35" i="5"/>
  <c r="AY35" i="5"/>
  <c r="AX31" i="5"/>
  <c r="AY31" i="5"/>
  <c r="AX271" i="5"/>
  <c r="AY271" i="5"/>
  <c r="AX380" i="5"/>
  <c r="AY380" i="5"/>
  <c r="BC380" i="5"/>
  <c r="AX313" i="5"/>
  <c r="AY313" i="5"/>
  <c r="AY311" i="5"/>
  <c r="AX311" i="5"/>
  <c r="AY252" i="5"/>
  <c r="AX252" i="5"/>
  <c r="BC252" i="5"/>
  <c r="AY295" i="5"/>
  <c r="AX295" i="5"/>
  <c r="AX225" i="5"/>
  <c r="AY225" i="5"/>
  <c r="AX272" i="5"/>
  <c r="BC272" i="5"/>
  <c r="AY272" i="5"/>
  <c r="AY224" i="5"/>
  <c r="AX224" i="5"/>
  <c r="AX169" i="5"/>
  <c r="AY169" i="5"/>
  <c r="AX226" i="5"/>
  <c r="AY226" i="5"/>
  <c r="AY205" i="5"/>
  <c r="AX205" i="5"/>
  <c r="BC205" i="5"/>
  <c r="AX156" i="5"/>
  <c r="AY156" i="5"/>
  <c r="AY147" i="5"/>
  <c r="AX147" i="5"/>
  <c r="AY157" i="5"/>
  <c r="AX157" i="5"/>
  <c r="AX152" i="5"/>
  <c r="AY152" i="5"/>
  <c r="AY107" i="5"/>
  <c r="AX107" i="5"/>
  <c r="AY81" i="5"/>
  <c r="AX81" i="5"/>
  <c r="AY40" i="5"/>
  <c r="AX40" i="5"/>
  <c r="AY59" i="5"/>
  <c r="AX59" i="5"/>
  <c r="BC46" i="5"/>
  <c r="AY46" i="5"/>
  <c r="AX46" i="5"/>
  <c r="BC372" i="5"/>
  <c r="BC200" i="5"/>
  <c r="BC50" i="5"/>
  <c r="BC312" i="5"/>
  <c r="BC179" i="5"/>
  <c r="BC107" i="5"/>
  <c r="BC303" i="5"/>
  <c r="BC123" i="5"/>
  <c r="BC322" i="5"/>
  <c r="AL165" i="5"/>
  <c r="AL153" i="5"/>
  <c r="AK156" i="5"/>
  <c r="BE48" i="5"/>
  <c r="AU12" i="5"/>
  <c r="AV12" i="5"/>
  <c r="BC12" i="5"/>
  <c r="AK49" i="5"/>
  <c r="AK28" i="5"/>
  <c r="BE55" i="5"/>
  <c r="BD35" i="5"/>
  <c r="BE198" i="5"/>
  <c r="BD78" i="5"/>
  <c r="BE237" i="5"/>
  <c r="AY12" i="5"/>
  <c r="AX12" i="5"/>
  <c r="AK13" i="5"/>
  <c r="AL13" i="5"/>
  <c r="BE195" i="5"/>
  <c r="BE127" i="5"/>
  <c r="BE82" i="5"/>
  <c r="BD100" i="5"/>
  <c r="BE114" i="5"/>
  <c r="BD86" i="5"/>
  <c r="BE133" i="5"/>
  <c r="U12" i="5"/>
  <c r="V12" i="5"/>
  <c r="BD222" i="5"/>
  <c r="BD287" i="5"/>
  <c r="BE53" i="5"/>
  <c r="BD59" i="5"/>
  <c r="BA12" i="5"/>
  <c r="BB12" i="5"/>
  <c r="AL516" i="5"/>
  <c r="AK516" i="5"/>
  <c r="AL290" i="5"/>
  <c r="AK290" i="5"/>
  <c r="AL243" i="5"/>
  <c r="AK243" i="5"/>
  <c r="AL374" i="5"/>
  <c r="AK374" i="5"/>
  <c r="AK151" i="5"/>
  <c r="AL151" i="5"/>
  <c r="AL152" i="5"/>
  <c r="AK152" i="5"/>
  <c r="AK65" i="5"/>
  <c r="AL65" i="5"/>
  <c r="AK489" i="5"/>
  <c r="AL489" i="5"/>
  <c r="AK515" i="5"/>
  <c r="AL515" i="5"/>
  <c r="AL377" i="5"/>
  <c r="AK377" i="5"/>
  <c r="AL134" i="5"/>
  <c r="AK134" i="5"/>
  <c r="AL342" i="5"/>
  <c r="AK342" i="5"/>
  <c r="AK463" i="5"/>
  <c r="AL463" i="5"/>
  <c r="AL323" i="5"/>
  <c r="AK323" i="5"/>
  <c r="AK281" i="5"/>
  <c r="AL281" i="5"/>
  <c r="AK163" i="5"/>
  <c r="AL163" i="5"/>
  <c r="AL175" i="5"/>
  <c r="AK175" i="5"/>
  <c r="AL474" i="5"/>
  <c r="AK474" i="5"/>
  <c r="AL466" i="5"/>
  <c r="AK466" i="5"/>
  <c r="AK400" i="5"/>
  <c r="AL400" i="5"/>
  <c r="AK453" i="5"/>
  <c r="AL453" i="5"/>
  <c r="AL546" i="5"/>
  <c r="AK546" i="5"/>
  <c r="AL413" i="5"/>
  <c r="AK413" i="5"/>
  <c r="AK491" i="5"/>
  <c r="AL491" i="5"/>
  <c r="AK258" i="5"/>
  <c r="AL258" i="5"/>
  <c r="AL300" i="5"/>
  <c r="AK300" i="5"/>
  <c r="AK196" i="5"/>
  <c r="AL196" i="5"/>
  <c r="AK359" i="5"/>
  <c r="AL359" i="5"/>
  <c r="AK206" i="5"/>
  <c r="AL206" i="5"/>
  <c r="AK207" i="5"/>
  <c r="AL207" i="5"/>
  <c r="AL467" i="5"/>
  <c r="AK467" i="5"/>
  <c r="AK385" i="5"/>
  <c r="AL385" i="5"/>
  <c r="AK462" i="5"/>
  <c r="AL462" i="5"/>
  <c r="AL244" i="5"/>
  <c r="AK244" i="5"/>
  <c r="AL160" i="5"/>
  <c r="AK160" i="5"/>
  <c r="AL495" i="5"/>
  <c r="AK495" i="5"/>
  <c r="AK501" i="5"/>
  <c r="AL501" i="5"/>
  <c r="AK267" i="5"/>
  <c r="AL267" i="5"/>
  <c r="AL217" i="5"/>
  <c r="AK217" i="5"/>
  <c r="AK63" i="5"/>
  <c r="AL63" i="5"/>
  <c r="AK465" i="5"/>
  <c r="AL465" i="5"/>
  <c r="AK531" i="5"/>
  <c r="AL531" i="5"/>
  <c r="AL337" i="5"/>
  <c r="AK337" i="5"/>
  <c r="AK21" i="5"/>
  <c r="AL21" i="5"/>
  <c r="AL114" i="5"/>
  <c r="AK114" i="5"/>
  <c r="AL420" i="5"/>
  <c r="AK420" i="5"/>
  <c r="AK481" i="5"/>
  <c r="AL481" i="5"/>
  <c r="AK279" i="5"/>
  <c r="AL279" i="5"/>
  <c r="AK37" i="5"/>
  <c r="AL37" i="5"/>
  <c r="AL430" i="5"/>
  <c r="AK430" i="5"/>
  <c r="AK346" i="5"/>
  <c r="AL346" i="5"/>
  <c r="AK423" i="5"/>
  <c r="AL423" i="5"/>
  <c r="AL177" i="5"/>
  <c r="AK177" i="5"/>
  <c r="AK92" i="5"/>
  <c r="AL92" i="5"/>
  <c r="AL102" i="5"/>
  <c r="AK102" i="5"/>
  <c r="AL140" i="5"/>
  <c r="AK140" i="5"/>
  <c r="AL112" i="5"/>
  <c r="AK112" i="5"/>
  <c r="AL484" i="5"/>
  <c r="AK484" i="5"/>
  <c r="AK556" i="5"/>
  <c r="AL556" i="5"/>
  <c r="AL412" i="5"/>
  <c r="AK412" i="5"/>
  <c r="AK558" i="5"/>
  <c r="AL558" i="5"/>
  <c r="AK370" i="5"/>
  <c r="AL370" i="5"/>
  <c r="AK553" i="5"/>
  <c r="AL553" i="5"/>
  <c r="AL476" i="5"/>
  <c r="AK476" i="5"/>
  <c r="AL552" i="5"/>
  <c r="AK552" i="5"/>
  <c r="AL443" i="5"/>
  <c r="AK443" i="5"/>
  <c r="AK425" i="5"/>
  <c r="AL425" i="5"/>
  <c r="AL245" i="5"/>
  <c r="AK245" i="5"/>
  <c r="AL313" i="5"/>
  <c r="AK313" i="5"/>
  <c r="AK224" i="5"/>
  <c r="AL224" i="5"/>
  <c r="AK25" i="5"/>
  <c r="AL25" i="5"/>
  <c r="AL171" i="5"/>
  <c r="AK171" i="5"/>
  <c r="AK159" i="5"/>
  <c r="AL159" i="5"/>
  <c r="AL120" i="5"/>
  <c r="AK120" i="5"/>
  <c r="AK201" i="5"/>
  <c r="AL201" i="5"/>
  <c r="AL455" i="5"/>
  <c r="AK455" i="5"/>
  <c r="AK452" i="5"/>
  <c r="AL452" i="5"/>
  <c r="AK410" i="5"/>
  <c r="AL410" i="5"/>
  <c r="AK422" i="5"/>
  <c r="AL422" i="5"/>
  <c r="AK503" i="5"/>
  <c r="AL503" i="5"/>
  <c r="AK352" i="5"/>
  <c r="AL352" i="5"/>
  <c r="AL470" i="5"/>
  <c r="AK470" i="5"/>
  <c r="AK257" i="5"/>
  <c r="AL257" i="5"/>
  <c r="AL322" i="5"/>
  <c r="AK322" i="5"/>
  <c r="AK363" i="5"/>
  <c r="AL363" i="5"/>
  <c r="AK142" i="5"/>
  <c r="AL142" i="5"/>
  <c r="AL211" i="5"/>
  <c r="AK211" i="5"/>
  <c r="AK32" i="5"/>
  <c r="AL32" i="5"/>
  <c r="AK110" i="5"/>
  <c r="AL110" i="5"/>
  <c r="AL85" i="5"/>
  <c r="AK85" i="5"/>
  <c r="AK86" i="5"/>
  <c r="AL86" i="5"/>
  <c r="AK554" i="5"/>
  <c r="AL554" i="5"/>
  <c r="AK111" i="5"/>
  <c r="AL111" i="5"/>
  <c r="AL428" i="5"/>
  <c r="AK428" i="5"/>
  <c r="AL436" i="5"/>
  <c r="AK436" i="5"/>
  <c r="AK402" i="5"/>
  <c r="AL402" i="5"/>
  <c r="AK406" i="5"/>
  <c r="AL406" i="5"/>
  <c r="AK490" i="5"/>
  <c r="AL490" i="5"/>
  <c r="AK327" i="5"/>
  <c r="AL327" i="5"/>
  <c r="AL456" i="5"/>
  <c r="AK456" i="5"/>
  <c r="AK135" i="5"/>
  <c r="AL135" i="5"/>
  <c r="AK310" i="5"/>
  <c r="AL310" i="5"/>
  <c r="AK347" i="5"/>
  <c r="AL347" i="5"/>
  <c r="AL39" i="5"/>
  <c r="AK39" i="5"/>
  <c r="AK197" i="5"/>
  <c r="AL197" i="5"/>
  <c r="AK368" i="5"/>
  <c r="AL368" i="5"/>
  <c r="AK538" i="5"/>
  <c r="AL538" i="5"/>
  <c r="AK477" i="5"/>
  <c r="AL477" i="5"/>
  <c r="AK415" i="5"/>
  <c r="AL415" i="5"/>
  <c r="AL266" i="5"/>
  <c r="AK266" i="5"/>
  <c r="AK395" i="5"/>
  <c r="AL395" i="5"/>
  <c r="AK331" i="5"/>
  <c r="AL331" i="5"/>
  <c r="AK213" i="5"/>
  <c r="AL213" i="5"/>
  <c r="AL527" i="5"/>
  <c r="AK527" i="5"/>
  <c r="AL475" i="5"/>
  <c r="AK475" i="5"/>
  <c r="AK367" i="5"/>
  <c r="AL367" i="5"/>
  <c r="AK287" i="5"/>
  <c r="AL287" i="5"/>
  <c r="AL305" i="5"/>
  <c r="AK305" i="5"/>
  <c r="AL250" i="5"/>
  <c r="AK250" i="5"/>
  <c r="AL178" i="5"/>
  <c r="AK178" i="5"/>
  <c r="AK214" i="5"/>
  <c r="AL214" i="5"/>
  <c r="AK99" i="5"/>
  <c r="AL99" i="5"/>
  <c r="AL284" i="5"/>
  <c r="AK284" i="5"/>
  <c r="AL215" i="5"/>
  <c r="AK215" i="5"/>
  <c r="AL170" i="5"/>
  <c r="AK170" i="5"/>
  <c r="AK50" i="5"/>
  <c r="AL50" i="5"/>
  <c r="AL306" i="5"/>
  <c r="AK306" i="5"/>
  <c r="AK23" i="5"/>
  <c r="AL23" i="5"/>
  <c r="AL511" i="5"/>
  <c r="AK511" i="5"/>
  <c r="AK398" i="5"/>
  <c r="AL398" i="5"/>
  <c r="AK343" i="5"/>
  <c r="AL343" i="5"/>
  <c r="AL227" i="5"/>
  <c r="AK227" i="5"/>
  <c r="AL278" i="5"/>
  <c r="AK278" i="5"/>
  <c r="AL234" i="5"/>
  <c r="AK234" i="5"/>
  <c r="AK30" i="5"/>
  <c r="AL30" i="5"/>
  <c r="AK190" i="5"/>
  <c r="AL190" i="5"/>
  <c r="AL326" i="5"/>
  <c r="AK326" i="5"/>
  <c r="AK259" i="5"/>
  <c r="AL259" i="5"/>
  <c r="AK189" i="5"/>
  <c r="AL189" i="5"/>
  <c r="AK133" i="5"/>
  <c r="AL133" i="5"/>
  <c r="AK157" i="5"/>
  <c r="AL157" i="5"/>
  <c r="AK209" i="5"/>
  <c r="AL209" i="5"/>
  <c r="AK514" i="5"/>
  <c r="AL514" i="5"/>
  <c r="AL451" i="5"/>
  <c r="AK451" i="5"/>
  <c r="AL389" i="5"/>
  <c r="AK389" i="5"/>
  <c r="AL433" i="5"/>
  <c r="AK433" i="5"/>
  <c r="AL365" i="5"/>
  <c r="AK365" i="5"/>
  <c r="AL301" i="5"/>
  <c r="AK301" i="5"/>
  <c r="AL559" i="5"/>
  <c r="AK559" i="5"/>
  <c r="AK509" i="5"/>
  <c r="AL509" i="5"/>
  <c r="AK396" i="5"/>
  <c r="AL396" i="5"/>
  <c r="AK339" i="5"/>
  <c r="AL339" i="5"/>
  <c r="AK194" i="5"/>
  <c r="AL194" i="5"/>
  <c r="AL276" i="5"/>
  <c r="AK276" i="5"/>
  <c r="AL231" i="5"/>
  <c r="AK231" i="5"/>
  <c r="AK20" i="5"/>
  <c r="AL20" i="5"/>
  <c r="AK186" i="5"/>
  <c r="AL186" i="5"/>
  <c r="AK319" i="5"/>
  <c r="AL319" i="5"/>
  <c r="AK255" i="5"/>
  <c r="AL255" i="5"/>
  <c r="AK185" i="5"/>
  <c r="AL185" i="5"/>
  <c r="AK129" i="5"/>
  <c r="AL129" i="5"/>
  <c r="AK141" i="5"/>
  <c r="AL141" i="5"/>
  <c r="AL38" i="5"/>
  <c r="AK38" i="5"/>
  <c r="AK358" i="5"/>
  <c r="AL358" i="5"/>
  <c r="AL448" i="5"/>
  <c r="AK448" i="5"/>
  <c r="AL69" i="5"/>
  <c r="AK69" i="5"/>
  <c r="AK103" i="5"/>
  <c r="AL103" i="5"/>
  <c r="AK505" i="5"/>
  <c r="AL505" i="5"/>
  <c r="AL26" i="5"/>
  <c r="AK26" i="5"/>
  <c r="AK122" i="5"/>
  <c r="AL122" i="5"/>
  <c r="AL460" i="5"/>
  <c r="AK460" i="5"/>
  <c r="AL440" i="5"/>
  <c r="AK440" i="5"/>
  <c r="AL472" i="5"/>
  <c r="AK472" i="5"/>
  <c r="AK328" i="5"/>
  <c r="AL328" i="5"/>
  <c r="AK226" i="5"/>
  <c r="AL226" i="5"/>
  <c r="AL81" i="5"/>
  <c r="AK81" i="5"/>
  <c r="AK285" i="5"/>
  <c r="AL285" i="5"/>
  <c r="AL479" i="5"/>
  <c r="AK479" i="5"/>
  <c r="AL502" i="5"/>
  <c r="AK502" i="5"/>
  <c r="AL469" i="5"/>
  <c r="AK469" i="5"/>
  <c r="AK53" i="5"/>
  <c r="AL53" i="5"/>
  <c r="AK488" i="5"/>
  <c r="AL488" i="5"/>
  <c r="AK341" i="5"/>
  <c r="AL341" i="5"/>
  <c r="AK265" i="5"/>
  <c r="AL265" i="5"/>
  <c r="AL493" i="5"/>
  <c r="AK493" i="5"/>
  <c r="AK298" i="5"/>
  <c r="AL298" i="5"/>
  <c r="AL249" i="5"/>
  <c r="AK249" i="5"/>
  <c r="AL379" i="5"/>
  <c r="AK379" i="5"/>
  <c r="AK320" i="5"/>
  <c r="AL320" i="5"/>
  <c r="AL229" i="5"/>
  <c r="AK229" i="5"/>
  <c r="AK228" i="5"/>
  <c r="AL228" i="5"/>
  <c r="AK82" i="5"/>
  <c r="AL82" i="5"/>
  <c r="AL464" i="5"/>
  <c r="AK464" i="5"/>
  <c r="AL294" i="5"/>
  <c r="AK294" i="5"/>
  <c r="AK76" i="5"/>
  <c r="AL76" i="5"/>
  <c r="AL275" i="5"/>
  <c r="AK275" i="5"/>
  <c r="AK34" i="5"/>
  <c r="AL34" i="5"/>
  <c r="AL530" i="5"/>
  <c r="AK530" i="5"/>
  <c r="AK253" i="5"/>
  <c r="AL253" i="5"/>
  <c r="AK127" i="5"/>
  <c r="AL127" i="5"/>
  <c r="AL355" i="5"/>
  <c r="AK355" i="5"/>
  <c r="AK292" i="5"/>
  <c r="AL292" i="5"/>
  <c r="AL202" i="5"/>
  <c r="AK202" i="5"/>
  <c r="AK270" i="5"/>
  <c r="AL270" i="5"/>
  <c r="AK29" i="5"/>
  <c r="AL29" i="5"/>
  <c r="AL68" i="5"/>
  <c r="AK68" i="5"/>
  <c r="AL369" i="5"/>
  <c r="AK369" i="5"/>
  <c r="AK155" i="5"/>
  <c r="AL155" i="5"/>
  <c r="AL48" i="5"/>
  <c r="AK48" i="5"/>
  <c r="AL391" i="5"/>
  <c r="AK391" i="5"/>
  <c r="AK94" i="5"/>
  <c r="AL94" i="5"/>
  <c r="AK557" i="5"/>
  <c r="AL557" i="5"/>
  <c r="AK384" i="5"/>
  <c r="AL384" i="5"/>
  <c r="AK390" i="5"/>
  <c r="AL390" i="5"/>
  <c r="AL96" i="5"/>
  <c r="AK96" i="5"/>
  <c r="AK47" i="5"/>
  <c r="AL47" i="5"/>
  <c r="AK382" i="5"/>
  <c r="AL382" i="5"/>
  <c r="AK295" i="5"/>
  <c r="AL295" i="5"/>
  <c r="AL330" i="5"/>
  <c r="AK330" i="5"/>
  <c r="AK118" i="5"/>
  <c r="AL118" i="5"/>
  <c r="AK522" i="5"/>
  <c r="AL522" i="5"/>
  <c r="AK537" i="5"/>
  <c r="AL537" i="5"/>
  <c r="AK405" i="5"/>
  <c r="AL405" i="5"/>
  <c r="AK113" i="5"/>
  <c r="AL113" i="5"/>
  <c r="AK35" i="5"/>
  <c r="AL35" i="5"/>
  <c r="AK126" i="5"/>
  <c r="AL126" i="5"/>
  <c r="AL8" i="5"/>
  <c r="AK8" i="5"/>
  <c r="AL54" i="5"/>
  <c r="AK54" i="5"/>
  <c r="AK414" i="5"/>
  <c r="AL414" i="5"/>
  <c r="AK518" i="5"/>
  <c r="AL518" i="5"/>
  <c r="AK364" i="5"/>
  <c r="AL364" i="5"/>
  <c r="AK482" i="5"/>
  <c r="AL482" i="5"/>
  <c r="AK338" i="5"/>
  <c r="AL338" i="5"/>
  <c r="AK521" i="5"/>
  <c r="AL521" i="5"/>
  <c r="AK445" i="5"/>
  <c r="AL445" i="5"/>
  <c r="AK536" i="5"/>
  <c r="AL536" i="5"/>
  <c r="AK411" i="5"/>
  <c r="AL411" i="5"/>
  <c r="AK392" i="5"/>
  <c r="AL392" i="5"/>
  <c r="AL535" i="5"/>
  <c r="AK535" i="5"/>
  <c r="AL316" i="5"/>
  <c r="AK316" i="5"/>
  <c r="AL123" i="5"/>
  <c r="AK123" i="5"/>
  <c r="AL80" i="5"/>
  <c r="AK80" i="5"/>
  <c r="AK106" i="5"/>
  <c r="AL106" i="5"/>
  <c r="AL70" i="5"/>
  <c r="AK70" i="5"/>
  <c r="AK457" i="5"/>
  <c r="AL457" i="5"/>
  <c r="AK534" i="5"/>
  <c r="AL534" i="5"/>
  <c r="AK404" i="5"/>
  <c r="AL404" i="5"/>
  <c r="AL545" i="5"/>
  <c r="AK545" i="5"/>
  <c r="AL362" i="5"/>
  <c r="AK362" i="5"/>
  <c r="AK549" i="5"/>
  <c r="AL549" i="5"/>
  <c r="AL471" i="5"/>
  <c r="AK471" i="5"/>
  <c r="AK550" i="5"/>
  <c r="AL550" i="5"/>
  <c r="AL439" i="5"/>
  <c r="AK439" i="5"/>
  <c r="AL421" i="5"/>
  <c r="AK421" i="5"/>
  <c r="AK205" i="5"/>
  <c r="AL205" i="5"/>
  <c r="AK282" i="5"/>
  <c r="AL282" i="5"/>
  <c r="AK210" i="5"/>
  <c r="AL210" i="5"/>
  <c r="AL168" i="5"/>
  <c r="AK168" i="5"/>
  <c r="AK79" i="5"/>
  <c r="AL79" i="5"/>
  <c r="AK191" i="5"/>
  <c r="AL191" i="5"/>
  <c r="AL124" i="5"/>
  <c r="AK124" i="5"/>
  <c r="AK31" i="5"/>
  <c r="AL31" i="5"/>
  <c r="AK444" i="5"/>
  <c r="AL444" i="5"/>
  <c r="AL526" i="5"/>
  <c r="AK526" i="5"/>
  <c r="AL380" i="5"/>
  <c r="AK380" i="5"/>
  <c r="AK528" i="5"/>
  <c r="AL528" i="5"/>
  <c r="AL354" i="5"/>
  <c r="AK354" i="5"/>
  <c r="AL541" i="5"/>
  <c r="AK541" i="5"/>
  <c r="AL458" i="5"/>
  <c r="AK458" i="5"/>
  <c r="AK544" i="5"/>
  <c r="AL544" i="5"/>
  <c r="AK427" i="5"/>
  <c r="AL427" i="5"/>
  <c r="AL409" i="5"/>
  <c r="AK409" i="5"/>
  <c r="AK60" i="5"/>
  <c r="AL60" i="5"/>
  <c r="AK237" i="5"/>
  <c r="AL237" i="5"/>
  <c r="AK192" i="5"/>
  <c r="AL192" i="5"/>
  <c r="AL150" i="5"/>
  <c r="AK150" i="5"/>
  <c r="AL336" i="5"/>
  <c r="AK336" i="5"/>
  <c r="AK524" i="5"/>
  <c r="AL524" i="5"/>
  <c r="AL461" i="5"/>
  <c r="AK461" i="5"/>
  <c r="AL399" i="5"/>
  <c r="AK399" i="5"/>
  <c r="AK232" i="5"/>
  <c r="AL232" i="5"/>
  <c r="AK381" i="5"/>
  <c r="AL381" i="5"/>
  <c r="AL314" i="5"/>
  <c r="AK314" i="5"/>
  <c r="AL95" i="5"/>
  <c r="AK95" i="5"/>
  <c r="AL517" i="5"/>
  <c r="AK517" i="5"/>
  <c r="AL459" i="5"/>
  <c r="AK459" i="5"/>
  <c r="AL351" i="5"/>
  <c r="AK351" i="5"/>
  <c r="AK247" i="5"/>
  <c r="AL247" i="5"/>
  <c r="AL289" i="5"/>
  <c r="AK289" i="5"/>
  <c r="AK241" i="5"/>
  <c r="AL241" i="5"/>
  <c r="AK57" i="5"/>
  <c r="AL57" i="5"/>
  <c r="AL198" i="5"/>
  <c r="AK198" i="5"/>
  <c r="AL46" i="5"/>
  <c r="AK46" i="5"/>
  <c r="AL268" i="5"/>
  <c r="AK268" i="5"/>
  <c r="AL199" i="5"/>
  <c r="AK199" i="5"/>
  <c r="AL154" i="5"/>
  <c r="AK154" i="5"/>
  <c r="AK173" i="5"/>
  <c r="AL173" i="5"/>
  <c r="AK274" i="5"/>
  <c r="AL274" i="5"/>
  <c r="AK547" i="5"/>
  <c r="AL547" i="5"/>
  <c r="AK496" i="5"/>
  <c r="AL496" i="5"/>
  <c r="AK388" i="5"/>
  <c r="AL388" i="5"/>
  <c r="AK325" i="5"/>
  <c r="AL325" i="5"/>
  <c r="AK119" i="5"/>
  <c r="AL119" i="5"/>
  <c r="AL262" i="5"/>
  <c r="AK262" i="5"/>
  <c r="AK216" i="5"/>
  <c r="AL216" i="5"/>
  <c r="AK238" i="5"/>
  <c r="AL238" i="5"/>
  <c r="AL148" i="5"/>
  <c r="AK148" i="5"/>
  <c r="AL307" i="5"/>
  <c r="AK307" i="5"/>
  <c r="AK239" i="5"/>
  <c r="AL239" i="5"/>
  <c r="AK89" i="5"/>
  <c r="AL89" i="5"/>
  <c r="AK101" i="5"/>
  <c r="AL101" i="5"/>
  <c r="AK59" i="5"/>
  <c r="AL59" i="5"/>
  <c r="AK548" i="5"/>
  <c r="AL548" i="5"/>
  <c r="AK499" i="5"/>
  <c r="AL499" i="5"/>
  <c r="AL435" i="5"/>
  <c r="AK435" i="5"/>
  <c r="AK303" i="5"/>
  <c r="AL303" i="5"/>
  <c r="AL417" i="5"/>
  <c r="AK417" i="5"/>
  <c r="AK349" i="5"/>
  <c r="AL349" i="5"/>
  <c r="AL269" i="5"/>
  <c r="AK269" i="5"/>
  <c r="AK543" i="5"/>
  <c r="AL543" i="5"/>
  <c r="AK494" i="5"/>
  <c r="AL494" i="5"/>
  <c r="AL383" i="5"/>
  <c r="AK383" i="5"/>
  <c r="AK321" i="5"/>
  <c r="AL321" i="5"/>
  <c r="AK324" i="5"/>
  <c r="AL324" i="5"/>
  <c r="AK260" i="5"/>
  <c r="AL260" i="5"/>
  <c r="AL212" i="5"/>
  <c r="AK212" i="5"/>
  <c r="AK235" i="5"/>
  <c r="AL235" i="5"/>
  <c r="AL139" i="5"/>
  <c r="AK139" i="5"/>
  <c r="AK302" i="5"/>
  <c r="AL302" i="5"/>
  <c r="AL233" i="5"/>
  <c r="AK233" i="5"/>
  <c r="AL62" i="5"/>
  <c r="AK62" i="5"/>
  <c r="AK97" i="5"/>
  <c r="AL97" i="5"/>
  <c r="AK33" i="5"/>
  <c r="AL33" i="5"/>
  <c r="AL432" i="5"/>
  <c r="AK432" i="5"/>
  <c r="AK88" i="5"/>
  <c r="AL88" i="5"/>
  <c r="AK280" i="5"/>
  <c r="AL280" i="5"/>
  <c r="AK19" i="5"/>
  <c r="AL19" i="5"/>
  <c r="AK137" i="5"/>
  <c r="AL137" i="5"/>
  <c r="AK542" i="5"/>
  <c r="AL542" i="5"/>
  <c r="AK74" i="5"/>
  <c r="AL74" i="5"/>
  <c r="AK149" i="5"/>
  <c r="AL149" i="5"/>
  <c r="AK272" i="5"/>
  <c r="AL272" i="5"/>
  <c r="AK418" i="5"/>
  <c r="AL418" i="5"/>
  <c r="AK360" i="5"/>
  <c r="AL360" i="5"/>
  <c r="AK261" i="5"/>
  <c r="AL261" i="5"/>
  <c r="AK204" i="5"/>
  <c r="AL204" i="5"/>
  <c r="AK116" i="5"/>
  <c r="AL116" i="5"/>
  <c r="AK487" i="5"/>
  <c r="AL487" i="5"/>
  <c r="AL438" i="5"/>
  <c r="AK438" i="5"/>
  <c r="AL416" i="5"/>
  <c r="AK416" i="5"/>
  <c r="AK353" i="5"/>
  <c r="AL353" i="5"/>
  <c r="AK248" i="5"/>
  <c r="AL248" i="5"/>
  <c r="AK42" i="5"/>
  <c r="AL42" i="5"/>
  <c r="AK22" i="5"/>
  <c r="AL22" i="5"/>
  <c r="AL334" i="5"/>
  <c r="AK334" i="5"/>
  <c r="AL78" i="5"/>
  <c r="AK78" i="5"/>
  <c r="AL434" i="5"/>
  <c r="AK434" i="5"/>
  <c r="AL560" i="5"/>
  <c r="AK560" i="5"/>
  <c r="AL293" i="5"/>
  <c r="AK293" i="5"/>
  <c r="AL236" i="5"/>
  <c r="AK236" i="5"/>
  <c r="AK408" i="5"/>
  <c r="AL408" i="5"/>
  <c r="AL431" i="5"/>
  <c r="AK431" i="5"/>
  <c r="AK345" i="5"/>
  <c r="AL345" i="5"/>
  <c r="AK539" i="5"/>
  <c r="AL539" i="5"/>
  <c r="AK317" i="5"/>
  <c r="AL317" i="5"/>
  <c r="AL208" i="5"/>
  <c r="AK208" i="5"/>
  <c r="AL131" i="5"/>
  <c r="AK131" i="5"/>
  <c r="AL52" i="5"/>
  <c r="AK52" i="5"/>
  <c r="AK523" i="5"/>
  <c r="AL523" i="5"/>
  <c r="AK277" i="5"/>
  <c r="AL277" i="5"/>
  <c r="AL246" i="5"/>
  <c r="AK246" i="5"/>
  <c r="AL73" i="5"/>
  <c r="AK73" i="5"/>
  <c r="AL162" i="5"/>
  <c r="AK162" i="5"/>
  <c r="AL344" i="5"/>
  <c r="AK344" i="5"/>
  <c r="AL403" i="5"/>
  <c r="AK403" i="5"/>
  <c r="AL318" i="5"/>
  <c r="AK318" i="5"/>
  <c r="AK519" i="5"/>
  <c r="AL519" i="5"/>
  <c r="AL264" i="5"/>
  <c r="AK264" i="5"/>
  <c r="AL67" i="5"/>
  <c r="AK67" i="5"/>
  <c r="AL55" i="5"/>
  <c r="AK55" i="5"/>
  <c r="AK203" i="5"/>
  <c r="AL203" i="5"/>
  <c r="AL497" i="5"/>
  <c r="AK497" i="5"/>
  <c r="AK340" i="5"/>
  <c r="AL340" i="5"/>
  <c r="AL446" i="5"/>
  <c r="AK446" i="5"/>
  <c r="AK183" i="5"/>
  <c r="AL183" i="5"/>
  <c r="AK311" i="5"/>
  <c r="AL311" i="5"/>
  <c r="AL145" i="5"/>
  <c r="AK145" i="5"/>
  <c r="AK426" i="5"/>
  <c r="AL426" i="5"/>
  <c r="AL486" i="5"/>
  <c r="AK486" i="5"/>
  <c r="AK220" i="5"/>
  <c r="AL220" i="5"/>
  <c r="AK58" i="5"/>
  <c r="AL58" i="5"/>
  <c r="AK498" i="5"/>
  <c r="AL498" i="5"/>
  <c r="AK386" i="5"/>
  <c r="AL386" i="5"/>
  <c r="AL454" i="5"/>
  <c r="AK454" i="5"/>
  <c r="AK240" i="5"/>
  <c r="AL240" i="5"/>
  <c r="AL167" i="5"/>
  <c r="AK167" i="5"/>
  <c r="AL372" i="5"/>
  <c r="AK372" i="5"/>
  <c r="AK449" i="5"/>
  <c r="AL449" i="5"/>
  <c r="AL551" i="5"/>
  <c r="AK551" i="5"/>
  <c r="AK72" i="5"/>
  <c r="AL72" i="5"/>
  <c r="AK51" i="5"/>
  <c r="AL51" i="5"/>
  <c r="AK90" i="5"/>
  <c r="AL90" i="5"/>
  <c r="AK108" i="5"/>
  <c r="AL108" i="5"/>
  <c r="AL128" i="5"/>
  <c r="AK128" i="5"/>
  <c r="AK350" i="5"/>
  <c r="AL350" i="5"/>
  <c r="AL492" i="5"/>
  <c r="AK492" i="5"/>
  <c r="AK304" i="5"/>
  <c r="AL304" i="5"/>
  <c r="AK442" i="5"/>
  <c r="AL442" i="5"/>
  <c r="AK41" i="5"/>
  <c r="AL41" i="5"/>
  <c r="AK473" i="5"/>
  <c r="AL473" i="5"/>
  <c r="AL424" i="5"/>
  <c r="AK424" i="5"/>
  <c r="AL504" i="5"/>
  <c r="AK504" i="5"/>
  <c r="AL332" i="5"/>
  <c r="AK332" i="5"/>
  <c r="AL357" i="5"/>
  <c r="AK357" i="5"/>
  <c r="AK485" i="5"/>
  <c r="AL485" i="5"/>
  <c r="AL256" i="5"/>
  <c r="AK256" i="5"/>
  <c r="AL297" i="5"/>
  <c r="AK297" i="5"/>
  <c r="AK98" i="5"/>
  <c r="AL98" i="5"/>
  <c r="AL104" i="5"/>
  <c r="AK104" i="5"/>
  <c r="AL187" i="5"/>
  <c r="AK187" i="5"/>
  <c r="AK397" i="5"/>
  <c r="AL397" i="5"/>
  <c r="AL510" i="5"/>
  <c r="AK510" i="5"/>
  <c r="AK356" i="5"/>
  <c r="AL356" i="5"/>
  <c r="AL468" i="5"/>
  <c r="AK468" i="5"/>
  <c r="AL329" i="5"/>
  <c r="AK329" i="5"/>
  <c r="AK512" i="5"/>
  <c r="AL512" i="5"/>
  <c r="AK441" i="5"/>
  <c r="AL441" i="5"/>
  <c r="AL532" i="5"/>
  <c r="AK532" i="5"/>
  <c r="AK407" i="5"/>
  <c r="AL407" i="5"/>
  <c r="AK387" i="5"/>
  <c r="AL387" i="5"/>
  <c r="AK525" i="5"/>
  <c r="AL525" i="5"/>
  <c r="AL299" i="5"/>
  <c r="AK299" i="5"/>
  <c r="AK83" i="5"/>
  <c r="AL83" i="5"/>
  <c r="AK45" i="5"/>
  <c r="AL45" i="5"/>
  <c r="AL100" i="5"/>
  <c r="AK100" i="5"/>
  <c r="AL130" i="5"/>
  <c r="AK130" i="5"/>
  <c r="AK132" i="5"/>
  <c r="AL132" i="5"/>
  <c r="AK136" i="5"/>
  <c r="AL136" i="5"/>
  <c r="AK366" i="5"/>
  <c r="AL366" i="5"/>
  <c r="AK506" i="5"/>
  <c r="AL506" i="5"/>
  <c r="AK348" i="5"/>
  <c r="AL348" i="5"/>
  <c r="AK450" i="5"/>
  <c r="AL450" i="5"/>
  <c r="AK263" i="5"/>
  <c r="AL263" i="5"/>
  <c r="AL500" i="5"/>
  <c r="AK500" i="5"/>
  <c r="AK437" i="5"/>
  <c r="AL437" i="5"/>
  <c r="AL520" i="5"/>
  <c r="AK520" i="5"/>
  <c r="AL393" i="5"/>
  <c r="AK393" i="5"/>
  <c r="AL373" i="5"/>
  <c r="AK373" i="5"/>
  <c r="AK513" i="5"/>
  <c r="AL513" i="5"/>
  <c r="AL283" i="5"/>
  <c r="AK283" i="5"/>
  <c r="AK36" i="5"/>
  <c r="AL36" i="5"/>
  <c r="AK161" i="5"/>
  <c r="AL161" i="5"/>
  <c r="AL144" i="5"/>
  <c r="AK144" i="5"/>
  <c r="AL508" i="5"/>
  <c r="AK508" i="5"/>
  <c r="AK447" i="5"/>
  <c r="AL447" i="5"/>
  <c r="AK378" i="5"/>
  <c r="AL378" i="5"/>
  <c r="AK429" i="5"/>
  <c r="AL429" i="5"/>
  <c r="AL361" i="5"/>
  <c r="AK361" i="5"/>
  <c r="AK288" i="5"/>
  <c r="AL288" i="5"/>
  <c r="AL555" i="5"/>
  <c r="AK555" i="5"/>
  <c r="AK507" i="5"/>
  <c r="AL507" i="5"/>
  <c r="AK394" i="5"/>
  <c r="AL394" i="5"/>
  <c r="AK335" i="5"/>
  <c r="AL335" i="5"/>
  <c r="AK179" i="5"/>
  <c r="AL179" i="5"/>
  <c r="AK273" i="5"/>
  <c r="AL273" i="5"/>
  <c r="AK225" i="5"/>
  <c r="AL225" i="5"/>
  <c r="AK242" i="5"/>
  <c r="AL242" i="5"/>
  <c r="AK182" i="5"/>
  <c r="AL182" i="5"/>
  <c r="AL315" i="5"/>
  <c r="AK315" i="5"/>
  <c r="AK251" i="5"/>
  <c r="AL251" i="5"/>
  <c r="AK181" i="5"/>
  <c r="AL181" i="5"/>
  <c r="AK117" i="5"/>
  <c r="AL117" i="5"/>
  <c r="AK91" i="5"/>
  <c r="AL91" i="5"/>
  <c r="AK230" i="5"/>
  <c r="AL230" i="5"/>
  <c r="AK533" i="5"/>
  <c r="AL533" i="5"/>
  <c r="AL480" i="5"/>
  <c r="AK480" i="5"/>
  <c r="AL375" i="5"/>
  <c r="AK375" i="5"/>
  <c r="AL309" i="5"/>
  <c r="AK309" i="5"/>
  <c r="AL312" i="5"/>
  <c r="AK312" i="5"/>
  <c r="AL254" i="5"/>
  <c r="AK254" i="5"/>
  <c r="AK200" i="5"/>
  <c r="AL200" i="5"/>
  <c r="AK222" i="5"/>
  <c r="AL222" i="5"/>
  <c r="AK115" i="5"/>
  <c r="AL115" i="5"/>
  <c r="AK291" i="5"/>
  <c r="AL291" i="5"/>
  <c r="AL223" i="5"/>
  <c r="AK223" i="5"/>
  <c r="AK180" i="5"/>
  <c r="AL180" i="5"/>
  <c r="AK66" i="5"/>
  <c r="AL66" i="5"/>
  <c r="AL376" i="5"/>
  <c r="AK376" i="5"/>
  <c r="AL540" i="5"/>
  <c r="AK540" i="5"/>
  <c r="AL483" i="5"/>
  <c r="AK483" i="5"/>
  <c r="AK419" i="5"/>
  <c r="AL419" i="5"/>
  <c r="AL271" i="5"/>
  <c r="AK271" i="5"/>
  <c r="AK401" i="5"/>
  <c r="AL401" i="5"/>
  <c r="AL333" i="5"/>
  <c r="AK333" i="5"/>
  <c r="AK221" i="5"/>
  <c r="AL221" i="5"/>
  <c r="AK529" i="5"/>
  <c r="AL529" i="5"/>
  <c r="AL478" i="5"/>
  <c r="AK478" i="5"/>
  <c r="AK371" i="5"/>
  <c r="AL371" i="5"/>
  <c r="AK296" i="5"/>
  <c r="AL296" i="5"/>
  <c r="AL308" i="5"/>
  <c r="AK308" i="5"/>
  <c r="AL252" i="5"/>
  <c r="AK252" i="5"/>
  <c r="AK193" i="5"/>
  <c r="AL193" i="5"/>
  <c r="AK218" i="5"/>
  <c r="AL218" i="5"/>
  <c r="AK107" i="5"/>
  <c r="AL107" i="5"/>
  <c r="AL286" i="5"/>
  <c r="AK286" i="5"/>
  <c r="AL219" i="5"/>
  <c r="AK219" i="5"/>
  <c r="AL176" i="5"/>
  <c r="AK176" i="5"/>
  <c r="AL64" i="5"/>
  <c r="AK64" i="5"/>
  <c r="B47" i="2"/>
  <c r="H20" i="1"/>
  <c r="G21" i="1"/>
  <c r="I23" i="1"/>
  <c r="I22" i="1"/>
  <c r="K25" i="2"/>
  <c r="BE7" i="5"/>
  <c r="BE462" i="5" l="1"/>
  <c r="BD214" i="5"/>
  <c r="BD264" i="5"/>
  <c r="BD560" i="5"/>
  <c r="BE22" i="5"/>
  <c r="BE144" i="5"/>
  <c r="BE219" i="5"/>
  <c r="BE45" i="5"/>
  <c r="BE316" i="5"/>
  <c r="BE83" i="5"/>
  <c r="BD269" i="5"/>
  <c r="BD180" i="5"/>
  <c r="BE38" i="5"/>
  <c r="BE51" i="5"/>
  <c r="BE537" i="5"/>
  <c r="BD130" i="5"/>
  <c r="BD164" i="5"/>
  <c r="BD315" i="5"/>
  <c r="BD305" i="5"/>
  <c r="BD262" i="5"/>
  <c r="BE299" i="5"/>
  <c r="BE27" i="5"/>
  <c r="BD64" i="5"/>
  <c r="BE44" i="5"/>
  <c r="BE283" i="5"/>
  <c r="BD112" i="5"/>
  <c r="BD223" i="5"/>
  <c r="BE41" i="5"/>
  <c r="BD191" i="5"/>
  <c r="BE296" i="5"/>
  <c r="BE8" i="5"/>
  <c r="BD352" i="5"/>
  <c r="BE230" i="5"/>
  <c r="BE156" i="5"/>
  <c r="BD156" i="5"/>
  <c r="BE208" i="5"/>
  <c r="BD208" i="5"/>
  <c r="BE103" i="5"/>
  <c r="BE246" i="5"/>
  <c r="BE533" i="5"/>
  <c r="BD263" i="5"/>
  <c r="BE68" i="5"/>
  <c r="BD68" i="5"/>
  <c r="BE476" i="5"/>
  <c r="BD476" i="5"/>
  <c r="BE81" i="5"/>
  <c r="BD81" i="5"/>
  <c r="BE31" i="5"/>
  <c r="BD31" i="5"/>
  <c r="BE290" i="5"/>
  <c r="BD290" i="5"/>
  <c r="BD295" i="5"/>
  <c r="BE295" i="5"/>
  <c r="BD346" i="5"/>
  <c r="BE346" i="5"/>
  <c r="BE235" i="5"/>
  <c r="BD235" i="5"/>
  <c r="BD284" i="5"/>
  <c r="BE284" i="5"/>
  <c r="BE559" i="5"/>
  <c r="BD559" i="5"/>
  <c r="BD183" i="5"/>
  <c r="BE183" i="5"/>
  <c r="BD159" i="5"/>
  <c r="BE159" i="5"/>
  <c r="BE119" i="5"/>
  <c r="BD158" i="5"/>
  <c r="BE453" i="5"/>
  <c r="BD66" i="5"/>
  <c r="BD369" i="5"/>
  <c r="BE306" i="5"/>
  <c r="BE236" i="5"/>
  <c r="BD470" i="5"/>
  <c r="BD387" i="5"/>
  <c r="BE387" i="5"/>
  <c r="BD487" i="5"/>
  <c r="BE487" i="5"/>
  <c r="BD209" i="5"/>
  <c r="BE209" i="5"/>
  <c r="BE298" i="5"/>
  <c r="BD298" i="5"/>
  <c r="BD437" i="5"/>
  <c r="BE437" i="5"/>
  <c r="BD213" i="5"/>
  <c r="BE213" i="5"/>
  <c r="BD206" i="5"/>
  <c r="BE206" i="5"/>
  <c r="BE211" i="5"/>
  <c r="BD211" i="5"/>
  <c r="BD152" i="5"/>
  <c r="BE152" i="5"/>
  <c r="BE225" i="5"/>
  <c r="BD225" i="5"/>
  <c r="BD101" i="5"/>
  <c r="BE101" i="5"/>
  <c r="BE273" i="5"/>
  <c r="BD273" i="5"/>
  <c r="BD360" i="5"/>
  <c r="BE360" i="5"/>
  <c r="BE92" i="5"/>
  <c r="BD92" i="5"/>
  <c r="BE52" i="5"/>
  <c r="BD52" i="5"/>
  <c r="BE189" i="5"/>
  <c r="BD189" i="5"/>
  <c r="BE30" i="5"/>
  <c r="BD30" i="5"/>
  <c r="BD24" i="5"/>
  <c r="BE24" i="5"/>
  <c r="BD39" i="5"/>
  <c r="BE39" i="5"/>
  <c r="BE268" i="5"/>
  <c r="BD268" i="5"/>
  <c r="BD60" i="5"/>
  <c r="BE60" i="5"/>
  <c r="BE241" i="5"/>
  <c r="BD241" i="5"/>
  <c r="BD169" i="5"/>
  <c r="BE169" i="5"/>
  <c r="BE131" i="5"/>
  <c r="BD131" i="5"/>
  <c r="BD238" i="5"/>
  <c r="BE238" i="5"/>
  <c r="BD116" i="5"/>
  <c r="BE116" i="5"/>
  <c r="BE227" i="5"/>
  <c r="BD227" i="5"/>
  <c r="BE313" i="5"/>
  <c r="BD313" i="5"/>
  <c r="BD172" i="5"/>
  <c r="BE172" i="5"/>
  <c r="BE324" i="5"/>
  <c r="BD324" i="5"/>
  <c r="BD148" i="5"/>
  <c r="BE148" i="5"/>
  <c r="BD178" i="5"/>
  <c r="BE178" i="5"/>
  <c r="BE29" i="5"/>
  <c r="BD29" i="5"/>
  <c r="BD109" i="5"/>
  <c r="BE109" i="5"/>
  <c r="BE240" i="5"/>
  <c r="BD240" i="5"/>
  <c r="BD26" i="5"/>
  <c r="BE26" i="5"/>
  <c r="BE351" i="5"/>
  <c r="BD351" i="5"/>
  <c r="BD132" i="5"/>
  <c r="BE132" i="5"/>
  <c r="BE150" i="5"/>
  <c r="BD150" i="5"/>
  <c r="BD424" i="5"/>
  <c r="BE424" i="5"/>
  <c r="BD147" i="5"/>
  <c r="BE147" i="5"/>
  <c r="BE117" i="5"/>
  <c r="BD117" i="5"/>
  <c r="BD139" i="5"/>
  <c r="BE139" i="5"/>
  <c r="BE401" i="5"/>
  <c r="BD401" i="5"/>
  <c r="BE190" i="5"/>
  <c r="BD190" i="5"/>
  <c r="BD363" i="5"/>
  <c r="BE363" i="5"/>
  <c r="BE255" i="5"/>
  <c r="BD255" i="5"/>
  <c r="BE332" i="5"/>
  <c r="BD332" i="5"/>
  <c r="BD19" i="5"/>
  <c r="BE19" i="5"/>
  <c r="BD276" i="5"/>
  <c r="BE276" i="5"/>
  <c r="BD546" i="5"/>
  <c r="BE546" i="5"/>
  <c r="BE73" i="5"/>
  <c r="BD73" i="5"/>
  <c r="BD251" i="5"/>
  <c r="BE251" i="5"/>
  <c r="BD450" i="5"/>
  <c r="BE450" i="5"/>
  <c r="BD553" i="5"/>
  <c r="BE553" i="5"/>
  <c r="BE309" i="5"/>
  <c r="BD309" i="5"/>
  <c r="BE545" i="5"/>
  <c r="BD545" i="5"/>
  <c r="BE465" i="5"/>
  <c r="BD465" i="5"/>
  <c r="BD288" i="5"/>
  <c r="BE288" i="5"/>
  <c r="BE232" i="5"/>
  <c r="BD232" i="5"/>
  <c r="BD137" i="5"/>
  <c r="BE137" i="5"/>
  <c r="BE76" i="5"/>
  <c r="BD76" i="5"/>
  <c r="BD274" i="5"/>
  <c r="BE274" i="5"/>
  <c r="BD105" i="5"/>
  <c r="BE105" i="5"/>
  <c r="BE326" i="5"/>
  <c r="BD326" i="5"/>
  <c r="BE121" i="5"/>
  <c r="BD121" i="5"/>
  <c r="BE201" i="5"/>
  <c r="BD201" i="5"/>
  <c r="BD111" i="5"/>
  <c r="BE111" i="5"/>
  <c r="BE110" i="5"/>
  <c r="BD110" i="5"/>
  <c r="BE184" i="5"/>
  <c r="BD184" i="5"/>
  <c r="BE157" i="5"/>
  <c r="BD157" i="5"/>
  <c r="BE202" i="5"/>
  <c r="BD202" i="5"/>
  <c r="BE199" i="5"/>
  <c r="BD199" i="5"/>
  <c r="BD154" i="5"/>
  <c r="BE154" i="5"/>
  <c r="BE243" i="5"/>
  <c r="BD243" i="5"/>
  <c r="BE317" i="5"/>
  <c r="BD317" i="5"/>
  <c r="BD126" i="5"/>
  <c r="BE126" i="5"/>
  <c r="BD412" i="5"/>
  <c r="BE412" i="5"/>
  <c r="BD289" i="5"/>
  <c r="BE289" i="5"/>
  <c r="BD136" i="5"/>
  <c r="BE136" i="5"/>
  <c r="BE411" i="5"/>
  <c r="BD411" i="5"/>
  <c r="BD160" i="5"/>
  <c r="BE160" i="5"/>
  <c r="BD279" i="5"/>
  <c r="BE279" i="5"/>
  <c r="BE194" i="5"/>
  <c r="BD194" i="5"/>
  <c r="BD212" i="5"/>
  <c r="BE212" i="5"/>
  <c r="BE91" i="5"/>
  <c r="BD91" i="5"/>
  <c r="BD414" i="5"/>
  <c r="BE414" i="5"/>
  <c r="BD501" i="5"/>
  <c r="BE501" i="5"/>
  <c r="BD477" i="5"/>
  <c r="BE477" i="5"/>
  <c r="BD432" i="5"/>
  <c r="BE432" i="5"/>
  <c r="BD108" i="5"/>
  <c r="BE108" i="5"/>
  <c r="BD89" i="5"/>
  <c r="BE89" i="5"/>
  <c r="BE314" i="5"/>
  <c r="BD314" i="5"/>
  <c r="BE74" i="5"/>
  <c r="BD74" i="5"/>
  <c r="BE323" i="5"/>
  <c r="BD323" i="5"/>
  <c r="BD32" i="5"/>
  <c r="BE32" i="5"/>
  <c r="BE134" i="5"/>
  <c r="BD134" i="5"/>
  <c r="BE261" i="5"/>
  <c r="BD261" i="5"/>
  <c r="BD532" i="5"/>
  <c r="BE532" i="5"/>
  <c r="BE478" i="5"/>
  <c r="BD478" i="5"/>
  <c r="BD392" i="5"/>
  <c r="BE392" i="5"/>
  <c r="BD242" i="5"/>
  <c r="BE242" i="5"/>
  <c r="BD226" i="5"/>
  <c r="BE226" i="5"/>
  <c r="BD285" i="5"/>
  <c r="BE285" i="5"/>
  <c r="BD491" i="5"/>
  <c r="BE491" i="5"/>
  <c r="BD249" i="5"/>
  <c r="BE249" i="5"/>
  <c r="BD69" i="5"/>
  <c r="BE69" i="5"/>
  <c r="BE174" i="5"/>
  <c r="BD174" i="5"/>
  <c r="BE171" i="5"/>
  <c r="BD171" i="5"/>
  <c r="BE125" i="5"/>
  <c r="BD125" i="5"/>
  <c r="BD118" i="5"/>
  <c r="BE118" i="5"/>
  <c r="BD88" i="5"/>
  <c r="BE88" i="5"/>
  <c r="BD40" i="5"/>
  <c r="BE40" i="5"/>
  <c r="BD247" i="5"/>
  <c r="BE247" i="5"/>
  <c r="BD56" i="5"/>
  <c r="BE56" i="5"/>
  <c r="BD47" i="5"/>
  <c r="BE47" i="5"/>
  <c r="BD85" i="5"/>
  <c r="BE85" i="5"/>
  <c r="BE302" i="5"/>
  <c r="BD302" i="5"/>
  <c r="BE265" i="5"/>
  <c r="BD265" i="5"/>
  <c r="BD161" i="5"/>
  <c r="BE161" i="5"/>
  <c r="BD185" i="5"/>
  <c r="BE185" i="5"/>
  <c r="BD221" i="5"/>
  <c r="BE163" i="5"/>
  <c r="BE234" i="5"/>
  <c r="BD115" i="5"/>
  <c r="BE122" i="5"/>
  <c r="BD166" i="5"/>
  <c r="BD84" i="5"/>
  <c r="BD23" i="5"/>
  <c r="BE536" i="5"/>
  <c r="BD543" i="5"/>
  <c r="BE469" i="5"/>
  <c r="BE481" i="5"/>
  <c r="BD329" i="5"/>
  <c r="BD138" i="5"/>
  <c r="BE138" i="5"/>
  <c r="BD140" i="5"/>
  <c r="BE140" i="5"/>
  <c r="BE245" i="5"/>
  <c r="BD145" i="5"/>
  <c r="BE145" i="5"/>
  <c r="BE149" i="5"/>
  <c r="BD149" i="5"/>
  <c r="BE75" i="5"/>
  <c r="BD97" i="5"/>
  <c r="BE43" i="5"/>
  <c r="BD71" i="5"/>
  <c r="BE338" i="5"/>
  <c r="BE168" i="5"/>
  <c r="BD210" i="5"/>
  <c r="BD72" i="5"/>
  <c r="BE72" i="5"/>
  <c r="BE393" i="5"/>
  <c r="BE113" i="5"/>
  <c r="BE65" i="5"/>
  <c r="BE356" i="5"/>
  <c r="BE521" i="5"/>
  <c r="BD555" i="5"/>
  <c r="BD80" i="5"/>
  <c r="BE80" i="5"/>
  <c r="BE197" i="5"/>
  <c r="BD197" i="5"/>
  <c r="BD495" i="5"/>
  <c r="BD175" i="5"/>
  <c r="BE141" i="5"/>
  <c r="BE278" i="5"/>
  <c r="BE34" i="5"/>
  <c r="BE337" i="5"/>
  <c r="BD549" i="5"/>
  <c r="BE70" i="5"/>
  <c r="BD21" i="5"/>
  <c r="BE379" i="5"/>
  <c r="BD379" i="5"/>
  <c r="BE61" i="5"/>
  <c r="BD344" i="5"/>
  <c r="BE286" i="5"/>
  <c r="BD286" i="5"/>
  <c r="BD300" i="5"/>
  <c r="BE90" i="5"/>
  <c r="BD90" i="5"/>
  <c r="BE440" i="5"/>
  <c r="BD440" i="5"/>
  <c r="BD231" i="5"/>
  <c r="BD188" i="5"/>
  <c r="BE303" i="5"/>
  <c r="BD303" i="5"/>
  <c r="BE244" i="5"/>
  <c r="BD244" i="5"/>
  <c r="BE193" i="5"/>
  <c r="BD193" i="5"/>
  <c r="BD229" i="5"/>
  <c r="BE229" i="5"/>
  <c r="BD405" i="5"/>
  <c r="BE405" i="5"/>
  <c r="BD275" i="5"/>
  <c r="BE275" i="5"/>
  <c r="BE294" i="5"/>
  <c r="BD294" i="5"/>
  <c r="BE182" i="5"/>
  <c r="BD182" i="5"/>
  <c r="BE365" i="5"/>
  <c r="BD365" i="5"/>
  <c r="BE445" i="5"/>
  <c r="BD445" i="5"/>
  <c r="BE515" i="5"/>
  <c r="BD515" i="5"/>
  <c r="BE448" i="5"/>
  <c r="BD448" i="5"/>
  <c r="BD106" i="5"/>
  <c r="BE106" i="5"/>
  <c r="BD282" i="5"/>
  <c r="BE282" i="5"/>
  <c r="BD239" i="5"/>
  <c r="BE239" i="5"/>
  <c r="BE505" i="5"/>
  <c r="BD505" i="5"/>
  <c r="BD396" i="5"/>
  <c r="BE396" i="5"/>
  <c r="BE407" i="5"/>
  <c r="BD407" i="5"/>
  <c r="BD547" i="5"/>
  <c r="BE547" i="5"/>
  <c r="BE94" i="5"/>
  <c r="BD46" i="5"/>
  <c r="BE46" i="5"/>
  <c r="BE162" i="5"/>
  <c r="BD162" i="5"/>
  <c r="BD167" i="5"/>
  <c r="BE167" i="5"/>
  <c r="BE277" i="5"/>
  <c r="BD277" i="5"/>
  <c r="BD340" i="5"/>
  <c r="BE340" i="5"/>
  <c r="BD409" i="5"/>
  <c r="BE409" i="5"/>
  <c r="BD496" i="5"/>
  <c r="BE496" i="5"/>
  <c r="BE475" i="5"/>
  <c r="BD475" i="5"/>
  <c r="BD362" i="5"/>
  <c r="BE362" i="5"/>
  <c r="BE410" i="5"/>
  <c r="BD410" i="5"/>
  <c r="BE361" i="5"/>
  <c r="BD361" i="5"/>
  <c r="BE433" i="5"/>
  <c r="BD433" i="5"/>
  <c r="BD473" i="5"/>
  <c r="BE473" i="5"/>
  <c r="BD517" i="5"/>
  <c r="BE517" i="5"/>
  <c r="BD493" i="5"/>
  <c r="BE493" i="5"/>
  <c r="BD339" i="5"/>
  <c r="BE339" i="5"/>
  <c r="BD280" i="5"/>
  <c r="BE280" i="5"/>
  <c r="BD124" i="5"/>
  <c r="BE124" i="5"/>
  <c r="BE461" i="5"/>
  <c r="BD461" i="5"/>
  <c r="BE358" i="5"/>
  <c r="BD358" i="5"/>
  <c r="BD457" i="5"/>
  <c r="BE457" i="5"/>
  <c r="BD348" i="5"/>
  <c r="BE348" i="5"/>
  <c r="BD256" i="5"/>
  <c r="BE256" i="5"/>
  <c r="BE503" i="5"/>
  <c r="BD503" i="5"/>
  <c r="BE58" i="5"/>
  <c r="BD58" i="5"/>
  <c r="BD187" i="5"/>
  <c r="BE187" i="5"/>
  <c r="BD20" i="5"/>
  <c r="BE20" i="5"/>
  <c r="BD416" i="5"/>
  <c r="BE416" i="5"/>
  <c r="BD57" i="5"/>
  <c r="BE57" i="5"/>
  <c r="BD355" i="5"/>
  <c r="BE355" i="5"/>
  <c r="BE62" i="5"/>
  <c r="BD62" i="5"/>
  <c r="BD128" i="5"/>
  <c r="BE128" i="5"/>
  <c r="BE376" i="5"/>
  <c r="BD376" i="5"/>
  <c r="BD527" i="5"/>
  <c r="BE527" i="5"/>
  <c r="BD431" i="5"/>
  <c r="BE431" i="5"/>
  <c r="BD439" i="5"/>
  <c r="BE439" i="5"/>
  <c r="BE492" i="5"/>
  <c r="BD492" i="5"/>
  <c r="BE541" i="5"/>
  <c r="BD541" i="5"/>
  <c r="BD447" i="5"/>
  <c r="BE447" i="5"/>
  <c r="BE28" i="5"/>
  <c r="BD28" i="5"/>
  <c r="BE181" i="5"/>
  <c r="BD181" i="5"/>
  <c r="BD95" i="5"/>
  <c r="BE95" i="5"/>
  <c r="BD120" i="5"/>
  <c r="BE120" i="5"/>
  <c r="BE413" i="5"/>
  <c r="BD413" i="5"/>
  <c r="V13" i="5"/>
  <c r="U13" i="5"/>
  <c r="BE96" i="5"/>
  <c r="BD96" i="5"/>
  <c r="BE331" i="5"/>
  <c r="BD331" i="5"/>
  <c r="BE377" i="5"/>
  <c r="BD377" i="5"/>
  <c r="BD186" i="5"/>
  <c r="BE186" i="5"/>
  <c r="BE293" i="5"/>
  <c r="BD293" i="5"/>
  <c r="BE406" i="5"/>
  <c r="BD406" i="5"/>
  <c r="BD415" i="5"/>
  <c r="BE415" i="5"/>
  <c r="BE402" i="5"/>
  <c r="BD402" i="5"/>
  <c r="BD420" i="5"/>
  <c r="BE420" i="5"/>
  <c r="BE449" i="5"/>
  <c r="BD449" i="5"/>
  <c r="BD464" i="5"/>
  <c r="BE464" i="5"/>
  <c r="BD531" i="5"/>
  <c r="BE531" i="5"/>
  <c r="BE529" i="5"/>
  <c r="BD529" i="5"/>
  <c r="BD176" i="5"/>
  <c r="BE176" i="5"/>
  <c r="BE253" i="5"/>
  <c r="BD253" i="5"/>
  <c r="BE370" i="5"/>
  <c r="BD370" i="5"/>
  <c r="BE389" i="5"/>
  <c r="BD389" i="5"/>
  <c r="BE417" i="5"/>
  <c r="BD417" i="5"/>
  <c r="BE514" i="5"/>
  <c r="BD514" i="5"/>
  <c r="BD530" i="5"/>
  <c r="BE530" i="5"/>
  <c r="BE364" i="5"/>
  <c r="BD364" i="5"/>
  <c r="BE107" i="5"/>
  <c r="BD107" i="5"/>
  <c r="BD271" i="5"/>
  <c r="BE271" i="5"/>
  <c r="BE104" i="5"/>
  <c r="BD104" i="5"/>
  <c r="BE165" i="5"/>
  <c r="BD165" i="5"/>
  <c r="BE291" i="5"/>
  <c r="BD291" i="5"/>
  <c r="BD544" i="5"/>
  <c r="BE544" i="5"/>
  <c r="BE451" i="5"/>
  <c r="BD451" i="5"/>
  <c r="BE472" i="5"/>
  <c r="BD472" i="5"/>
  <c r="BD155" i="5"/>
  <c r="BE155" i="5"/>
  <c r="BE67" i="5"/>
  <c r="BD67" i="5"/>
  <c r="BE423" i="5"/>
  <c r="BD423" i="5"/>
  <c r="BD539" i="5"/>
  <c r="BE539" i="5"/>
  <c r="BD436" i="5"/>
  <c r="BE436" i="5"/>
  <c r="BE397" i="5"/>
  <c r="BD397" i="5"/>
  <c r="BE467" i="5"/>
  <c r="BD467" i="5"/>
  <c r="BE347" i="5"/>
  <c r="BD347" i="5"/>
  <c r="BE330" i="5"/>
  <c r="BD330" i="5"/>
  <c r="BD304" i="5"/>
  <c r="BE304" i="5"/>
  <c r="BE153" i="5"/>
  <c r="BD153" i="5"/>
  <c r="BD500" i="5"/>
  <c r="BE500" i="5"/>
  <c r="BE391" i="5"/>
  <c r="BD391" i="5"/>
  <c r="BD554" i="5"/>
  <c r="BE554" i="5"/>
  <c r="BD502" i="5"/>
  <c r="BE502" i="5"/>
  <c r="BD33" i="5"/>
  <c r="BE33" i="5"/>
  <c r="BE403" i="5"/>
  <c r="BD403" i="5"/>
  <c r="BD318" i="5"/>
  <c r="BE318" i="5"/>
  <c r="BE372" i="5"/>
  <c r="BD372" i="5"/>
  <c r="BD322" i="5"/>
  <c r="BE322" i="5"/>
  <c r="BE129" i="5"/>
  <c r="BD129" i="5"/>
  <c r="BE312" i="5"/>
  <c r="BD312" i="5"/>
  <c r="BD480" i="5"/>
  <c r="BE480" i="5"/>
  <c r="BD205" i="5"/>
  <c r="BE205" i="5"/>
  <c r="BE224" i="5"/>
  <c r="BD224" i="5"/>
  <c r="BD333" i="5"/>
  <c r="BE333" i="5"/>
  <c r="BD37" i="5"/>
  <c r="BE37" i="5"/>
  <c r="BD408" i="5"/>
  <c r="BE408" i="5"/>
  <c r="BD320" i="5"/>
  <c r="BE320" i="5"/>
  <c r="BE343" i="5"/>
  <c r="BD343" i="5"/>
  <c r="BD425" i="5"/>
  <c r="BE425" i="5"/>
  <c r="BD516" i="5"/>
  <c r="BE516" i="5"/>
  <c r="BD520" i="5"/>
  <c r="BE520" i="5"/>
  <c r="BD368" i="5"/>
  <c r="BE368" i="5"/>
  <c r="BD367" i="5"/>
  <c r="BE367" i="5"/>
  <c r="BE435" i="5"/>
  <c r="BD435" i="5"/>
  <c r="BD486" i="5"/>
  <c r="BE486" i="5"/>
  <c r="BE386" i="5"/>
  <c r="BD386" i="5"/>
  <c r="BE468" i="5"/>
  <c r="BD468" i="5"/>
  <c r="BD135" i="5"/>
  <c r="BE135" i="5"/>
  <c r="BD525" i="5"/>
  <c r="BE525" i="5"/>
  <c r="BE228" i="5"/>
  <c r="BD228" i="5"/>
  <c r="BE327" i="5"/>
  <c r="BD327" i="5"/>
  <c r="BD77" i="5"/>
  <c r="BE77" i="5"/>
  <c r="BE349" i="5"/>
  <c r="BD349" i="5"/>
  <c r="BD383" i="5"/>
  <c r="BE383" i="5"/>
  <c r="BD354" i="5"/>
  <c r="BE354" i="5"/>
  <c r="BE490" i="5"/>
  <c r="BD490" i="5"/>
  <c r="BE400" i="5"/>
  <c r="BD400" i="5"/>
  <c r="BD373" i="5"/>
  <c r="BE373" i="5"/>
  <c r="BE99" i="5"/>
  <c r="BD99" i="5"/>
  <c r="BE328" i="5"/>
  <c r="BD328" i="5"/>
  <c r="BE345" i="5"/>
  <c r="BD345" i="5"/>
  <c r="BD203" i="5"/>
  <c r="BE203" i="5"/>
  <c r="BD359" i="5"/>
  <c r="BE359" i="5"/>
  <c r="BD63" i="5"/>
  <c r="BE63" i="5"/>
  <c r="BE419" i="5"/>
  <c r="BD419" i="5"/>
  <c r="BD215" i="5"/>
  <c r="BE215" i="5"/>
  <c r="BD394" i="5"/>
  <c r="BE394" i="5"/>
  <c r="BD418" i="5"/>
  <c r="BE418" i="5"/>
  <c r="BD442" i="5"/>
  <c r="BE442" i="5"/>
  <c r="BE504" i="5"/>
  <c r="BD504" i="5"/>
  <c r="BD381" i="5"/>
  <c r="BE381" i="5"/>
  <c r="BD428" i="5"/>
  <c r="BE428" i="5"/>
  <c r="BE484" i="5"/>
  <c r="BD484" i="5"/>
  <c r="BD452" i="5"/>
  <c r="BE452" i="5"/>
  <c r="BE429" i="5"/>
  <c r="BD429" i="5"/>
  <c r="BE459" i="5"/>
  <c r="BD459" i="5"/>
  <c r="BE388" i="5"/>
  <c r="BD388" i="5"/>
  <c r="BD266" i="5"/>
  <c r="BE266" i="5"/>
  <c r="BD207" i="5"/>
  <c r="BE207" i="5"/>
  <c r="BE319" i="5"/>
  <c r="BD319" i="5"/>
  <c r="BE390" i="5"/>
  <c r="BD390" i="5"/>
  <c r="BD556" i="5"/>
  <c r="BE556" i="5"/>
  <c r="BD218" i="5"/>
  <c r="BE218" i="5"/>
  <c r="AX13" i="5"/>
  <c r="AY13" i="5"/>
  <c r="BE143" i="5"/>
  <c r="BD143" i="5"/>
  <c r="BE146" i="5"/>
  <c r="BD146" i="5"/>
  <c r="BE307" i="5"/>
  <c r="BD307" i="5"/>
  <c r="BD494" i="5"/>
  <c r="BE494" i="5"/>
  <c r="BD538" i="5"/>
  <c r="BE538" i="5"/>
  <c r="BE444" i="5"/>
  <c r="BD444" i="5"/>
  <c r="BE499" i="5"/>
  <c r="BD499" i="5"/>
  <c r="BE342" i="5"/>
  <c r="BD342" i="5"/>
  <c r="BD506" i="5"/>
  <c r="BE506" i="5"/>
  <c r="BD548" i="5"/>
  <c r="BE548" i="5"/>
  <c r="BE456" i="5"/>
  <c r="BD456" i="5"/>
  <c r="BD471" i="5"/>
  <c r="BE471" i="5"/>
  <c r="BD421" i="5"/>
  <c r="BE421" i="5"/>
  <c r="BE297" i="5"/>
  <c r="BD297" i="5"/>
  <c r="BD260" i="5"/>
  <c r="BE260" i="5"/>
  <c r="BE142" i="5"/>
  <c r="BD142" i="5"/>
  <c r="BD512" i="5"/>
  <c r="BE512" i="5"/>
  <c r="BD558" i="5"/>
  <c r="BE558" i="5"/>
  <c r="BE511" i="5"/>
  <c r="BD511" i="5"/>
  <c r="BD200" i="5"/>
  <c r="BE200" i="5"/>
  <c r="BD334" i="5"/>
  <c r="BE334" i="5"/>
  <c r="BD466" i="5"/>
  <c r="BE466" i="5"/>
  <c r="BD522" i="5"/>
  <c r="BE522" i="5"/>
  <c r="BE524" i="5"/>
  <c r="BD524" i="5"/>
  <c r="BD509" i="5"/>
  <c r="BE509" i="5"/>
  <c r="BE485" i="5"/>
  <c r="BD485" i="5"/>
  <c r="BE220" i="5"/>
  <c r="BD220" i="5"/>
  <c r="BD341" i="5"/>
  <c r="BE341" i="5"/>
  <c r="BD321" i="5"/>
  <c r="BE321" i="5"/>
  <c r="BD385" i="5"/>
  <c r="BE385" i="5"/>
  <c r="BD488" i="5"/>
  <c r="BE488" i="5"/>
  <c r="BD398" i="5"/>
  <c r="BE398" i="5"/>
  <c r="BD430" i="5"/>
  <c r="BE430" i="5"/>
  <c r="BD93" i="5"/>
  <c r="BE93" i="5"/>
  <c r="BD519" i="5"/>
  <c r="BE519" i="5"/>
  <c r="BE474" i="5"/>
  <c r="BD474" i="5"/>
  <c r="BE310" i="5"/>
  <c r="BD310" i="5"/>
  <c r="BE357" i="5"/>
  <c r="BD357" i="5"/>
  <c r="AU13" i="5"/>
  <c r="AV13" i="5"/>
  <c r="BC13" i="5"/>
  <c r="BE434" i="5"/>
  <c r="BD434" i="5"/>
  <c r="BE250" i="5"/>
  <c r="BD250" i="5"/>
  <c r="BD336" i="5"/>
  <c r="BE336" i="5"/>
  <c r="BD460" i="5"/>
  <c r="BE460" i="5"/>
  <c r="BE557" i="5"/>
  <c r="BD557" i="5"/>
  <c r="BD542" i="5"/>
  <c r="BE542" i="5"/>
  <c r="BD384" i="5"/>
  <c r="BE384" i="5"/>
  <c r="BE267" i="5"/>
  <c r="BD267" i="5"/>
  <c r="BD179" i="5"/>
  <c r="BE179" i="5"/>
  <c r="BE272" i="5"/>
  <c r="BD272" i="5"/>
  <c r="BE123" i="5"/>
  <c r="BD123" i="5"/>
  <c r="BD87" i="5"/>
  <c r="BE87" i="5"/>
  <c r="BD50" i="5"/>
  <c r="BE50" i="5"/>
  <c r="BE252" i="5"/>
  <c r="BD252" i="5"/>
  <c r="BE311" i="5"/>
  <c r="BD311" i="5"/>
  <c r="BE380" i="5"/>
  <c r="BD380" i="5"/>
  <c r="BD254" i="5"/>
  <c r="BE254" i="5"/>
  <c r="BE399" i="5"/>
  <c r="BD399" i="5"/>
  <c r="BD49" i="5"/>
  <c r="BE49" i="5"/>
  <c r="BE192" i="5"/>
  <c r="BD192" i="5"/>
  <c r="BE350" i="5"/>
  <c r="BD350" i="5"/>
  <c r="BE42" i="5"/>
  <c r="BD42" i="5"/>
  <c r="BE257" i="5"/>
  <c r="BD257" i="5"/>
  <c r="BE366" i="5"/>
  <c r="BD366" i="5"/>
  <c r="BD518" i="5"/>
  <c r="BE518" i="5"/>
  <c r="BE374" i="5"/>
  <c r="BD374" i="5"/>
  <c r="BE378" i="5"/>
  <c r="BD378" i="5"/>
  <c r="BD479" i="5"/>
  <c r="BE479" i="5"/>
  <c r="BE528" i="5"/>
  <c r="BD528" i="5"/>
  <c r="BE498" i="5"/>
  <c r="BD498" i="5"/>
  <c r="BD259" i="5"/>
  <c r="BE259" i="5"/>
  <c r="BE463" i="5"/>
  <c r="BD463" i="5"/>
  <c r="BE510" i="5"/>
  <c r="BD510" i="5"/>
  <c r="BD301" i="5"/>
  <c r="BE301" i="5"/>
  <c r="BE25" i="5"/>
  <c r="BD25" i="5"/>
  <c r="BD325" i="5"/>
  <c r="BE325" i="5"/>
  <c r="BE483" i="5"/>
  <c r="BD483" i="5"/>
  <c r="BE455" i="5"/>
  <c r="BD455" i="5"/>
  <c r="BD196" i="5"/>
  <c r="BE196" i="5"/>
  <c r="BE177" i="5"/>
  <c r="BD177" i="5"/>
  <c r="BE36" i="5"/>
  <c r="BD36" i="5"/>
  <c r="BE102" i="5"/>
  <c r="BD102" i="5"/>
  <c r="BD270" i="5"/>
  <c r="BE270" i="5"/>
  <c r="BD353" i="5"/>
  <c r="BE353" i="5"/>
  <c r="BD204" i="5"/>
  <c r="BE204" i="5"/>
  <c r="BE292" i="5"/>
  <c r="BD292" i="5"/>
  <c r="BD426" i="5"/>
  <c r="BE426" i="5"/>
  <c r="BE482" i="5"/>
  <c r="BD482" i="5"/>
  <c r="BD335" i="5"/>
  <c r="BE335" i="5"/>
  <c r="BD535" i="5"/>
  <c r="BE535" i="5"/>
  <c r="BD395" i="5"/>
  <c r="BE395" i="5"/>
  <c r="BE382" i="5"/>
  <c r="BD382" i="5"/>
  <c r="BE489" i="5"/>
  <c r="BD489" i="5"/>
  <c r="BD534" i="5"/>
  <c r="BE534" i="5"/>
  <c r="BD526" i="5"/>
  <c r="BE526" i="5"/>
  <c r="BD375" i="5"/>
  <c r="BE375" i="5"/>
  <c r="BE173" i="5"/>
  <c r="BD173" i="5"/>
  <c r="BD258" i="5"/>
  <c r="BE258" i="5"/>
  <c r="BE248" i="5"/>
  <c r="BD248" i="5"/>
  <c r="BE508" i="5"/>
  <c r="BD508" i="5"/>
  <c r="BD552" i="5"/>
  <c r="BE552" i="5"/>
  <c r="BD507" i="5"/>
  <c r="BE507" i="5"/>
  <c r="BD422" i="5"/>
  <c r="BE422" i="5"/>
  <c r="BD513" i="5"/>
  <c r="BE513" i="5"/>
  <c r="BE281" i="5"/>
  <c r="BD281" i="5"/>
  <c r="BE54" i="5"/>
  <c r="BD54" i="5"/>
  <c r="BD170" i="5"/>
  <c r="BE170" i="5"/>
  <c r="BD233" i="5"/>
  <c r="BE233" i="5"/>
  <c r="BA13" i="5"/>
  <c r="BB13" i="5"/>
  <c r="BD217" i="5"/>
  <c r="BE217" i="5"/>
  <c r="BD371" i="5"/>
  <c r="BE371" i="5"/>
  <c r="BD79" i="5"/>
  <c r="BE79" i="5"/>
  <c r="BE308" i="5"/>
  <c r="BD308" i="5"/>
  <c r="BE441" i="5"/>
  <c r="BD441" i="5"/>
  <c r="BE458" i="5"/>
  <c r="BD458" i="5"/>
  <c r="BD551" i="5"/>
  <c r="BE551" i="5"/>
  <c r="BD443" i="5"/>
  <c r="BE443" i="5"/>
  <c r="BE540" i="5"/>
  <c r="BD540" i="5"/>
  <c r="BD446" i="5"/>
  <c r="BE446" i="5"/>
  <c r="BD550" i="5"/>
  <c r="BE550" i="5"/>
  <c r="BD404" i="5"/>
  <c r="BE404" i="5"/>
  <c r="BD523" i="5"/>
  <c r="BE523" i="5"/>
  <c r="BE427" i="5"/>
  <c r="BD427" i="5"/>
  <c r="BD216" i="5"/>
  <c r="BE216" i="5"/>
  <c r="BE151" i="5"/>
  <c r="BD151" i="5"/>
  <c r="BD497" i="5"/>
  <c r="BE497" i="5"/>
  <c r="BD454" i="5"/>
  <c r="BE454" i="5"/>
  <c r="BD438" i="5"/>
  <c r="BE438" i="5"/>
  <c r="BE12" i="5"/>
  <c r="BD12" i="5"/>
  <c r="B49" i="5"/>
  <c r="B52" i="5" s="1"/>
  <c r="B35" i="5"/>
  <c r="B155" i="2"/>
  <c r="B174" i="2"/>
  <c r="B177" i="2" s="1"/>
  <c r="Z7" i="5" s="1"/>
  <c r="B71" i="5"/>
  <c r="B93" i="2"/>
  <c r="O15" i="4"/>
  <c r="B23" i="5"/>
  <c r="B154" i="2"/>
  <c r="B34" i="5"/>
  <c r="J50" i="5"/>
  <c r="B195" i="2"/>
  <c r="BD13" i="5" l="1"/>
  <c r="BE13" i="5"/>
  <c r="Z350" i="5"/>
  <c r="Z375" i="5"/>
  <c r="Z252" i="5"/>
  <c r="Z353" i="5"/>
  <c r="Z459" i="5"/>
  <c r="Z80" i="5"/>
  <c r="Z308" i="5"/>
  <c r="Z452" i="5"/>
  <c r="Z528" i="5"/>
  <c r="Z246" i="5"/>
  <c r="Z455" i="5"/>
  <c r="Z343" i="5"/>
  <c r="Z211" i="5"/>
  <c r="Z337" i="5"/>
  <c r="Z203" i="5"/>
  <c r="Z406" i="5"/>
  <c r="Z379" i="5"/>
  <c r="Z378" i="5"/>
  <c r="Z511" i="5"/>
  <c r="Z512" i="5"/>
  <c r="Z417" i="5"/>
  <c r="Z34" i="5"/>
  <c r="Z148" i="5"/>
  <c r="Z539" i="5"/>
  <c r="Z554" i="5"/>
  <c r="Z107" i="5"/>
  <c r="Z525" i="5"/>
  <c r="Z170" i="5"/>
  <c r="Z233" i="5"/>
  <c r="Z288" i="5"/>
  <c r="Z199" i="5"/>
  <c r="Z260" i="5"/>
  <c r="Z509" i="5"/>
  <c r="Z510" i="5"/>
  <c r="Z206" i="5"/>
  <c r="Z244" i="5"/>
  <c r="Z376" i="5"/>
  <c r="Z348" i="5"/>
  <c r="Z393" i="5"/>
  <c r="Z31" i="5"/>
  <c r="Z78" i="5"/>
  <c r="Z98" i="5"/>
  <c r="Z467" i="5"/>
  <c r="Z501" i="5"/>
  <c r="Z181" i="5"/>
  <c r="Z435" i="5"/>
  <c r="Z33" i="5"/>
  <c r="Z175" i="5"/>
  <c r="Z259" i="5"/>
  <c r="Z182" i="5"/>
  <c r="Z122" i="5"/>
  <c r="Z405" i="5"/>
  <c r="Z57" i="5"/>
  <c r="Z202" i="5"/>
  <c r="Z87" i="5"/>
  <c r="Z91" i="5"/>
  <c r="Z62" i="5"/>
  <c r="Z543" i="5"/>
  <c r="Z39" i="5"/>
  <c r="Z529" i="5"/>
  <c r="Z490" i="5"/>
  <c r="Z542" i="5"/>
  <c r="Z139" i="5"/>
  <c r="Z401" i="5"/>
  <c r="Z432" i="5"/>
  <c r="Z196" i="5"/>
  <c r="Z515" i="5"/>
  <c r="Z45" i="5"/>
  <c r="Z530" i="5"/>
  <c r="Z431" i="5"/>
  <c r="Z347" i="5"/>
  <c r="Z149" i="5"/>
  <c r="Z278" i="5"/>
  <c r="Z352" i="5"/>
  <c r="Z446" i="5"/>
  <c r="Z264" i="5"/>
  <c r="Z342" i="5"/>
  <c r="Z119" i="5"/>
  <c r="Z229" i="5"/>
  <c r="Z410" i="5"/>
  <c r="Z223" i="5"/>
  <c r="Z13" i="5"/>
  <c r="Z324" i="5"/>
  <c r="Z274" i="5"/>
  <c r="Z88" i="5"/>
  <c r="Z409" i="5"/>
  <c r="Z269" i="5"/>
  <c r="Z460" i="5"/>
  <c r="Z363" i="5"/>
  <c r="Z63" i="5"/>
  <c r="Z422" i="5"/>
  <c r="Z82" i="5"/>
  <c r="Z346" i="5"/>
  <c r="Z414" i="5"/>
  <c r="Z50" i="5"/>
  <c r="Z239" i="5"/>
  <c r="Z486" i="5"/>
  <c r="Z449" i="5"/>
  <c r="Z141" i="5"/>
  <c r="Z257" i="5"/>
  <c r="Z192" i="5"/>
  <c r="Z65" i="5"/>
  <c r="Z332" i="5"/>
  <c r="Z20" i="5"/>
  <c r="Z447" i="5"/>
  <c r="Z222" i="5"/>
  <c r="Z368" i="5"/>
  <c r="Z71" i="5"/>
  <c r="Z549" i="5"/>
  <c r="Z450" i="5"/>
  <c r="Z262" i="5"/>
  <c r="Z232" i="5"/>
  <c r="Z335" i="5"/>
  <c r="Z408" i="5"/>
  <c r="Z152" i="5"/>
  <c r="Z197" i="5"/>
  <c r="Z402" i="5"/>
  <c r="Z169" i="5"/>
  <c r="Z412" i="5"/>
  <c r="Z492" i="5"/>
  <c r="Z299" i="5"/>
  <c r="Z84" i="5"/>
  <c r="Z306" i="5"/>
  <c r="Z331" i="5"/>
  <c r="Z205" i="5"/>
  <c r="Z320" i="5"/>
  <c r="Z275" i="5"/>
  <c r="Z51" i="5"/>
  <c r="Z488" i="5"/>
  <c r="Z317" i="5"/>
  <c r="Z399" i="5"/>
  <c r="Z377" i="5"/>
  <c r="Z241" i="5"/>
  <c r="Z483" i="5"/>
  <c r="Z482" i="5"/>
  <c r="Z436" i="5"/>
  <c r="Z100" i="5"/>
  <c r="Z159" i="5"/>
  <c r="Z386" i="5"/>
  <c r="Z191" i="5"/>
  <c r="Z81" i="5"/>
  <c r="Z8" i="5"/>
  <c r="Z313" i="5"/>
  <c r="Z500" i="5"/>
  <c r="Z312" i="5"/>
  <c r="Z106" i="5"/>
  <c r="Z533" i="5"/>
  <c r="Z68" i="5"/>
  <c r="Z361" i="5"/>
  <c r="Z234" i="5"/>
  <c r="Z296" i="5"/>
  <c r="Z461" i="5"/>
  <c r="Z129" i="5"/>
  <c r="Z24" i="5"/>
  <c r="Z198" i="5"/>
  <c r="Z514" i="5"/>
  <c r="Z218" i="5"/>
  <c r="Z137" i="5"/>
  <c r="Z493" i="5"/>
  <c r="Z283" i="5"/>
  <c r="Z138" i="5"/>
  <c r="Z190" i="5"/>
  <c r="Z280" i="5"/>
  <c r="Z135" i="5"/>
  <c r="Z327" i="5"/>
  <c r="Z184" i="5"/>
  <c r="Z85" i="5"/>
  <c r="Z44" i="5"/>
  <c r="Z322" i="5"/>
  <c r="Z503" i="5"/>
  <c r="Z349" i="5"/>
  <c r="Z89" i="5"/>
  <c r="Z439" i="5"/>
  <c r="Z165" i="5"/>
  <c r="Z64" i="5"/>
  <c r="Z76" i="5"/>
  <c r="Z131" i="5"/>
  <c r="Z522" i="5"/>
  <c r="Z498" i="5"/>
  <c r="Z245" i="5"/>
  <c r="Z163" i="5"/>
  <c r="Z124" i="5"/>
  <c r="Z110" i="5"/>
  <c r="Z95" i="5"/>
  <c r="Z356" i="5"/>
  <c r="Z516" i="5"/>
  <c r="Z25" i="5"/>
  <c r="Z183" i="5"/>
  <c r="Z43" i="5"/>
  <c r="Z161" i="5"/>
  <c r="Z171" i="5"/>
  <c r="Z430" i="5"/>
  <c r="Z484" i="5"/>
  <c r="Z146" i="5"/>
  <c r="Z59" i="5"/>
  <c r="Z237" i="5"/>
  <c r="Z433" i="5"/>
  <c r="Z26" i="5"/>
  <c r="Z415" i="5"/>
  <c r="Z319" i="5"/>
  <c r="Z200" i="5"/>
  <c r="Z336" i="5"/>
  <c r="Z265" i="5"/>
  <c r="Z96" i="5"/>
  <c r="Z365" i="5"/>
  <c r="Z507" i="5"/>
  <c r="Z407" i="5"/>
  <c r="Z448" i="5"/>
  <c r="Z429" i="5"/>
  <c r="Z116" i="5"/>
  <c r="Z315" i="5"/>
  <c r="Z546" i="5"/>
  <c r="Z362" i="5"/>
  <c r="Z187" i="5"/>
  <c r="Z143" i="5"/>
  <c r="Z555" i="5"/>
  <c r="Z473" i="5"/>
  <c r="Z242" i="5"/>
  <c r="Z55" i="5"/>
  <c r="Z35" i="5"/>
  <c r="Z354" i="5"/>
  <c r="Z230" i="5"/>
  <c r="Z506" i="5"/>
  <c r="Z72" i="5"/>
  <c r="Z177" i="5"/>
  <c r="Z77" i="5"/>
  <c r="Z236" i="5"/>
  <c r="Z69" i="5"/>
  <c r="Z487" i="5"/>
  <c r="Z207" i="5"/>
  <c r="Z38" i="5"/>
  <c r="Z193" i="5"/>
  <c r="Z300" i="5"/>
  <c r="Z465" i="5"/>
  <c r="Z445" i="5"/>
  <c r="Z338" i="5"/>
  <c r="Z134" i="5"/>
  <c r="Z395" i="5"/>
  <c r="Z311" i="5"/>
  <c r="Z240" i="5"/>
  <c r="Z537" i="5"/>
  <c r="Z302" i="5"/>
  <c r="Z180" i="5"/>
  <c r="Z79" i="5"/>
  <c r="Z367" i="5"/>
  <c r="Z208" i="5"/>
  <c r="Z373" i="5"/>
  <c r="Z66" i="5"/>
  <c r="Z112" i="5"/>
  <c r="Z22" i="5"/>
  <c r="Z513" i="5"/>
  <c r="Z144" i="5"/>
  <c r="Z505" i="5"/>
  <c r="Z442" i="5"/>
  <c r="Z387" i="5"/>
  <c r="Z470" i="5"/>
  <c r="Z456" i="5"/>
  <c r="Z279" i="5"/>
  <c r="Z351" i="5"/>
  <c r="Z221" i="5"/>
  <c r="Z285" i="5"/>
  <c r="Z127" i="5"/>
  <c r="Z428" i="5"/>
  <c r="Z19" i="5"/>
  <c r="Z215" i="5"/>
  <c r="Z400" i="5"/>
  <c r="Z270" i="5"/>
  <c r="Z518" i="5"/>
  <c r="Z114" i="5"/>
  <c r="Z28" i="5"/>
  <c r="Z287" i="5"/>
  <c r="Z426" i="5"/>
  <c r="Z47" i="5"/>
  <c r="Z325" i="5"/>
  <c r="Z195" i="5"/>
  <c r="Z440" i="5"/>
  <c r="Z130" i="5"/>
  <c r="Z256" i="5"/>
  <c r="Z266" i="5"/>
  <c r="Z204" i="5"/>
  <c r="Z90" i="5"/>
  <c r="Z310" i="5"/>
  <c r="Z118" i="5"/>
  <c r="Z475" i="5"/>
  <c r="Z552" i="5"/>
  <c r="Z380" i="5"/>
  <c r="Z272" i="5"/>
  <c r="Z27" i="5"/>
  <c r="Z186" i="5"/>
  <c r="Z46" i="5"/>
  <c r="Z61" i="5"/>
  <c r="Z471" i="5"/>
  <c r="Z115" i="5"/>
  <c r="Z75" i="5"/>
  <c r="Z369" i="5"/>
  <c r="Z464" i="5"/>
  <c r="Z499" i="5"/>
  <c r="Z247" i="5"/>
  <c r="Z103" i="5"/>
  <c r="Z494" i="5"/>
  <c r="Z23" i="5"/>
  <c r="Z254" i="5"/>
  <c r="Z126" i="5"/>
  <c r="Z480" i="5"/>
  <c r="Z527" i="5"/>
  <c r="Z458" i="5"/>
  <c r="Z168" i="5"/>
  <c r="Z166" i="5"/>
  <c r="Z502" i="5"/>
  <c r="Z521" i="5"/>
  <c r="Z421" i="5"/>
  <c r="Z282" i="5"/>
  <c r="Z496" i="5"/>
  <c r="Z30" i="5"/>
  <c r="Z251" i="5"/>
  <c r="Z179" i="5"/>
  <c r="Z12" i="5"/>
  <c r="Z228" i="5"/>
  <c r="Z290" i="5"/>
  <c r="Z318" i="5"/>
  <c r="Z485" i="5"/>
  <c r="Z476" i="5"/>
  <c r="Z147" i="5"/>
  <c r="Z226" i="5"/>
  <c r="Z142" i="5"/>
  <c r="Z474" i="5"/>
  <c r="Z37" i="5"/>
  <c r="Z457" i="5"/>
  <c r="Z216" i="5"/>
  <c r="Z212" i="5"/>
  <c r="Z227" i="5"/>
  <c r="Z276" i="5"/>
  <c r="Z273" i="5"/>
  <c r="Z321" i="5"/>
  <c r="Z123" i="5"/>
  <c r="Z330" i="5"/>
  <c r="Z172" i="5"/>
  <c r="Z156" i="5"/>
  <c r="Z391" i="5"/>
  <c r="Z94" i="5"/>
  <c r="Z366" i="5"/>
  <c r="Z36" i="5"/>
  <c r="Z292" i="5"/>
  <c r="Z263" i="5"/>
  <c r="Z418" i="5"/>
  <c r="Z547" i="5"/>
  <c r="Z189" i="5"/>
  <c r="Z178" i="5"/>
  <c r="Z536" i="5"/>
  <c r="Z48" i="5"/>
  <c r="Z472" i="5"/>
  <c r="Z504" i="5"/>
  <c r="Z128" i="5"/>
  <c r="Z534" i="5"/>
  <c r="Z86" i="5"/>
  <c r="Z524" i="5"/>
  <c r="Z411" i="5"/>
  <c r="Z413" i="5"/>
  <c r="Z56" i="5"/>
  <c r="Z443" i="5"/>
  <c r="Z531" i="5"/>
  <c r="Z301" i="5"/>
  <c r="Z155" i="5"/>
  <c r="Z104" i="5"/>
  <c r="Z145" i="5"/>
  <c r="Z466" i="5"/>
  <c r="Z167" i="5"/>
  <c r="Z481" i="5"/>
  <c r="Z194" i="5"/>
  <c r="Z517" i="5"/>
  <c r="Z550" i="5"/>
  <c r="Z120" i="5"/>
  <c r="Z111" i="5"/>
  <c r="Z508" i="5"/>
  <c r="Z478" i="5"/>
  <c r="Z303" i="5"/>
  <c r="Z495" i="5"/>
  <c r="Z258" i="5"/>
  <c r="Z437" i="5"/>
  <c r="Z355" i="5"/>
  <c r="Z54" i="5"/>
  <c r="Z339" i="5"/>
  <c r="Z220" i="5"/>
  <c r="Z372" i="5"/>
  <c r="Z390" i="5"/>
  <c r="Z73" i="5"/>
  <c r="Z519" i="5"/>
  <c r="Z374" i="5"/>
  <c r="Z389" i="5"/>
  <c r="Z213" i="5"/>
  <c r="Z117" i="5"/>
  <c r="Z497" i="5"/>
  <c r="Z469" i="5"/>
  <c r="Z326" i="5"/>
  <c r="Z340" i="5"/>
  <c r="Z314" i="5"/>
  <c r="Z333" i="5"/>
  <c r="Z140" i="5"/>
  <c r="Z160" i="5"/>
  <c r="Z97" i="5"/>
  <c r="Z462" i="5"/>
  <c r="Z214" i="5"/>
  <c r="Z551" i="5"/>
  <c r="Z558" i="5"/>
  <c r="Z60" i="5"/>
  <c r="Z523" i="5"/>
  <c r="Z489" i="5"/>
  <c r="Z305" i="5"/>
  <c r="Z491" i="5"/>
  <c r="Z384" i="5"/>
  <c r="Z250" i="5"/>
  <c r="Z291" i="5"/>
  <c r="Z416" i="5"/>
  <c r="Z231" i="5"/>
  <c r="Z158" i="5"/>
  <c r="Z559" i="5"/>
  <c r="Z271" i="5"/>
  <c r="Z370" i="5"/>
  <c r="Z392" i="5"/>
  <c r="Z209" i="5"/>
  <c r="Z438" i="5"/>
  <c r="Z74" i="5"/>
  <c r="Z286" i="5"/>
  <c r="Z267" i="5"/>
  <c r="Z382" i="5"/>
  <c r="Z298" i="5"/>
  <c r="Z268" i="5"/>
  <c r="Z133" i="5"/>
  <c r="Z255" i="5"/>
  <c r="Z540" i="5"/>
  <c r="Z42" i="5"/>
  <c r="Z544" i="5"/>
  <c r="Z92" i="5"/>
  <c r="Z538" i="5"/>
  <c r="Z284" i="5"/>
  <c r="Z553" i="5"/>
  <c r="Z297" i="5"/>
  <c r="Z381" i="5"/>
  <c r="Z70" i="5"/>
  <c r="Z217" i="5"/>
  <c r="Z403" i="5"/>
  <c r="Z328" i="5"/>
  <c r="Z294" i="5"/>
  <c r="Z309" i="5"/>
  <c r="Z53" i="5"/>
  <c r="Z235" i="5"/>
  <c r="Z423" i="5"/>
  <c r="Z125" i="5"/>
  <c r="Z93" i="5"/>
  <c r="Z261" i="5"/>
  <c r="Z541" i="5"/>
  <c r="Z40" i="5"/>
  <c r="Z434" i="5"/>
  <c r="Z151" i="5"/>
  <c r="Z396" i="5"/>
  <c r="Z238" i="5"/>
  <c r="Z424" i="5"/>
  <c r="Z477" i="5"/>
  <c r="Z32" i="5"/>
  <c r="Z548" i="5"/>
  <c r="Z52" i="5"/>
  <c r="Z83" i="5"/>
  <c r="Z113" i="5"/>
  <c r="Z468" i="5"/>
  <c r="Z535" i="5"/>
  <c r="Z295" i="5"/>
  <c r="Z307" i="5"/>
  <c r="Z121" i="5"/>
  <c r="Z526" i="5"/>
  <c r="Z532" i="5"/>
  <c r="Z108" i="5"/>
  <c r="Z316" i="5"/>
  <c r="Z277" i="5"/>
  <c r="Z29" i="5"/>
  <c r="Z173" i="5"/>
  <c r="Z364" i="5"/>
  <c r="Z334" i="5"/>
  <c r="Z58" i="5"/>
  <c r="Z176" i="5"/>
  <c r="Z358" i="5"/>
  <c r="Z359" i="5"/>
  <c r="Z360" i="5"/>
  <c r="Z394" i="5"/>
  <c r="Z109" i="5"/>
  <c r="Z132" i="5"/>
  <c r="Z174" i="5"/>
  <c r="Z224" i="5"/>
  <c r="Z463" i="5"/>
  <c r="Z154" i="5"/>
  <c r="Z545" i="5"/>
  <c r="Z479" i="5"/>
  <c r="Z397" i="5"/>
  <c r="Z404" i="5"/>
  <c r="Z425" i="5"/>
  <c r="Z153" i="5"/>
  <c r="Z560" i="5"/>
  <c r="Z329" i="5"/>
  <c r="Z105" i="5"/>
  <c r="Z383" i="5"/>
  <c r="Z253" i="5"/>
  <c r="Z21" i="5"/>
  <c r="Z398" i="5"/>
  <c r="Z201" i="5"/>
  <c r="Z102" i="5"/>
  <c r="Z427" i="5"/>
  <c r="Z185" i="5"/>
  <c r="Z49" i="5"/>
  <c r="Z188" i="5"/>
  <c r="Z341" i="5"/>
  <c r="Z293" i="5"/>
  <c r="Z210" i="5"/>
  <c r="Z225" i="5"/>
  <c r="Z219" i="5"/>
  <c r="Z101" i="5"/>
  <c r="Z157" i="5"/>
  <c r="Z289" i="5"/>
  <c r="Z249" i="5"/>
  <c r="Z150" i="5"/>
  <c r="Z136" i="5"/>
  <c r="Z557" i="5"/>
  <c r="Z419" i="5"/>
  <c r="Z164" i="5"/>
  <c r="Z99" i="5"/>
  <c r="Z162" i="5"/>
  <c r="Z453" i="5"/>
  <c r="Z371" i="5"/>
  <c r="Z323" i="5"/>
  <c r="Z520" i="5"/>
  <c r="Z248" i="5"/>
  <c r="Z344" i="5"/>
  <c r="Z385" i="5"/>
  <c r="Z345" i="5"/>
  <c r="Z281" i="5"/>
  <c r="Z67" i="5"/>
  <c r="Z444" i="5"/>
  <c r="Z388" i="5"/>
  <c r="Z454" i="5"/>
  <c r="Z441" i="5"/>
  <c r="Z451" i="5"/>
  <c r="Z420" i="5"/>
  <c r="Z304" i="5"/>
  <c r="Z556" i="5"/>
  <c r="Z243" i="5"/>
  <c r="Z41" i="5"/>
  <c r="Z357" i="5"/>
  <c r="AB7" i="5"/>
  <c r="AA7" i="5"/>
  <c r="AB357" i="5" l="1"/>
  <c r="AA357" i="5"/>
  <c r="AA304" i="5"/>
  <c r="AB304" i="5"/>
  <c r="AB454" i="5"/>
  <c r="AA454" i="5"/>
  <c r="AA281" i="5"/>
  <c r="AB281" i="5"/>
  <c r="AB248" i="5"/>
  <c r="AA248" i="5"/>
  <c r="AB453" i="5"/>
  <c r="AA453" i="5"/>
  <c r="AB419" i="5"/>
  <c r="AA419" i="5"/>
  <c r="AB249" i="5"/>
  <c r="AA249" i="5"/>
  <c r="AB219" i="5"/>
  <c r="AA219" i="5"/>
  <c r="AB341" i="5"/>
  <c r="AA341" i="5"/>
  <c r="AB427" i="5"/>
  <c r="AA427" i="5"/>
  <c r="AA21" i="5"/>
  <c r="AB21" i="5"/>
  <c r="AA329" i="5"/>
  <c r="AB329" i="5"/>
  <c r="AB404" i="5"/>
  <c r="AA404" i="5"/>
  <c r="AB154" i="5"/>
  <c r="AA154" i="5"/>
  <c r="AB132" i="5"/>
  <c r="AA132" i="5"/>
  <c r="AB359" i="5"/>
  <c r="AA359" i="5"/>
  <c r="AB334" i="5"/>
  <c r="AA334" i="5"/>
  <c r="AA277" i="5"/>
  <c r="AB277" i="5"/>
  <c r="AA526" i="5"/>
  <c r="AB526" i="5"/>
  <c r="AB535" i="5"/>
  <c r="AA535" i="5"/>
  <c r="AB52" i="5"/>
  <c r="AA52" i="5"/>
  <c r="AB424" i="5"/>
  <c r="AA424" i="5"/>
  <c r="AA434" i="5"/>
  <c r="AB434" i="5"/>
  <c r="AB93" i="5"/>
  <c r="AA93" i="5"/>
  <c r="AB53" i="5"/>
  <c r="AA53" i="5"/>
  <c r="AA403" i="5"/>
  <c r="AB403" i="5"/>
  <c r="AA297" i="5"/>
  <c r="AB297" i="5"/>
  <c r="AA92" i="5"/>
  <c r="AB92" i="5"/>
  <c r="AA255" i="5"/>
  <c r="AB255" i="5"/>
  <c r="AA382" i="5"/>
  <c r="AB382" i="5"/>
  <c r="AA438" i="5"/>
  <c r="AB438" i="5"/>
  <c r="AA271" i="5"/>
  <c r="AB271" i="5"/>
  <c r="AA416" i="5"/>
  <c r="AB416" i="5"/>
  <c r="AA491" i="5"/>
  <c r="AB491" i="5"/>
  <c r="AB60" i="5"/>
  <c r="AA60" i="5"/>
  <c r="AA462" i="5"/>
  <c r="AB462" i="5"/>
  <c r="AA333" i="5"/>
  <c r="AB333" i="5"/>
  <c r="AB469" i="5"/>
  <c r="AA469" i="5"/>
  <c r="AA389" i="5"/>
  <c r="AB389" i="5"/>
  <c r="AA390" i="5"/>
  <c r="AB390" i="5"/>
  <c r="AA54" i="5"/>
  <c r="AB54" i="5"/>
  <c r="AA495" i="5"/>
  <c r="AB495" i="5"/>
  <c r="AB111" i="5"/>
  <c r="AA111" i="5"/>
  <c r="AB194" i="5"/>
  <c r="AA194" i="5"/>
  <c r="AB145" i="5"/>
  <c r="AA145" i="5"/>
  <c r="AA531" i="5"/>
  <c r="AB531" i="5"/>
  <c r="AA411" i="5"/>
  <c r="AB411" i="5"/>
  <c r="AB128" i="5"/>
  <c r="AA128" i="5"/>
  <c r="AB536" i="5"/>
  <c r="AA536" i="5"/>
  <c r="AB418" i="5"/>
  <c r="AA418" i="5"/>
  <c r="AB366" i="5"/>
  <c r="AA366" i="5"/>
  <c r="AA172" i="5"/>
  <c r="AB172" i="5"/>
  <c r="AA273" i="5"/>
  <c r="AB273" i="5"/>
  <c r="AA216" i="5"/>
  <c r="AB216" i="5"/>
  <c r="AB142" i="5"/>
  <c r="AA142" i="5"/>
  <c r="AA485" i="5"/>
  <c r="AB485" i="5"/>
  <c r="AB12" i="5"/>
  <c r="AA12" i="5"/>
  <c r="AB496" i="5"/>
  <c r="AA496" i="5"/>
  <c r="AA502" i="5"/>
  <c r="AB502" i="5"/>
  <c r="AA527" i="5"/>
  <c r="AB527" i="5"/>
  <c r="AA23" i="5"/>
  <c r="AB23" i="5"/>
  <c r="AB499" i="5"/>
  <c r="AA499" i="5"/>
  <c r="AA115" i="5"/>
  <c r="AB115" i="5"/>
  <c r="AA186" i="5"/>
  <c r="AB186" i="5"/>
  <c r="AB552" i="5"/>
  <c r="AA552" i="5"/>
  <c r="AA90" i="5"/>
  <c r="AB90" i="5"/>
  <c r="AB130" i="5"/>
  <c r="AA130" i="5"/>
  <c r="AA47" i="5"/>
  <c r="AB47" i="5"/>
  <c r="AA114" i="5"/>
  <c r="AB114" i="5"/>
  <c r="AA215" i="5"/>
  <c r="AB215" i="5"/>
  <c r="AA285" i="5"/>
  <c r="AB285" i="5"/>
  <c r="AA456" i="5"/>
  <c r="AB456" i="5"/>
  <c r="AA505" i="5"/>
  <c r="AB505" i="5"/>
  <c r="AB112" i="5"/>
  <c r="AA112" i="5"/>
  <c r="AB367" i="5"/>
  <c r="AA367" i="5"/>
  <c r="AA537" i="5"/>
  <c r="AB537" i="5"/>
  <c r="AA134" i="5"/>
  <c r="AB134" i="5"/>
  <c r="AB300" i="5"/>
  <c r="AA300" i="5"/>
  <c r="AB487" i="5"/>
  <c r="AA487" i="5"/>
  <c r="AB77" i="5"/>
  <c r="AA77" i="5"/>
  <c r="AA230" i="5"/>
  <c r="AB230" i="5"/>
  <c r="AB242" i="5"/>
  <c r="AA242" i="5"/>
  <c r="AA187" i="5"/>
  <c r="AB187" i="5"/>
  <c r="AA116" i="5"/>
  <c r="AB116" i="5"/>
  <c r="AA507" i="5"/>
  <c r="AB507" i="5"/>
  <c r="AB336" i="5"/>
  <c r="AA336" i="5"/>
  <c r="AA26" i="5"/>
  <c r="AB26" i="5"/>
  <c r="AA146" i="5"/>
  <c r="AB146" i="5"/>
  <c r="AB161" i="5"/>
  <c r="AA161" i="5"/>
  <c r="AA516" i="5"/>
  <c r="AB516" i="5"/>
  <c r="AA124" i="5"/>
  <c r="AB124" i="5"/>
  <c r="AA522" i="5"/>
  <c r="AB522" i="5"/>
  <c r="AB165" i="5"/>
  <c r="AA165" i="5"/>
  <c r="AB503" i="5"/>
  <c r="AA503" i="5"/>
  <c r="AA184" i="5"/>
  <c r="AB184" i="5"/>
  <c r="AB190" i="5"/>
  <c r="AA190" i="5"/>
  <c r="AA137" i="5"/>
  <c r="AB137" i="5"/>
  <c r="AA24" i="5"/>
  <c r="AB24" i="5"/>
  <c r="AB234" i="5"/>
  <c r="AA234" i="5"/>
  <c r="AA106" i="5"/>
  <c r="AB106" i="5"/>
  <c r="AB8" i="5"/>
  <c r="AA8" i="5"/>
  <c r="AB159" i="5"/>
  <c r="AA159" i="5"/>
  <c r="AB483" i="5"/>
  <c r="AA483" i="5"/>
  <c r="AA317" i="5"/>
  <c r="AB317" i="5"/>
  <c r="AB320" i="5"/>
  <c r="AA320" i="5"/>
  <c r="AB84" i="5"/>
  <c r="AA84" i="5"/>
  <c r="AA169" i="5"/>
  <c r="AB169" i="5"/>
  <c r="AA408" i="5"/>
  <c r="AB408" i="5"/>
  <c r="AA450" i="5"/>
  <c r="AB450" i="5"/>
  <c r="AA222" i="5"/>
  <c r="AB222" i="5"/>
  <c r="AB65" i="5"/>
  <c r="AA65" i="5"/>
  <c r="AA449" i="5"/>
  <c r="AB449" i="5"/>
  <c r="AA414" i="5"/>
  <c r="AB414" i="5"/>
  <c r="AB63" i="5"/>
  <c r="AA63" i="5"/>
  <c r="AB409" i="5"/>
  <c r="AA409" i="5"/>
  <c r="AA13" i="5"/>
  <c r="AB13" i="5"/>
  <c r="AA119" i="5"/>
  <c r="AB119" i="5"/>
  <c r="AB352" i="5"/>
  <c r="AA352" i="5"/>
  <c r="AA431" i="5"/>
  <c r="AB431" i="5"/>
  <c r="AB196" i="5"/>
  <c r="AA196" i="5"/>
  <c r="AB542" i="5"/>
  <c r="AA542" i="5"/>
  <c r="AB543" i="5"/>
  <c r="AA543" i="5"/>
  <c r="AA202" i="5"/>
  <c r="AB202" i="5"/>
  <c r="AB182" i="5"/>
  <c r="AA182" i="5"/>
  <c r="AA435" i="5"/>
  <c r="AB435" i="5"/>
  <c r="AA98" i="5"/>
  <c r="AB98" i="5"/>
  <c r="AB348" i="5"/>
  <c r="AA348" i="5"/>
  <c r="AB510" i="5"/>
  <c r="AA510" i="5"/>
  <c r="AA288" i="5"/>
  <c r="AB288" i="5"/>
  <c r="AB107" i="5"/>
  <c r="AA107" i="5"/>
  <c r="AA34" i="5"/>
  <c r="AB34" i="5"/>
  <c r="AA378" i="5"/>
  <c r="AB378" i="5"/>
  <c r="AA337" i="5"/>
  <c r="AB337" i="5"/>
  <c r="AA246" i="5"/>
  <c r="AB246" i="5"/>
  <c r="AA80" i="5"/>
  <c r="AB80" i="5"/>
  <c r="AB375" i="5"/>
  <c r="AA375" i="5"/>
  <c r="AA41" i="5"/>
  <c r="AB41" i="5"/>
  <c r="AB420" i="5"/>
  <c r="AA420" i="5"/>
  <c r="AB388" i="5"/>
  <c r="AA388" i="5"/>
  <c r="AB345" i="5"/>
  <c r="AA345" i="5"/>
  <c r="AA520" i="5"/>
  <c r="AB520" i="5"/>
  <c r="AA162" i="5"/>
  <c r="AB162" i="5"/>
  <c r="AA557" i="5"/>
  <c r="AB557" i="5"/>
  <c r="AB289" i="5"/>
  <c r="AA289" i="5"/>
  <c r="AB225" i="5"/>
  <c r="AA225" i="5"/>
  <c r="AB188" i="5"/>
  <c r="AA188" i="5"/>
  <c r="AA102" i="5"/>
  <c r="AB102" i="5"/>
  <c r="AB253" i="5"/>
  <c r="AA253" i="5"/>
  <c r="AB560" i="5"/>
  <c r="AA560" i="5"/>
  <c r="AA397" i="5"/>
  <c r="AB397" i="5"/>
  <c r="AB463" i="5"/>
  <c r="AA463" i="5"/>
  <c r="AB109" i="5"/>
  <c r="AA109" i="5"/>
  <c r="AB358" i="5"/>
  <c r="AA358" i="5"/>
  <c r="AA364" i="5"/>
  <c r="AB364" i="5"/>
  <c r="AA316" i="5"/>
  <c r="AB316" i="5"/>
  <c r="AA121" i="5"/>
  <c r="AB121" i="5"/>
  <c r="AA468" i="5"/>
  <c r="AB468" i="5"/>
  <c r="AB548" i="5"/>
  <c r="AA548" i="5"/>
  <c r="AB238" i="5"/>
  <c r="AA238" i="5"/>
  <c r="AB40" i="5"/>
  <c r="AA40" i="5"/>
  <c r="AA125" i="5"/>
  <c r="AB125" i="5"/>
  <c r="AB309" i="5"/>
  <c r="AA309" i="5"/>
  <c r="AB217" i="5"/>
  <c r="AA217" i="5"/>
  <c r="AA553" i="5"/>
  <c r="AB553" i="5"/>
  <c r="AB544" i="5"/>
  <c r="AA544" i="5"/>
  <c r="AA133" i="5"/>
  <c r="AB133" i="5"/>
  <c r="AA267" i="5"/>
  <c r="AB267" i="5"/>
  <c r="AB209" i="5"/>
  <c r="AA209" i="5"/>
  <c r="AA559" i="5"/>
  <c r="AB559" i="5"/>
  <c r="AB291" i="5"/>
  <c r="AA291" i="5"/>
  <c r="AA305" i="5"/>
  <c r="AB305" i="5"/>
  <c r="AB558" i="5"/>
  <c r="AA558" i="5"/>
  <c r="AB97" i="5"/>
  <c r="AA97" i="5"/>
  <c r="AA314" i="5"/>
  <c r="AB314" i="5"/>
  <c r="AB497" i="5"/>
  <c r="AA497" i="5"/>
  <c r="AB374" i="5"/>
  <c r="AA374" i="5"/>
  <c r="AB372" i="5"/>
  <c r="AA372" i="5"/>
  <c r="AA355" i="5"/>
  <c r="AB355" i="5"/>
  <c r="AB303" i="5"/>
  <c r="AA303" i="5"/>
  <c r="AA120" i="5"/>
  <c r="AB120" i="5"/>
  <c r="AB481" i="5"/>
  <c r="AA481" i="5"/>
  <c r="AA104" i="5"/>
  <c r="AB104" i="5"/>
  <c r="AB443" i="5"/>
  <c r="AA443" i="5"/>
  <c r="AA524" i="5"/>
  <c r="AB524" i="5"/>
  <c r="AB504" i="5"/>
  <c r="AA504" i="5"/>
  <c r="AA178" i="5"/>
  <c r="AB178" i="5"/>
  <c r="AB263" i="5"/>
  <c r="AA263" i="5"/>
  <c r="AA94" i="5"/>
  <c r="AB94" i="5"/>
  <c r="AA330" i="5"/>
  <c r="AB330" i="5"/>
  <c r="AB276" i="5"/>
  <c r="AA276" i="5"/>
  <c r="AB457" i="5"/>
  <c r="AA457" i="5"/>
  <c r="AB226" i="5"/>
  <c r="AA226" i="5"/>
  <c r="AA318" i="5"/>
  <c r="AB318" i="5"/>
  <c r="AB179" i="5"/>
  <c r="AA179" i="5"/>
  <c r="AA282" i="5"/>
  <c r="AB282" i="5"/>
  <c r="AB166" i="5"/>
  <c r="AA166" i="5"/>
  <c r="AA480" i="5"/>
  <c r="AB480" i="5"/>
  <c r="AB494" i="5"/>
  <c r="AA494" i="5"/>
  <c r="AA464" i="5"/>
  <c r="AB464" i="5"/>
  <c r="AA471" i="5"/>
  <c r="AB471" i="5"/>
  <c r="AA27" i="5"/>
  <c r="AB27" i="5"/>
  <c r="AB475" i="5"/>
  <c r="AA475" i="5"/>
  <c r="AB204" i="5"/>
  <c r="AA204" i="5"/>
  <c r="AA440" i="5"/>
  <c r="AB440" i="5"/>
  <c r="AB426" i="5"/>
  <c r="AA426" i="5"/>
  <c r="AA518" i="5"/>
  <c r="AB518" i="5"/>
  <c r="AA19" i="5"/>
  <c r="AB19" i="5"/>
  <c r="AB221" i="5"/>
  <c r="AA221" i="5"/>
  <c r="AA470" i="5"/>
  <c r="AB470" i="5"/>
  <c r="AA144" i="5"/>
  <c r="AB144" i="5"/>
  <c r="AA66" i="5"/>
  <c r="AB66" i="5"/>
  <c r="AA79" i="5"/>
  <c r="AB79" i="5"/>
  <c r="AB240" i="5"/>
  <c r="AA240" i="5"/>
  <c r="AB338" i="5"/>
  <c r="AA338" i="5"/>
  <c r="AB193" i="5"/>
  <c r="AA193" i="5"/>
  <c r="AA177" i="5"/>
  <c r="AB177" i="5"/>
  <c r="AA354" i="5"/>
  <c r="AB354" i="5"/>
  <c r="AB473" i="5"/>
  <c r="AA473" i="5"/>
  <c r="AB362" i="5"/>
  <c r="AA362" i="5"/>
  <c r="AA429" i="5"/>
  <c r="AB429" i="5"/>
  <c r="AB365" i="5"/>
  <c r="AA365" i="5"/>
  <c r="AB200" i="5"/>
  <c r="AA200" i="5"/>
  <c r="AB433" i="5"/>
  <c r="AA433" i="5"/>
  <c r="AB484" i="5"/>
  <c r="AA484" i="5"/>
  <c r="AB43" i="5"/>
  <c r="AA43" i="5"/>
  <c r="AA356" i="5"/>
  <c r="AB356" i="5"/>
  <c r="AA163" i="5"/>
  <c r="AB163" i="5"/>
  <c r="AA131" i="5"/>
  <c r="AB131" i="5"/>
  <c r="AA439" i="5"/>
  <c r="AB439" i="5"/>
  <c r="AA322" i="5"/>
  <c r="AB322" i="5"/>
  <c r="AA327" i="5"/>
  <c r="AB327" i="5"/>
  <c r="AA138" i="5"/>
  <c r="AB138" i="5"/>
  <c r="AB218" i="5"/>
  <c r="AA218" i="5"/>
  <c r="AB129" i="5"/>
  <c r="AA129" i="5"/>
  <c r="AA361" i="5"/>
  <c r="AB361" i="5"/>
  <c r="AA312" i="5"/>
  <c r="AB312" i="5"/>
  <c r="AA81" i="5"/>
  <c r="AB81" i="5"/>
  <c r="AA100" i="5"/>
  <c r="AB100" i="5"/>
  <c r="AA241" i="5"/>
  <c r="AB241" i="5"/>
  <c r="AB488" i="5"/>
  <c r="AA488" i="5"/>
  <c r="AB205" i="5"/>
  <c r="AA205" i="5"/>
  <c r="AB299" i="5"/>
  <c r="AA299" i="5"/>
  <c r="AB402" i="5"/>
  <c r="AA402" i="5"/>
  <c r="AA335" i="5"/>
  <c r="AB335" i="5"/>
  <c r="AB549" i="5"/>
  <c r="AA549" i="5"/>
  <c r="AB447" i="5"/>
  <c r="AA447" i="5"/>
  <c r="AA192" i="5"/>
  <c r="AB192" i="5"/>
  <c r="AB486" i="5"/>
  <c r="AA486" i="5"/>
  <c r="AA346" i="5"/>
  <c r="AB346" i="5"/>
  <c r="AA363" i="5"/>
  <c r="AB363" i="5"/>
  <c r="AB88" i="5"/>
  <c r="AA88" i="5"/>
  <c r="AB223" i="5"/>
  <c r="AA223" i="5"/>
  <c r="AA342" i="5"/>
  <c r="AB342" i="5"/>
  <c r="AB278" i="5"/>
  <c r="AA278" i="5"/>
  <c r="AA530" i="5"/>
  <c r="AB530" i="5"/>
  <c r="AB432" i="5"/>
  <c r="AA432" i="5"/>
  <c r="AA490" i="5"/>
  <c r="AB490" i="5"/>
  <c r="AB62" i="5"/>
  <c r="AA62" i="5"/>
  <c r="AA57" i="5"/>
  <c r="AB57" i="5"/>
  <c r="AB259" i="5"/>
  <c r="AA259" i="5"/>
  <c r="AA181" i="5"/>
  <c r="AB181" i="5"/>
  <c r="AA78" i="5"/>
  <c r="AB78" i="5"/>
  <c r="AA376" i="5"/>
  <c r="AB376" i="5"/>
  <c r="AA509" i="5"/>
  <c r="AB509" i="5"/>
  <c r="AA233" i="5"/>
  <c r="AB233" i="5"/>
  <c r="AA554" i="5"/>
  <c r="AB554" i="5"/>
  <c r="AA417" i="5"/>
  <c r="AB417" i="5"/>
  <c r="AB379" i="5"/>
  <c r="AA379" i="5"/>
  <c r="AB211" i="5"/>
  <c r="AA211" i="5"/>
  <c r="AB528" i="5"/>
  <c r="AA528" i="5"/>
  <c r="AA459" i="5"/>
  <c r="AB459" i="5"/>
  <c r="AB350" i="5"/>
  <c r="AA350" i="5"/>
  <c r="AA243" i="5"/>
  <c r="AB243" i="5"/>
  <c r="AB451" i="5"/>
  <c r="AA451" i="5"/>
  <c r="AA444" i="5"/>
  <c r="AB444" i="5"/>
  <c r="AB385" i="5"/>
  <c r="AA385" i="5"/>
  <c r="AA323" i="5"/>
  <c r="AB323" i="5"/>
  <c r="AA99" i="5"/>
  <c r="AB99" i="5"/>
  <c r="AB136" i="5"/>
  <c r="AA136" i="5"/>
  <c r="AA157" i="5"/>
  <c r="AB157" i="5"/>
  <c r="AB210" i="5"/>
  <c r="AA210" i="5"/>
  <c r="AB49" i="5"/>
  <c r="AA49" i="5"/>
  <c r="AB201" i="5"/>
  <c r="AA201" i="5"/>
  <c r="AB383" i="5"/>
  <c r="AA383" i="5"/>
  <c r="AA153" i="5"/>
  <c r="AB153" i="5"/>
  <c r="AB479" i="5"/>
  <c r="AA479" i="5"/>
  <c r="AB224" i="5"/>
  <c r="AA224" i="5"/>
  <c r="AB394" i="5"/>
  <c r="AA394" i="5"/>
  <c r="AB176" i="5"/>
  <c r="AA176" i="5"/>
  <c r="AB173" i="5"/>
  <c r="AA173" i="5"/>
  <c r="AB108" i="5"/>
  <c r="AA108" i="5"/>
  <c r="AA307" i="5"/>
  <c r="AB307" i="5"/>
  <c r="AA113" i="5"/>
  <c r="AB113" i="5"/>
  <c r="AB32" i="5"/>
  <c r="AA32" i="5"/>
  <c r="AB396" i="5"/>
  <c r="AA396" i="5"/>
  <c r="AA541" i="5"/>
  <c r="AB541" i="5"/>
  <c r="AA423" i="5"/>
  <c r="AB423" i="5"/>
  <c r="AB294" i="5"/>
  <c r="AA294" i="5"/>
  <c r="AB70" i="5"/>
  <c r="AA70" i="5"/>
  <c r="AB284" i="5"/>
  <c r="AA284" i="5"/>
  <c r="AB42" i="5"/>
  <c r="AA42" i="5"/>
  <c r="AA268" i="5"/>
  <c r="AB268" i="5"/>
  <c r="AB286" i="5"/>
  <c r="AA286" i="5"/>
  <c r="AB392" i="5"/>
  <c r="AA392" i="5"/>
  <c r="AA158" i="5"/>
  <c r="AB158" i="5"/>
  <c r="AB250" i="5"/>
  <c r="AA250" i="5"/>
  <c r="AA489" i="5"/>
  <c r="AB489" i="5"/>
  <c r="AA551" i="5"/>
  <c r="AB551" i="5"/>
  <c r="AA160" i="5"/>
  <c r="AB160" i="5"/>
  <c r="AB340" i="5"/>
  <c r="AA340" i="5"/>
  <c r="AB117" i="5"/>
  <c r="AA117" i="5"/>
  <c r="AB519" i="5"/>
  <c r="AA519" i="5"/>
  <c r="AA220" i="5"/>
  <c r="AB220" i="5"/>
  <c r="AB437" i="5"/>
  <c r="AA437" i="5"/>
  <c r="AA478" i="5"/>
  <c r="AB478" i="5"/>
  <c r="AA550" i="5"/>
  <c r="AB550" i="5"/>
  <c r="AB167" i="5"/>
  <c r="AA167" i="5"/>
  <c r="AB155" i="5"/>
  <c r="AA155" i="5"/>
  <c r="AA56" i="5"/>
  <c r="AB56" i="5"/>
  <c r="AA86" i="5"/>
  <c r="AB86" i="5"/>
  <c r="AA472" i="5"/>
  <c r="AB472" i="5"/>
  <c r="AB189" i="5"/>
  <c r="AA189" i="5"/>
  <c r="AA292" i="5"/>
  <c r="AB292" i="5"/>
  <c r="AB391" i="5"/>
  <c r="AA391" i="5"/>
  <c r="AB123" i="5"/>
  <c r="AA123" i="5"/>
  <c r="AA227" i="5"/>
  <c r="AB227" i="5"/>
  <c r="AB37" i="5"/>
  <c r="AA37" i="5"/>
  <c r="AB147" i="5"/>
  <c r="AA147" i="5"/>
  <c r="AB290" i="5"/>
  <c r="AA290" i="5"/>
  <c r="AB251" i="5"/>
  <c r="AA251" i="5"/>
  <c r="AB421" i="5"/>
  <c r="AA421" i="5"/>
  <c r="AA168" i="5"/>
  <c r="AB168" i="5"/>
  <c r="AA126" i="5"/>
  <c r="AB126" i="5"/>
  <c r="AA103" i="5"/>
  <c r="AB103" i="5"/>
  <c r="AB369" i="5"/>
  <c r="AA369" i="5"/>
  <c r="AA61" i="5"/>
  <c r="AB61" i="5"/>
  <c r="AB272" i="5"/>
  <c r="AA272" i="5"/>
  <c r="AA118" i="5"/>
  <c r="AB118" i="5"/>
  <c r="AA266" i="5"/>
  <c r="AB266" i="5"/>
  <c r="AB195" i="5"/>
  <c r="AA195" i="5"/>
  <c r="AA287" i="5"/>
  <c r="AB287" i="5"/>
  <c r="AB270" i="5"/>
  <c r="AA270" i="5"/>
  <c r="AA428" i="5"/>
  <c r="AB428" i="5"/>
  <c r="AB351" i="5"/>
  <c r="AA351" i="5"/>
  <c r="AA387" i="5"/>
  <c r="AB387" i="5"/>
  <c r="AB513" i="5"/>
  <c r="AA513" i="5"/>
  <c r="AA373" i="5"/>
  <c r="AB373" i="5"/>
  <c r="AA180" i="5"/>
  <c r="AB180" i="5"/>
  <c r="AB311" i="5"/>
  <c r="AA311" i="5"/>
  <c r="AA445" i="5"/>
  <c r="AB445" i="5"/>
  <c r="AA38" i="5"/>
  <c r="AB38" i="5"/>
  <c r="AB69" i="5"/>
  <c r="AA69" i="5"/>
  <c r="AA72" i="5"/>
  <c r="AB72" i="5"/>
  <c r="AA35" i="5"/>
  <c r="AB35" i="5"/>
  <c r="AB555" i="5"/>
  <c r="AA555" i="5"/>
  <c r="AA546" i="5"/>
  <c r="AB546" i="5"/>
  <c r="AA448" i="5"/>
  <c r="AB448" i="5"/>
  <c r="AB96" i="5"/>
  <c r="AA96" i="5"/>
  <c r="AB319" i="5"/>
  <c r="AA319" i="5"/>
  <c r="AA237" i="5"/>
  <c r="AB237" i="5"/>
  <c r="AA430" i="5"/>
  <c r="AB430" i="5"/>
  <c r="AB183" i="5"/>
  <c r="AA183" i="5"/>
  <c r="AA95" i="5"/>
  <c r="AB95" i="5"/>
  <c r="AA245" i="5"/>
  <c r="AB245" i="5"/>
  <c r="AA76" i="5"/>
  <c r="AB76" i="5"/>
  <c r="AB89" i="5"/>
  <c r="AA89" i="5"/>
  <c r="AB44" i="5"/>
  <c r="AA44" i="5"/>
  <c r="AB135" i="5"/>
  <c r="AA135" i="5"/>
  <c r="AB283" i="5"/>
  <c r="AA283" i="5"/>
  <c r="AB514" i="5"/>
  <c r="AA514" i="5"/>
  <c r="AA461" i="5"/>
  <c r="AB461" i="5"/>
  <c r="AB68" i="5"/>
  <c r="AA68" i="5"/>
  <c r="AA500" i="5"/>
  <c r="AB500" i="5"/>
  <c r="AA191" i="5"/>
  <c r="AB191" i="5"/>
  <c r="AA436" i="5"/>
  <c r="AB436" i="5"/>
  <c r="AA377" i="5"/>
  <c r="AB377" i="5"/>
  <c r="AB51" i="5"/>
  <c r="AA51" i="5"/>
  <c r="AA331" i="5"/>
  <c r="AB331" i="5"/>
  <c r="AA492" i="5"/>
  <c r="AB492" i="5"/>
  <c r="AB197" i="5"/>
  <c r="AA197" i="5"/>
  <c r="AA232" i="5"/>
  <c r="AB232" i="5"/>
  <c r="AB71" i="5"/>
  <c r="AA71" i="5"/>
  <c r="AB20" i="5"/>
  <c r="AA20" i="5"/>
  <c r="AA257" i="5"/>
  <c r="AB257" i="5"/>
  <c r="AA239" i="5"/>
  <c r="AB239" i="5"/>
  <c r="AA82" i="5"/>
  <c r="AB82" i="5"/>
  <c r="AB460" i="5"/>
  <c r="AA460" i="5"/>
  <c r="AB274" i="5"/>
  <c r="AA274" i="5"/>
  <c r="AB410" i="5"/>
  <c r="AA410" i="5"/>
  <c r="AB264" i="5"/>
  <c r="AA264" i="5"/>
  <c r="AA149" i="5"/>
  <c r="AB149" i="5"/>
  <c r="AB45" i="5"/>
  <c r="AA45" i="5"/>
  <c r="AA401" i="5"/>
  <c r="AB401" i="5"/>
  <c r="AA529" i="5"/>
  <c r="AB529" i="5"/>
  <c r="AA91" i="5"/>
  <c r="AB91" i="5"/>
  <c r="AB405" i="5"/>
  <c r="AA405" i="5"/>
  <c r="AB175" i="5"/>
  <c r="AA175" i="5"/>
  <c r="AA501" i="5"/>
  <c r="AB501" i="5"/>
  <c r="AA31" i="5"/>
  <c r="AB31" i="5"/>
  <c r="AA244" i="5"/>
  <c r="AB244" i="5"/>
  <c r="AB260" i="5"/>
  <c r="AA260" i="5"/>
  <c r="AB170" i="5"/>
  <c r="AA170" i="5"/>
  <c r="AA539" i="5"/>
  <c r="AB539" i="5"/>
  <c r="AB512" i="5"/>
  <c r="AA512" i="5"/>
  <c r="AA406" i="5"/>
  <c r="AB406" i="5"/>
  <c r="AB343" i="5"/>
  <c r="AA343" i="5"/>
  <c r="AB452" i="5"/>
  <c r="AA452" i="5"/>
  <c r="AA353" i="5"/>
  <c r="AB353" i="5"/>
  <c r="AA556" i="5"/>
  <c r="AB556" i="5"/>
  <c r="AB441" i="5"/>
  <c r="AA441" i="5"/>
  <c r="AB67" i="5"/>
  <c r="AA67" i="5"/>
  <c r="AA344" i="5"/>
  <c r="AB344" i="5"/>
  <c r="AA371" i="5"/>
  <c r="AB371" i="5"/>
  <c r="AA164" i="5"/>
  <c r="AB164" i="5"/>
  <c r="AB150" i="5"/>
  <c r="AA150" i="5"/>
  <c r="AA101" i="5"/>
  <c r="AB101" i="5"/>
  <c r="AA293" i="5"/>
  <c r="AB293" i="5"/>
  <c r="AB185" i="5"/>
  <c r="AA185" i="5"/>
  <c r="AB398" i="5"/>
  <c r="AA398" i="5"/>
  <c r="AA105" i="5"/>
  <c r="AB105" i="5"/>
  <c r="AB425" i="5"/>
  <c r="AA425" i="5"/>
  <c r="AA545" i="5"/>
  <c r="AB545" i="5"/>
  <c r="AA174" i="5"/>
  <c r="AB174" i="5"/>
  <c r="AA360" i="5"/>
  <c r="AB360" i="5"/>
  <c r="AB58" i="5"/>
  <c r="AA58" i="5"/>
  <c r="AA29" i="5"/>
  <c r="AB29" i="5"/>
  <c r="AA532" i="5"/>
  <c r="AB532" i="5"/>
  <c r="AB295" i="5"/>
  <c r="AA295" i="5"/>
  <c r="AB83" i="5"/>
  <c r="AA83" i="5"/>
  <c r="AB477" i="5"/>
  <c r="AA477" i="5"/>
  <c r="AA151" i="5"/>
  <c r="AB151" i="5"/>
  <c r="AB261" i="5"/>
  <c r="AA261" i="5"/>
  <c r="AA235" i="5"/>
  <c r="AB235" i="5"/>
  <c r="AB328" i="5"/>
  <c r="AA328" i="5"/>
  <c r="AB381" i="5"/>
  <c r="AA381" i="5"/>
  <c r="AA538" i="5"/>
  <c r="AB538" i="5"/>
  <c r="AB540" i="5"/>
  <c r="AA540" i="5"/>
  <c r="AA298" i="5"/>
  <c r="AB298" i="5"/>
  <c r="AA74" i="5"/>
  <c r="AB74" i="5"/>
  <c r="AB370" i="5"/>
  <c r="AA370" i="5"/>
  <c r="AA231" i="5"/>
  <c r="AB231" i="5"/>
  <c r="AA384" i="5"/>
  <c r="AB384" i="5"/>
  <c r="AA523" i="5"/>
  <c r="AB523" i="5"/>
  <c r="AA214" i="5"/>
  <c r="AB214" i="5"/>
  <c r="AA140" i="5"/>
  <c r="AB140" i="5"/>
  <c r="AA326" i="5"/>
  <c r="AB326" i="5"/>
  <c r="AA213" i="5"/>
  <c r="AB213" i="5"/>
  <c r="AA73" i="5"/>
  <c r="AB73" i="5"/>
  <c r="AA339" i="5"/>
  <c r="AB339" i="5"/>
  <c r="AA258" i="5"/>
  <c r="AB258" i="5"/>
  <c r="AA508" i="5"/>
  <c r="AB508" i="5"/>
  <c r="AA517" i="5"/>
  <c r="AB517" i="5"/>
  <c r="AB466" i="5"/>
  <c r="AA466" i="5"/>
  <c r="AA301" i="5"/>
  <c r="AB301" i="5"/>
  <c r="AA413" i="5"/>
  <c r="AB413" i="5"/>
  <c r="AA534" i="5"/>
  <c r="AB534" i="5"/>
  <c r="AA48" i="5"/>
  <c r="AB48" i="5"/>
  <c r="AA547" i="5"/>
  <c r="AB547" i="5"/>
  <c r="AB36" i="5"/>
  <c r="AA36" i="5"/>
  <c r="AB156" i="5"/>
  <c r="AA156" i="5"/>
  <c r="AB321" i="5"/>
  <c r="AA321" i="5"/>
  <c r="AA212" i="5"/>
  <c r="AB212" i="5"/>
  <c r="AB474" i="5"/>
  <c r="AA474" i="5"/>
  <c r="AB476" i="5"/>
  <c r="AA476" i="5"/>
  <c r="AA228" i="5"/>
  <c r="AB228" i="5"/>
  <c r="AB30" i="5"/>
  <c r="AA30" i="5"/>
  <c r="AA521" i="5"/>
  <c r="AB521" i="5"/>
  <c r="AA458" i="5"/>
  <c r="AB458" i="5"/>
  <c r="AA254" i="5"/>
  <c r="AB254" i="5"/>
  <c r="AB247" i="5"/>
  <c r="AA247" i="5"/>
  <c r="AA75" i="5"/>
  <c r="AB75" i="5"/>
  <c r="AB46" i="5"/>
  <c r="AA46" i="5"/>
  <c r="AB380" i="5"/>
  <c r="AA380" i="5"/>
  <c r="AB310" i="5"/>
  <c r="AA310" i="5"/>
  <c r="AB256" i="5"/>
  <c r="AA256" i="5"/>
  <c r="AA325" i="5"/>
  <c r="AB325" i="5"/>
  <c r="AB28" i="5"/>
  <c r="AA28" i="5"/>
  <c r="AB400" i="5"/>
  <c r="AA400" i="5"/>
  <c r="AA127" i="5"/>
  <c r="AB127" i="5"/>
  <c r="AB279" i="5"/>
  <c r="AA279" i="5"/>
  <c r="AB442" i="5"/>
  <c r="AA442" i="5"/>
  <c r="AA22" i="5"/>
  <c r="AB22" i="5"/>
  <c r="AA208" i="5"/>
  <c r="AB208" i="5"/>
  <c r="AB302" i="5"/>
  <c r="AA302" i="5"/>
  <c r="AB395" i="5"/>
  <c r="AA395" i="5"/>
  <c r="AA465" i="5"/>
  <c r="AB465" i="5"/>
  <c r="AB207" i="5"/>
  <c r="AA207" i="5"/>
  <c r="AB236" i="5"/>
  <c r="AA236" i="5"/>
  <c r="AA506" i="5"/>
  <c r="AB506" i="5"/>
  <c r="AA55" i="5"/>
  <c r="AB55" i="5"/>
  <c r="AA143" i="5"/>
  <c r="AB143" i="5"/>
  <c r="AA315" i="5"/>
  <c r="AB315" i="5"/>
  <c r="AA407" i="5"/>
  <c r="AB407" i="5"/>
  <c r="AB265" i="5"/>
  <c r="AA265" i="5"/>
  <c r="AA415" i="5"/>
  <c r="AB415" i="5"/>
  <c r="AA59" i="5"/>
  <c r="AB59" i="5"/>
  <c r="AB171" i="5"/>
  <c r="AA171" i="5"/>
  <c r="AB25" i="5"/>
  <c r="AA25" i="5"/>
  <c r="AA110" i="5"/>
  <c r="AB110" i="5"/>
  <c r="AA498" i="5"/>
  <c r="AB498" i="5"/>
  <c r="AA64" i="5"/>
  <c r="AB64" i="5"/>
  <c r="AB349" i="5"/>
  <c r="AA349" i="5"/>
  <c r="AA85" i="5"/>
  <c r="AB85" i="5"/>
  <c r="AA280" i="5"/>
  <c r="AB280" i="5"/>
  <c r="AA493" i="5"/>
  <c r="AB493" i="5"/>
  <c r="AA198" i="5"/>
  <c r="AB198" i="5"/>
  <c r="AB296" i="5"/>
  <c r="AA296" i="5"/>
  <c r="AA533" i="5"/>
  <c r="AB533" i="5"/>
  <c r="AB313" i="5"/>
  <c r="AA313" i="5"/>
  <c r="AB386" i="5"/>
  <c r="AA386" i="5"/>
  <c r="AB482" i="5"/>
  <c r="AA482" i="5"/>
  <c r="AA399" i="5"/>
  <c r="AB399" i="5"/>
  <c r="AA275" i="5"/>
  <c r="AB275" i="5"/>
  <c r="AB306" i="5"/>
  <c r="AA306" i="5"/>
  <c r="AB412" i="5"/>
  <c r="AA412" i="5"/>
  <c r="AA152" i="5"/>
  <c r="AB152" i="5"/>
  <c r="AB262" i="5"/>
  <c r="AA262" i="5"/>
  <c r="AB368" i="5"/>
  <c r="AA368" i="5"/>
  <c r="AA332" i="5"/>
  <c r="AB332" i="5"/>
  <c r="AB141" i="5"/>
  <c r="AA141" i="5"/>
  <c r="AA50" i="5"/>
  <c r="AB50" i="5"/>
  <c r="AA422" i="5"/>
  <c r="AB422" i="5"/>
  <c r="AB269" i="5"/>
  <c r="AA269" i="5"/>
  <c r="AB324" i="5"/>
  <c r="AA324" i="5"/>
  <c r="AB229" i="5"/>
  <c r="AA229" i="5"/>
  <c r="AA446" i="5"/>
  <c r="AB446" i="5"/>
  <c r="AB347" i="5"/>
  <c r="AA347" i="5"/>
  <c r="AB515" i="5"/>
  <c r="AA515" i="5"/>
  <c r="AA139" i="5"/>
  <c r="AB139" i="5"/>
  <c r="AA39" i="5"/>
  <c r="AB39" i="5"/>
  <c r="AB87" i="5"/>
  <c r="AA87" i="5"/>
  <c r="AB122" i="5"/>
  <c r="AA122" i="5"/>
  <c r="AB33" i="5"/>
  <c r="AA33" i="5"/>
  <c r="AB467" i="5"/>
  <c r="AA467" i="5"/>
  <c r="AB393" i="5"/>
  <c r="AA393" i="5"/>
  <c r="AB206" i="5"/>
  <c r="AA206" i="5"/>
  <c r="AB199" i="5"/>
  <c r="AA199" i="5"/>
  <c r="AA525" i="5"/>
  <c r="AB525" i="5"/>
  <c r="AB148" i="5"/>
  <c r="AA148" i="5"/>
  <c r="AA511" i="5"/>
  <c r="AB511" i="5"/>
  <c r="AB203" i="5"/>
  <c r="AA203" i="5"/>
  <c r="AA455" i="5"/>
  <c r="AB455" i="5"/>
  <c r="AA308" i="5"/>
  <c r="AB308" i="5"/>
  <c r="AA252" i="5"/>
  <c r="AB252" i="5"/>
  <c r="B13" i="2" l="1"/>
  <c r="B31" i="5" l="1"/>
  <c r="O10" i="5" s="1"/>
  <c r="B70" i="2"/>
  <c r="B71" i="2" s="1"/>
  <c r="B54" i="2"/>
  <c r="B55" i="2" s="1"/>
  <c r="B62" i="2"/>
  <c r="B20" i="5"/>
  <c r="B14" i="2"/>
  <c r="B156" i="2"/>
  <c r="B162" i="2" s="1"/>
  <c r="B42" i="2"/>
  <c r="B168" i="2"/>
  <c r="B57" i="2"/>
  <c r="B70" i="5"/>
  <c r="O12" i="4"/>
  <c r="B248" i="2"/>
  <c r="B17" i="5"/>
  <c r="B197" i="2"/>
  <c r="B198" i="2" s="1"/>
  <c r="B206" i="2" s="1"/>
  <c r="B117" i="2"/>
  <c r="H41" i="1" s="1"/>
  <c r="B15" i="2"/>
  <c r="H15" i="1" s="1"/>
  <c r="B42" i="5"/>
  <c r="B65" i="2"/>
  <c r="B73" i="2"/>
  <c r="B35" i="2"/>
  <c r="B36" i="2" s="1"/>
  <c r="B45" i="2" s="1"/>
  <c r="H22" i="1" s="1"/>
  <c r="B40" i="2"/>
  <c r="B107" i="2"/>
  <c r="B266" i="2"/>
  <c r="B43" i="2" l="1"/>
  <c r="B104" i="2"/>
  <c r="B105" i="2" s="1"/>
  <c r="B63" i="2"/>
  <c r="K93" i="2"/>
  <c r="B204" i="2"/>
  <c r="B201" i="2"/>
  <c r="B202" i="2" s="1"/>
  <c r="B56" i="2"/>
  <c r="B94" i="2"/>
  <c r="B83" i="2"/>
  <c r="B58" i="2"/>
  <c r="B109" i="2" s="1"/>
  <c r="B196" i="2"/>
  <c r="B72" i="2"/>
  <c r="B95" i="2"/>
  <c r="B74" i="2"/>
  <c r="B75" i="2" s="1"/>
  <c r="AW10" i="5"/>
  <c r="AZ10" i="5"/>
  <c r="AT10" i="5"/>
  <c r="T10" i="5"/>
  <c r="AJ10" i="5"/>
  <c r="Z10" i="5"/>
  <c r="B43" i="5"/>
  <c r="W231" i="5"/>
  <c r="W249" i="5"/>
  <c r="W400" i="5"/>
  <c r="W436" i="5"/>
  <c r="W148" i="5"/>
  <c r="W20" i="5"/>
  <c r="W376" i="5"/>
  <c r="W410" i="5"/>
  <c r="W499" i="5"/>
  <c r="W109" i="5"/>
  <c r="W501" i="5"/>
  <c r="W262" i="5"/>
  <c r="W416" i="5"/>
  <c r="W83" i="5"/>
  <c r="W23" i="5"/>
  <c r="W511" i="5"/>
  <c r="W168" i="5"/>
  <c r="W317" i="5"/>
  <c r="W151" i="5"/>
  <c r="W212" i="5"/>
  <c r="W229" i="5"/>
  <c r="W541" i="5"/>
  <c r="W388" i="5"/>
  <c r="W305" i="5"/>
  <c r="W466" i="5"/>
  <c r="W381" i="5"/>
  <c r="W343" i="5"/>
  <c r="W239" i="5"/>
  <c r="W89" i="5"/>
  <c r="W115" i="5"/>
  <c r="W187" i="5"/>
  <c r="W497" i="5"/>
  <c r="W140" i="5"/>
  <c r="W253" i="5"/>
  <c r="W179" i="5"/>
  <c r="W207" i="5"/>
  <c r="W379" i="5"/>
  <c r="W217" i="5"/>
  <c r="W10" i="5"/>
  <c r="W293" i="5"/>
  <c r="W413" i="5"/>
  <c r="W415" i="5"/>
  <c r="W418" i="5"/>
  <c r="W297" i="5"/>
  <c r="W160" i="5"/>
  <c r="W110" i="5"/>
  <c r="W180" i="5"/>
  <c r="W144" i="5"/>
  <c r="W339" i="5"/>
  <c r="W36" i="5"/>
  <c r="W480" i="5"/>
  <c r="W42" i="5"/>
  <c r="W311" i="5"/>
  <c r="W198" i="5"/>
  <c r="W101" i="5"/>
  <c r="W422" i="5"/>
  <c r="W485" i="5"/>
  <c r="W30" i="5"/>
  <c r="W19" i="5"/>
  <c r="W552" i="5"/>
  <c r="W348" i="5"/>
  <c r="W166" i="5"/>
  <c r="W215" i="5"/>
  <c r="W414" i="5"/>
  <c r="W246" i="5"/>
  <c r="W121" i="5"/>
  <c r="W368" i="5"/>
  <c r="W84" i="5"/>
  <c r="W200" i="5"/>
  <c r="W393" i="5"/>
  <c r="W173" i="5"/>
  <c r="W443" i="5"/>
  <c r="W74" i="5"/>
  <c r="W296" i="5"/>
  <c r="W267" i="5"/>
  <c r="W133" i="5"/>
  <c r="W334" i="5"/>
  <c r="W25" i="5"/>
  <c r="W165" i="5"/>
  <c r="W142" i="5"/>
  <c r="W437" i="5"/>
  <c r="W295" i="5"/>
  <c r="W369" i="5"/>
  <c r="W278" i="5"/>
  <c r="W92" i="5"/>
  <c r="W482" i="5"/>
  <c r="W105" i="5"/>
  <c r="W351" i="5"/>
  <c r="W208" i="5"/>
  <c r="W507" i="5"/>
  <c r="W233" i="5"/>
  <c r="W438" i="5"/>
  <c r="W221" i="5"/>
  <c r="W395" i="5"/>
  <c r="W98" i="5"/>
  <c r="W52" i="5"/>
  <c r="W269" i="5"/>
  <c r="W209" i="5"/>
  <c r="W122" i="5"/>
  <c r="W540" i="5"/>
  <c r="W145" i="5"/>
  <c r="W440" i="5"/>
  <c r="W237" i="5"/>
  <c r="W314" i="5"/>
  <c r="W301" i="5"/>
  <c r="W352" i="5"/>
  <c r="W548" i="5"/>
  <c r="W412" i="5"/>
  <c r="W177" i="5"/>
  <c r="W248" i="5"/>
  <c r="W93" i="5"/>
  <c r="W327" i="5"/>
  <c r="W34" i="5"/>
  <c r="W555" i="5"/>
  <c r="W522" i="5"/>
  <c r="W409" i="5"/>
  <c r="W199" i="5"/>
  <c r="W335" i="5"/>
  <c r="W329" i="5"/>
  <c r="W473" i="5"/>
  <c r="W312" i="5"/>
  <c r="W238" i="5"/>
  <c r="W150" i="5"/>
  <c r="W380" i="5"/>
  <c r="W322" i="5"/>
  <c r="W331" i="5"/>
  <c r="W255" i="5"/>
  <c r="W474" i="5"/>
  <c r="W29" i="5"/>
  <c r="W556" i="5"/>
  <c r="W386" i="5"/>
  <c r="W375" i="5"/>
  <c r="W471" i="5"/>
  <c r="W80" i="5"/>
  <c r="W515" i="5"/>
  <c r="W87" i="5"/>
  <c r="W472" i="5"/>
  <c r="W496" i="5"/>
  <c r="W226" i="5"/>
  <c r="W508" i="5"/>
  <c r="W408" i="5"/>
  <c r="W65" i="5"/>
  <c r="W519" i="5"/>
  <c r="W182" i="5"/>
  <c r="W542" i="5"/>
  <c r="W433" i="5"/>
  <c r="W28" i="5"/>
  <c r="W154" i="5"/>
  <c r="W38" i="5"/>
  <c r="W242" i="5"/>
  <c r="W169" i="5"/>
  <c r="W90" i="5"/>
  <c r="W68" i="5"/>
  <c r="W271" i="5"/>
  <c r="W40" i="5"/>
  <c r="W423" i="5"/>
  <c r="W385" i="5"/>
  <c r="W315" i="5"/>
  <c r="W323" i="5"/>
  <c r="W453" i="5"/>
  <c r="W359" i="5"/>
  <c r="W69" i="5"/>
  <c r="W94" i="5"/>
  <c r="W537" i="5"/>
  <c r="W491" i="5"/>
  <c r="W70" i="5"/>
  <c r="W425" i="5"/>
  <c r="W158" i="5"/>
  <c r="W178" i="5"/>
  <c r="W476" i="5"/>
  <c r="W203" i="5"/>
  <c r="W44" i="5"/>
  <c r="W294" i="5"/>
  <c r="W60" i="5"/>
  <c r="W131" i="5"/>
  <c r="W454" i="5"/>
  <c r="W75" i="5"/>
  <c r="W426" i="5"/>
  <c r="W172" i="5"/>
  <c r="W256" i="5"/>
  <c r="W326" i="5"/>
  <c r="W553" i="5"/>
  <c r="W447" i="5"/>
  <c r="W434" i="5"/>
  <c r="W467" i="5"/>
  <c r="W37" i="5"/>
  <c r="W464" i="5"/>
  <c r="W358" i="5"/>
  <c r="W228" i="5"/>
  <c r="W300" i="5"/>
  <c r="W407" i="5"/>
  <c r="W486" i="5"/>
  <c r="W350" i="5"/>
  <c r="W549" i="5"/>
  <c r="W536" i="5"/>
  <c r="W117" i="5"/>
  <c r="W390" i="5"/>
  <c r="W214" i="5"/>
  <c r="W399" i="5"/>
  <c r="W371" i="5"/>
  <c r="W273" i="5"/>
  <c r="W492" i="5"/>
  <c r="W532" i="5"/>
  <c r="W204" i="5"/>
  <c r="W136" i="5"/>
  <c r="W243" i="5"/>
  <c r="W95" i="5"/>
  <c r="W216" i="5"/>
  <c r="W282" i="5"/>
  <c r="W302" i="5"/>
  <c r="W279" i="5"/>
  <c r="W31" i="5"/>
  <c r="W543" i="5"/>
  <c r="W106" i="5"/>
  <c r="W251" i="5"/>
  <c r="W245" i="5"/>
  <c r="W506" i="5"/>
  <c r="W505" i="5"/>
  <c r="W502" i="5"/>
  <c r="W235" i="5"/>
  <c r="W62" i="5"/>
  <c r="W224" i="5"/>
  <c r="W487" i="5"/>
  <c r="W47" i="5"/>
  <c r="W382" i="5"/>
  <c r="W220" i="5"/>
  <c r="W35" i="5"/>
  <c r="W420" i="5"/>
  <c r="W266" i="5"/>
  <c r="W394" i="5"/>
  <c r="W364" i="5"/>
  <c r="W435" i="5"/>
  <c r="W164" i="5"/>
  <c r="W114" i="5"/>
  <c r="W392" i="5"/>
  <c r="W465" i="5"/>
  <c r="W59" i="5"/>
  <c r="W349" i="5"/>
  <c r="W211" i="5"/>
  <c r="W167" i="5"/>
  <c r="W138" i="5"/>
  <c r="W504" i="5"/>
  <c r="W257" i="5"/>
  <c r="W247" i="5"/>
  <c r="W517" i="5"/>
  <c r="W461" i="5"/>
  <c r="W360" i="5"/>
  <c r="W64" i="5"/>
  <c r="W123" i="5"/>
  <c r="W298" i="5"/>
  <c r="W141" i="5"/>
  <c r="W307" i="5"/>
  <c r="W325" i="5"/>
  <c r="W452" i="5"/>
  <c r="W32" i="5"/>
  <c r="W442" i="5"/>
  <c r="W469" i="5"/>
  <c r="W196" i="5"/>
  <c r="W367" i="5"/>
  <c r="W459" i="5"/>
  <c r="W421" i="5"/>
  <c r="W281" i="5"/>
  <c r="W355" i="5"/>
  <c r="W85" i="5"/>
  <c r="W139" i="5"/>
  <c r="W76" i="5"/>
  <c r="W526" i="5"/>
  <c r="W309" i="5"/>
  <c r="W468" i="5"/>
  <c r="W191" i="5"/>
  <c r="W176" i="5"/>
  <c r="W265" i="5"/>
  <c r="W374" i="5"/>
  <c r="W332" i="5"/>
  <c r="W272" i="5"/>
  <c r="W346" i="5"/>
  <c r="W67" i="5"/>
  <c r="W481" i="5"/>
  <c r="W450" i="5"/>
  <c r="W488" i="5"/>
  <c r="W189" i="5"/>
  <c r="W119" i="5"/>
  <c r="W197" i="5"/>
  <c r="W304" i="5"/>
  <c r="W299" i="5"/>
  <c r="W558" i="5"/>
  <c r="W268" i="5"/>
  <c r="W88" i="5"/>
  <c r="W523" i="5"/>
  <c r="W503" i="5"/>
  <c r="W303" i="5"/>
  <c r="W403" i="5"/>
  <c r="W475" i="5"/>
  <c r="W157" i="5"/>
  <c r="W50" i="5"/>
  <c r="W71" i="5"/>
  <c r="W56" i="5"/>
  <c r="W338" i="5"/>
  <c r="W186" i="5"/>
  <c r="W125" i="5"/>
  <c r="W354" i="5"/>
  <c r="W545" i="5"/>
  <c r="W111" i="5"/>
  <c r="W306" i="5"/>
  <c r="W33" i="5"/>
  <c r="W223" i="5"/>
  <c r="W534" i="5"/>
  <c r="W328" i="5"/>
  <c r="W82" i="5"/>
  <c r="W455" i="5"/>
  <c r="W49" i="5"/>
  <c r="W366" i="5"/>
  <c r="W183" i="5"/>
  <c r="W318" i="5"/>
  <c r="W533" i="5"/>
  <c r="W39" i="5"/>
  <c r="W495" i="5"/>
  <c r="W361" i="5"/>
  <c r="W402" i="5"/>
  <c r="W73" i="5"/>
  <c r="W405" i="5"/>
  <c r="W554" i="5"/>
  <c r="W58" i="5"/>
  <c r="W21" i="5"/>
  <c r="W97" i="5"/>
  <c r="W149" i="5"/>
  <c r="W347" i="5"/>
  <c r="W383" i="5"/>
  <c r="W451" i="5"/>
  <c r="W518" i="5"/>
  <c r="W406" i="5"/>
  <c r="W557" i="5"/>
  <c r="W462" i="5"/>
  <c r="W330" i="5"/>
  <c r="W100" i="5"/>
  <c r="W477" i="5"/>
  <c r="W108" i="5"/>
  <c r="W241" i="5"/>
  <c r="W77" i="5"/>
  <c r="W286" i="5"/>
  <c r="W490" i="5"/>
  <c r="W547" i="5"/>
  <c r="W458" i="5"/>
  <c r="W377" i="5"/>
  <c r="W72" i="5"/>
  <c r="W550" i="5"/>
  <c r="W512" i="5"/>
  <c r="W146" i="5"/>
  <c r="W270" i="5"/>
  <c r="W290" i="5"/>
  <c r="W531" i="5"/>
  <c r="W86" i="5"/>
  <c r="W161" i="5"/>
  <c r="W484" i="5"/>
  <c r="W356" i="5"/>
  <c r="W45" i="5"/>
  <c r="W539" i="5"/>
  <c r="W538" i="5"/>
  <c r="W316" i="5"/>
  <c r="W171" i="5"/>
  <c r="W24" i="5"/>
  <c r="W521" i="5"/>
  <c r="W446" i="5"/>
  <c r="W320" i="5"/>
  <c r="W510" i="5"/>
  <c r="W276" i="5"/>
  <c r="W46" i="5"/>
  <c r="W353" i="5"/>
  <c r="W188" i="5"/>
  <c r="W373" i="5"/>
  <c r="W513" i="5"/>
  <c r="W130" i="5"/>
  <c r="W127" i="5"/>
  <c r="W254" i="5"/>
  <c r="W288" i="5"/>
  <c r="W365" i="5"/>
  <c r="W193" i="5"/>
  <c r="W8" i="5"/>
  <c r="W258" i="5"/>
  <c r="W184" i="5"/>
  <c r="W509" i="5"/>
  <c r="W192" i="5"/>
  <c r="W124" i="5"/>
  <c r="W259" i="5"/>
  <c r="W551" i="5"/>
  <c r="W524" i="5"/>
  <c r="W389" i="5"/>
  <c r="W274" i="5"/>
  <c r="W120" i="5"/>
  <c r="W126" i="5"/>
  <c r="W12" i="5"/>
  <c r="W319" i="5"/>
  <c r="W457" i="5"/>
  <c r="W396" i="5"/>
  <c r="W53" i="5"/>
  <c r="W205" i="5"/>
  <c r="W445" i="5"/>
  <c r="W357" i="5"/>
  <c r="W287" i="5"/>
  <c r="W341" i="5"/>
  <c r="W308" i="5"/>
  <c r="W285" i="5"/>
  <c r="W345" i="5"/>
  <c r="W283" i="5"/>
  <c r="W61" i="5"/>
  <c r="W559" i="5"/>
  <c r="W132" i="5"/>
  <c r="W498" i="5"/>
  <c r="W63" i="5"/>
  <c r="W54" i="5"/>
  <c r="W181" i="5"/>
  <c r="W419" i="5"/>
  <c r="W48" i="5"/>
  <c r="W560" i="5"/>
  <c r="W91" i="5"/>
  <c r="W155" i="5"/>
  <c r="W222" i="5"/>
  <c r="W234" i="5"/>
  <c r="W170" i="5"/>
  <c r="W516" i="5"/>
  <c r="W236" i="5"/>
  <c r="W147" i="5"/>
  <c r="W444" i="5"/>
  <c r="W493" i="5"/>
  <c r="W252" i="5"/>
  <c r="W227" i="5"/>
  <c r="W225" i="5"/>
  <c r="W143" i="5"/>
  <c r="W194" i="5"/>
  <c r="W479" i="5"/>
  <c r="W404" i="5"/>
  <c r="W372" i="5"/>
  <c r="W441" i="5"/>
  <c r="W41" i="5"/>
  <c r="W213" i="5"/>
  <c r="W280" i="5"/>
  <c r="W162" i="5"/>
  <c r="W128" i="5"/>
  <c r="W107" i="5"/>
  <c r="W275" i="5"/>
  <c r="W134" i="5"/>
  <c r="W201" i="5"/>
  <c r="W514" i="5"/>
  <c r="W546" i="5"/>
  <c r="W470" i="5"/>
  <c r="W277" i="5"/>
  <c r="W289" i="5"/>
  <c r="W378" i="5"/>
  <c r="W432" i="5"/>
  <c r="W99" i="5"/>
  <c r="W51" i="5"/>
  <c r="W118" i="5"/>
  <c r="W78" i="5"/>
  <c r="W324" i="5"/>
  <c r="W460" i="5"/>
  <c r="W219" i="5"/>
  <c r="W313" i="5"/>
  <c r="W113" i="5"/>
  <c r="W363" i="5"/>
  <c r="W195" i="5"/>
  <c r="W528" i="5"/>
  <c r="W57" i="5"/>
  <c r="W103" i="5"/>
  <c r="W337" i="5"/>
  <c r="W244" i="5"/>
  <c r="W163" i="5"/>
  <c r="W439" i="5"/>
  <c r="W384" i="5"/>
  <c r="W342" i="5"/>
  <c r="W529" i="5"/>
  <c r="W431" i="5"/>
  <c r="W417" i="5"/>
  <c r="W478" i="5"/>
  <c r="W260" i="5"/>
  <c r="W261" i="5"/>
  <c r="W210" i="5"/>
  <c r="W153" i="5"/>
  <c r="W291" i="5"/>
  <c r="W500" i="5"/>
  <c r="W55" i="5"/>
  <c r="W530" i="5"/>
  <c r="W430" i="5"/>
  <c r="W232" i="5"/>
  <c r="W520" i="5"/>
  <c r="W240" i="5"/>
  <c r="W174" i="5"/>
  <c r="W340" i="5"/>
  <c r="W190" i="5"/>
  <c r="W387" i="5"/>
  <c r="W43" i="5"/>
  <c r="W250" i="5"/>
  <c r="W27" i="5"/>
  <c r="W401" i="5"/>
  <c r="O9" i="5"/>
  <c r="W333" i="5"/>
  <c r="W81" i="5"/>
  <c r="W427" i="5"/>
  <c r="W292" i="5"/>
  <c r="W456" i="5"/>
  <c r="W397" i="5"/>
  <c r="W129" i="5"/>
  <c r="W230" i="5"/>
  <c r="W489" i="5"/>
  <c r="W66" i="5"/>
  <c r="W362" i="5"/>
  <c r="W535" i="5"/>
  <c r="W424" i="5"/>
  <c r="W483" i="5"/>
  <c r="W391" i="5"/>
  <c r="W104" i="5"/>
  <c r="W22" i="5"/>
  <c r="W398" i="5"/>
  <c r="W159" i="5"/>
  <c r="W218" i="5"/>
  <c r="W202" i="5"/>
  <c r="W544" i="5"/>
  <c r="W429" i="5"/>
  <c r="W137" i="5"/>
  <c r="W449" i="5"/>
  <c r="W116" i="5"/>
  <c r="W96" i="5"/>
  <c r="W206" i="5"/>
  <c r="W264" i="5"/>
  <c r="W411" i="5"/>
  <c r="W102" i="5"/>
  <c r="W152" i="5"/>
  <c r="W525" i="5"/>
  <c r="W527" i="5"/>
  <c r="W284" i="5"/>
  <c r="W13" i="5"/>
  <c r="W336" i="5"/>
  <c r="W112" i="5"/>
  <c r="W321" i="5"/>
  <c r="W370" i="5"/>
  <c r="W310" i="5"/>
  <c r="W156" i="5"/>
  <c r="W263" i="5"/>
  <c r="W463" i="5"/>
  <c r="W428" i="5"/>
  <c r="W175" i="5"/>
  <c r="W79" i="5"/>
  <c r="W494" i="5"/>
  <c r="W448" i="5"/>
  <c r="W135" i="5"/>
  <c r="W26" i="5"/>
  <c r="W344" i="5"/>
  <c r="W185" i="5"/>
  <c r="B211" i="2"/>
  <c r="B216" i="2" s="1"/>
  <c r="B77" i="5"/>
  <c r="B72" i="5"/>
  <c r="B160" i="2"/>
  <c r="P7" i="5" s="1"/>
  <c r="B36" i="5"/>
  <c r="B73" i="5"/>
  <c r="B112" i="2"/>
  <c r="S21" i="4"/>
  <c r="V21" i="4" s="1"/>
  <c r="S61" i="4"/>
  <c r="V61" i="4" s="1"/>
  <c r="S142" i="4"/>
  <c r="V142" i="4" s="1"/>
  <c r="S9" i="4"/>
  <c r="V9" i="4" s="1"/>
  <c r="S12" i="4"/>
  <c r="V12" i="4" s="1"/>
  <c r="S154" i="4"/>
  <c r="V154" i="4" s="1"/>
  <c r="S80" i="4"/>
  <c r="V80" i="4" s="1"/>
  <c r="S25" i="4"/>
  <c r="V25" i="4" s="1"/>
  <c r="S103" i="4"/>
  <c r="V103" i="4" s="1"/>
  <c r="S67" i="4"/>
  <c r="V67" i="4" s="1"/>
  <c r="S150" i="4"/>
  <c r="V150" i="4" s="1"/>
  <c r="S39" i="4"/>
  <c r="V39" i="4" s="1"/>
  <c r="S71" i="4"/>
  <c r="V71" i="4" s="1"/>
  <c r="S36" i="4"/>
  <c r="V36" i="4" s="1"/>
  <c r="S54" i="4"/>
  <c r="V54" i="4" s="1"/>
  <c r="S95" i="4"/>
  <c r="V95" i="4" s="1"/>
  <c r="S19" i="4"/>
  <c r="V19" i="4" s="1"/>
  <c r="S141" i="4"/>
  <c r="V141" i="4" s="1"/>
  <c r="S57" i="4"/>
  <c r="V57" i="4" s="1"/>
  <c r="S108" i="4"/>
  <c r="V108" i="4" s="1"/>
  <c r="S49" i="4"/>
  <c r="V49" i="4" s="1"/>
  <c r="S143" i="4"/>
  <c r="V143" i="4" s="1"/>
  <c r="S138" i="4"/>
  <c r="V138" i="4" s="1"/>
  <c r="S62" i="4"/>
  <c r="V62" i="4" s="1"/>
  <c r="S111" i="4"/>
  <c r="V111" i="4" s="1"/>
  <c r="S31" i="4"/>
  <c r="V31" i="4" s="1"/>
  <c r="S70" i="4"/>
  <c r="V70" i="4" s="1"/>
  <c r="S102" i="4"/>
  <c r="V102" i="4" s="1"/>
  <c r="S157" i="4"/>
  <c r="V157" i="4" s="1"/>
  <c r="S14" i="4"/>
  <c r="V14" i="4" s="1"/>
  <c r="S51" i="4"/>
  <c r="V51" i="4" s="1"/>
  <c r="S28" i="4"/>
  <c r="V28" i="4" s="1"/>
  <c r="S13" i="4"/>
  <c r="V13" i="4" s="1"/>
  <c r="S33" i="4"/>
  <c r="V33" i="4" s="1"/>
  <c r="S148" i="4"/>
  <c r="V148" i="4" s="1"/>
  <c r="S46" i="4"/>
  <c r="V46" i="4" s="1"/>
  <c r="S155" i="4"/>
  <c r="V155" i="4" s="1"/>
  <c r="S52" i="4"/>
  <c r="V52" i="4" s="1"/>
  <c r="S10" i="4"/>
  <c r="V10" i="4" s="1"/>
  <c r="S56" i="4"/>
  <c r="V56" i="4" s="1"/>
  <c r="S92" i="4"/>
  <c r="V92" i="4" s="1"/>
  <c r="S145" i="4"/>
  <c r="V145" i="4" s="1"/>
  <c r="S84" i="4"/>
  <c r="V84" i="4" s="1"/>
  <c r="S50" i="4"/>
  <c r="V50" i="4" s="1"/>
  <c r="S73" i="4"/>
  <c r="V73" i="4" s="1"/>
  <c r="S101" i="4"/>
  <c r="V101" i="4" s="1"/>
  <c r="S24" i="4"/>
  <c r="V24" i="4" s="1"/>
  <c r="S68" i="4"/>
  <c r="V68" i="4" s="1"/>
  <c r="S133" i="4"/>
  <c r="V133" i="4" s="1"/>
  <c r="S117" i="4"/>
  <c r="V117" i="4" s="1"/>
  <c r="S144" i="4"/>
  <c r="V144" i="4" s="1"/>
  <c r="S96" i="4"/>
  <c r="V96" i="4" s="1"/>
  <c r="S152" i="4"/>
  <c r="V152" i="4" s="1"/>
  <c r="S44" i="4"/>
  <c r="V44" i="4" s="1"/>
  <c r="S35" i="4"/>
  <c r="V35" i="4" s="1"/>
  <c r="S37" i="4"/>
  <c r="V37" i="4" s="1"/>
  <c r="S38" i="4"/>
  <c r="V38" i="4" s="1"/>
  <c r="S17" i="4"/>
  <c r="V17" i="4" s="1"/>
  <c r="S128" i="4"/>
  <c r="V128" i="4" s="1"/>
  <c r="S48" i="4"/>
  <c r="V48" i="4" s="1"/>
  <c r="S124" i="4"/>
  <c r="V124" i="4" s="1"/>
  <c r="S93" i="4"/>
  <c r="V93" i="4" s="1"/>
  <c r="S118" i="4"/>
  <c r="V118" i="4" s="1"/>
  <c r="S41" i="4"/>
  <c r="V41" i="4" s="1"/>
  <c r="S75" i="4"/>
  <c r="V75" i="4" s="1"/>
  <c r="S7" i="4"/>
  <c r="V7" i="4" s="1"/>
  <c r="S106" i="4"/>
  <c r="V106" i="4" s="1"/>
  <c r="S83" i="4"/>
  <c r="V83" i="4" s="1"/>
  <c r="S26" i="4"/>
  <c r="V26" i="4" s="1"/>
  <c r="S30" i="4"/>
  <c r="V30" i="4" s="1"/>
  <c r="S97" i="4"/>
  <c r="V97" i="4" s="1"/>
  <c r="S76" i="4"/>
  <c r="V76" i="4" s="1"/>
  <c r="S127" i="4"/>
  <c r="V127" i="4" s="1"/>
  <c r="S132" i="4"/>
  <c r="V132" i="4" s="1"/>
  <c r="S88" i="4"/>
  <c r="V88" i="4" s="1"/>
  <c r="S34" i="4"/>
  <c r="V34" i="4" s="1"/>
  <c r="S110" i="4"/>
  <c r="V110" i="4" s="1"/>
  <c r="S59" i="4"/>
  <c r="V59" i="4" s="1"/>
  <c r="S114" i="4"/>
  <c r="V114" i="4" s="1"/>
  <c r="S53" i="4"/>
  <c r="V53" i="4" s="1"/>
  <c r="S18" i="4"/>
  <c r="V18" i="4" s="1"/>
  <c r="S42" i="4"/>
  <c r="V42" i="4" s="1"/>
  <c r="S140" i="4"/>
  <c r="V140" i="4" s="1"/>
  <c r="S113" i="4"/>
  <c r="V113" i="4" s="1"/>
  <c r="S123" i="4"/>
  <c r="V123" i="4" s="1"/>
  <c r="S15" i="4"/>
  <c r="V15" i="4" s="1"/>
  <c r="S69" i="4"/>
  <c r="V69" i="4" s="1"/>
  <c r="S87" i="4"/>
  <c r="V87" i="4" s="1"/>
  <c r="S156" i="4"/>
  <c r="V156" i="4" s="1"/>
  <c r="S94" i="4"/>
  <c r="V94" i="4" s="1"/>
  <c r="S20" i="4"/>
  <c r="V20" i="4" s="1"/>
  <c r="S109" i="4"/>
  <c r="V109" i="4" s="1"/>
  <c r="S60" i="4"/>
  <c r="V60" i="4" s="1"/>
  <c r="S86" i="4"/>
  <c r="V86" i="4" s="1"/>
  <c r="S27" i="4"/>
  <c r="V27" i="4" s="1"/>
  <c r="S91" i="4"/>
  <c r="V91" i="4" s="1"/>
  <c r="S77" i="4"/>
  <c r="V77" i="4" s="1"/>
  <c r="S8" i="4"/>
  <c r="V8" i="4" s="1"/>
  <c r="S135" i="4"/>
  <c r="V135" i="4" s="1"/>
  <c r="S136" i="4"/>
  <c r="V136" i="4" s="1"/>
  <c r="S58" i="4"/>
  <c r="V58" i="4" s="1"/>
  <c r="S120" i="4"/>
  <c r="V120" i="4" s="1"/>
  <c r="S47" i="4"/>
  <c r="V47" i="4" s="1"/>
  <c r="S151" i="4"/>
  <c r="V151" i="4" s="1"/>
  <c r="S40" i="4"/>
  <c r="V40" i="4" s="1"/>
  <c r="S32" i="4"/>
  <c r="V32" i="4" s="1"/>
  <c r="S55" i="4"/>
  <c r="V55" i="4" s="1"/>
  <c r="S89" i="4"/>
  <c r="V89" i="4" s="1"/>
  <c r="S153" i="4"/>
  <c r="V153" i="4" s="1"/>
  <c r="S121" i="4"/>
  <c r="V121" i="4" s="1"/>
  <c r="S104" i="4"/>
  <c r="V104" i="4" s="1"/>
  <c r="S129" i="4"/>
  <c r="V129" i="4" s="1"/>
  <c r="S22" i="4"/>
  <c r="V22" i="4" s="1"/>
  <c r="S90" i="4"/>
  <c r="V90" i="4" s="1"/>
  <c r="S105" i="4"/>
  <c r="V105" i="4" s="1"/>
  <c r="S122" i="4"/>
  <c r="V122" i="4" s="1"/>
  <c r="S149" i="4"/>
  <c r="V149" i="4" s="1"/>
  <c r="S147" i="4"/>
  <c r="V147" i="4" s="1"/>
  <c r="S78" i="4"/>
  <c r="V78" i="4" s="1"/>
  <c r="S98" i="4"/>
  <c r="V98" i="4" s="1"/>
  <c r="S125" i="4"/>
  <c r="V125" i="4" s="1"/>
  <c r="S72" i="4"/>
  <c r="V72" i="4" s="1"/>
  <c r="S16" i="4"/>
  <c r="V16" i="4" s="1"/>
  <c r="S29" i="4"/>
  <c r="V29" i="4" s="1"/>
  <c r="S66" i="4"/>
  <c r="V66" i="4" s="1"/>
  <c r="S126" i="4"/>
  <c r="V126" i="4" s="1"/>
  <c r="S82" i="4"/>
  <c r="V82" i="4" s="1"/>
  <c r="S64" i="4"/>
  <c r="V64" i="4" s="1"/>
  <c r="S115" i="4"/>
  <c r="V115" i="4" s="1"/>
  <c r="S45" i="4"/>
  <c r="V45" i="4" s="1"/>
  <c r="S130" i="4"/>
  <c r="V130" i="4" s="1"/>
  <c r="S99" i="4"/>
  <c r="V99" i="4" s="1"/>
  <c r="S23" i="4"/>
  <c r="V23" i="4" s="1"/>
  <c r="S116" i="4"/>
  <c r="V116" i="4" s="1"/>
  <c r="S139" i="4"/>
  <c r="V139" i="4" s="1"/>
  <c r="S146" i="4"/>
  <c r="V146" i="4" s="1"/>
  <c r="S134" i="4"/>
  <c r="V134" i="4" s="1"/>
  <c r="S81" i="4"/>
  <c r="V81" i="4" s="1"/>
  <c r="S43" i="4"/>
  <c r="V43" i="4" s="1"/>
  <c r="S79" i="4"/>
  <c r="V79" i="4" s="1"/>
  <c r="S112" i="4"/>
  <c r="V112" i="4" s="1"/>
  <c r="S137" i="4"/>
  <c r="V137" i="4" s="1"/>
  <c r="S100" i="4"/>
  <c r="V100" i="4" s="1"/>
  <c r="S65" i="4"/>
  <c r="V65" i="4" s="1"/>
  <c r="S11" i="4"/>
  <c r="V11" i="4" s="1"/>
  <c r="S107" i="4"/>
  <c r="V107" i="4" s="1"/>
  <c r="S119" i="4"/>
  <c r="V119" i="4" s="1"/>
  <c r="S85" i="4"/>
  <c r="V85" i="4" s="1"/>
  <c r="S131" i="4"/>
  <c r="V131" i="4" s="1"/>
  <c r="S74" i="4"/>
  <c r="V74" i="4" s="1"/>
  <c r="S63" i="4"/>
  <c r="V63" i="4" s="1"/>
  <c r="B268" i="2"/>
  <c r="B267" i="2"/>
  <c r="B249" i="2"/>
  <c r="B250" i="2"/>
  <c r="B169" i="2"/>
  <c r="W7" i="5"/>
  <c r="Q7" i="5"/>
  <c r="B163" i="2"/>
  <c r="B181" i="2" s="1"/>
  <c r="B80" i="2" l="1"/>
  <c r="B108" i="2"/>
  <c r="H36" i="1" s="1"/>
  <c r="B59" i="2"/>
  <c r="H25" i="1" s="1"/>
  <c r="W79" i="4"/>
  <c r="AM79" i="4"/>
  <c r="W64" i="4"/>
  <c r="Y64" i="4" s="1"/>
  <c r="AR64" i="4" s="1"/>
  <c r="AM64" i="4"/>
  <c r="AM122" i="4"/>
  <c r="W122" i="4"/>
  <c r="AM151" i="4"/>
  <c r="W151" i="4"/>
  <c r="W109" i="4"/>
  <c r="AM109" i="4"/>
  <c r="W53" i="4"/>
  <c r="Y53" i="4" s="1"/>
  <c r="AR53" i="4" s="1"/>
  <c r="AM53" i="4"/>
  <c r="AM83" i="4"/>
  <c r="W83" i="4"/>
  <c r="Y83" i="4" s="1"/>
  <c r="AR83" i="4" s="1"/>
  <c r="W37" i="4"/>
  <c r="Y37" i="4" s="1"/>
  <c r="AR37" i="4" s="1"/>
  <c r="AM37" i="4"/>
  <c r="W50" i="4"/>
  <c r="Y50" i="4" s="1"/>
  <c r="AR50" i="4" s="1"/>
  <c r="AM50" i="4"/>
  <c r="AM28" i="4"/>
  <c r="W28" i="4"/>
  <c r="Y28" i="4" s="1"/>
  <c r="AR28" i="4" s="1"/>
  <c r="W108" i="4"/>
  <c r="AM108" i="4"/>
  <c r="W25" i="4"/>
  <c r="Y25" i="4" s="1"/>
  <c r="AR25" i="4" s="1"/>
  <c r="AM25" i="4"/>
  <c r="W63" i="4"/>
  <c r="AM63" i="4"/>
  <c r="AM119" i="4"/>
  <c r="W119" i="4"/>
  <c r="Y119" i="4" s="1"/>
  <c r="AR119" i="4" s="1"/>
  <c r="AM139" i="4"/>
  <c r="W139" i="4"/>
  <c r="Y139" i="4" s="1"/>
  <c r="AR139" i="4" s="1"/>
  <c r="W16" i="4"/>
  <c r="Y16" i="4" s="1"/>
  <c r="AR16" i="4" s="1"/>
  <c r="AM16" i="4"/>
  <c r="W104" i="4"/>
  <c r="Y104" i="4" s="1"/>
  <c r="AR104" i="4" s="1"/>
  <c r="AM104" i="4"/>
  <c r="AM135" i="4"/>
  <c r="W135" i="4"/>
  <c r="AM69" i="4"/>
  <c r="W69" i="4"/>
  <c r="W88" i="4"/>
  <c r="Y88" i="4" s="1"/>
  <c r="AR88" i="4" s="1"/>
  <c r="AM88" i="4"/>
  <c r="AM97" i="4"/>
  <c r="W97" i="4"/>
  <c r="AM128" i="4"/>
  <c r="W128" i="4"/>
  <c r="W24" i="4"/>
  <c r="Y24" i="4" s="1"/>
  <c r="AR24" i="4" s="1"/>
  <c r="AM24" i="4"/>
  <c r="AM148" i="4"/>
  <c r="W148" i="4"/>
  <c r="W138" i="4"/>
  <c r="Y138" i="4" s="1"/>
  <c r="AR138" i="4" s="1"/>
  <c r="AM138" i="4"/>
  <c r="W150" i="4"/>
  <c r="Y150" i="4" s="1"/>
  <c r="AR150" i="4" s="1"/>
  <c r="AM150" i="4"/>
  <c r="AM80" i="4"/>
  <c r="W80" i="4"/>
  <c r="Y80" i="4" s="1"/>
  <c r="AR80" i="4" s="1"/>
  <c r="AM74" i="4"/>
  <c r="W74" i="4"/>
  <c r="W107" i="4"/>
  <c r="Y107" i="4" s="1"/>
  <c r="AR107" i="4" s="1"/>
  <c r="AM107" i="4"/>
  <c r="W137" i="4"/>
  <c r="AM137" i="4"/>
  <c r="W81" i="4"/>
  <c r="AM81" i="4"/>
  <c r="AM116" i="4"/>
  <c r="W116" i="4"/>
  <c r="AM45" i="4"/>
  <c r="W45" i="4"/>
  <c r="Y45" i="4" s="1"/>
  <c r="AR45" i="4" s="1"/>
  <c r="W126" i="4"/>
  <c r="AM126" i="4"/>
  <c r="AM72" i="4"/>
  <c r="W72" i="4"/>
  <c r="Y72" i="4" s="1"/>
  <c r="AR72" i="4" s="1"/>
  <c r="AM147" i="4"/>
  <c r="W147" i="4"/>
  <c r="Y147" i="4" s="1"/>
  <c r="AR147" i="4" s="1"/>
  <c r="AM90" i="4"/>
  <c r="W90" i="4"/>
  <c r="W121" i="4"/>
  <c r="AM121" i="4"/>
  <c r="AM32" i="4"/>
  <c r="W32" i="4"/>
  <c r="Y32" i="4" s="1"/>
  <c r="AR32" i="4" s="1"/>
  <c r="W120" i="4"/>
  <c r="Y120" i="4" s="1"/>
  <c r="AR120" i="4" s="1"/>
  <c r="AM120" i="4"/>
  <c r="W8" i="4"/>
  <c r="Y8" i="4" s="1"/>
  <c r="AR8" i="4" s="1"/>
  <c r="AM8" i="4"/>
  <c r="AM86" i="4"/>
  <c r="W86" i="4"/>
  <c r="W94" i="4"/>
  <c r="AM94" i="4"/>
  <c r="W15" i="4"/>
  <c r="Y15" i="4" s="1"/>
  <c r="AR15" i="4" s="1"/>
  <c r="AM15" i="4"/>
  <c r="AM42" i="4"/>
  <c r="W42" i="4"/>
  <c r="Y42" i="4" s="1"/>
  <c r="AR42" i="4" s="1"/>
  <c r="W59" i="4"/>
  <c r="AM59" i="4"/>
  <c r="W132" i="4"/>
  <c r="Y132" i="4" s="1"/>
  <c r="AR132" i="4" s="1"/>
  <c r="AM132" i="4"/>
  <c r="W30" i="4"/>
  <c r="Y30" i="4" s="1"/>
  <c r="AR30" i="4" s="1"/>
  <c r="AM30" i="4"/>
  <c r="AM7" i="4"/>
  <c r="W7" i="4"/>
  <c r="Y7" i="4" s="1"/>
  <c r="AR7" i="4" s="1"/>
  <c r="AM93" i="4"/>
  <c r="W93" i="4"/>
  <c r="W17" i="4"/>
  <c r="Y17" i="4" s="1"/>
  <c r="AR17" i="4" s="1"/>
  <c r="AM17" i="4"/>
  <c r="W44" i="4"/>
  <c r="Y44" i="4" s="1"/>
  <c r="AR44" i="4" s="1"/>
  <c r="AM44" i="4"/>
  <c r="AM117" i="4"/>
  <c r="W117" i="4"/>
  <c r="AM101" i="4"/>
  <c r="W101" i="4"/>
  <c r="W145" i="4"/>
  <c r="AM145" i="4"/>
  <c r="AM52" i="4"/>
  <c r="W52" i="4"/>
  <c r="Y52" i="4" s="1"/>
  <c r="AR52" i="4" s="1"/>
  <c r="AM33" i="4"/>
  <c r="W33" i="4"/>
  <c r="Y33" i="4" s="1"/>
  <c r="AR33" i="4" s="1"/>
  <c r="AM14" i="4"/>
  <c r="W14" i="4"/>
  <c r="Y14" i="4" s="1"/>
  <c r="AR14" i="4" s="1"/>
  <c r="AM31" i="4"/>
  <c r="W31" i="4"/>
  <c r="Y31" i="4" s="1"/>
  <c r="AR31" i="4" s="1"/>
  <c r="W143" i="4"/>
  <c r="AM143" i="4"/>
  <c r="W141" i="4"/>
  <c r="AM141" i="4"/>
  <c r="AM36" i="4"/>
  <c r="W36" i="4"/>
  <c r="Y36" i="4" s="1"/>
  <c r="AR36" i="4" s="1"/>
  <c r="AM67" i="4"/>
  <c r="W67" i="4"/>
  <c r="W154" i="4"/>
  <c r="AM154" i="4"/>
  <c r="W61" i="4"/>
  <c r="AM61" i="4"/>
  <c r="AA10" i="5"/>
  <c r="AB10" i="5"/>
  <c r="BA10" i="5"/>
  <c r="BB10" i="5"/>
  <c r="H32" i="1"/>
  <c r="B97" i="2"/>
  <c r="AM85" i="4"/>
  <c r="W85" i="4"/>
  <c r="AM99" i="4"/>
  <c r="W99" i="4"/>
  <c r="Y99" i="4" s="1"/>
  <c r="AR99" i="4" s="1"/>
  <c r="W29" i="4"/>
  <c r="Y29" i="4" s="1"/>
  <c r="AR29" i="4" s="1"/>
  <c r="AM29" i="4"/>
  <c r="W89" i="4"/>
  <c r="AM89" i="4"/>
  <c r="AM91" i="4"/>
  <c r="W91" i="4"/>
  <c r="Y91" i="4" s="1"/>
  <c r="AR91" i="4" s="1"/>
  <c r="W113" i="4"/>
  <c r="AM113" i="4"/>
  <c r="AM76" i="4"/>
  <c r="W76" i="4"/>
  <c r="W41" i="4"/>
  <c r="Y41" i="4" s="1"/>
  <c r="AR41" i="4" s="1"/>
  <c r="AM41" i="4"/>
  <c r="AM96" i="4"/>
  <c r="W96" i="4"/>
  <c r="AM56" i="4"/>
  <c r="W56" i="4"/>
  <c r="AM102" i="4"/>
  <c r="W102" i="4"/>
  <c r="AM95" i="4"/>
  <c r="W95" i="4"/>
  <c r="W43" i="4"/>
  <c r="Y43" i="4" s="1"/>
  <c r="AR43" i="4" s="1"/>
  <c r="AM43" i="4"/>
  <c r="W82" i="4"/>
  <c r="AM82" i="4"/>
  <c r="AM105" i="4"/>
  <c r="W105" i="4"/>
  <c r="W47" i="4"/>
  <c r="Y47" i="4" s="1"/>
  <c r="AR47" i="4" s="1"/>
  <c r="AM47" i="4"/>
  <c r="W20" i="4"/>
  <c r="Y20" i="4" s="1"/>
  <c r="AR20" i="4" s="1"/>
  <c r="AM20" i="4"/>
  <c r="W114" i="4"/>
  <c r="AM114" i="4"/>
  <c r="AM118" i="4"/>
  <c r="W118" i="4"/>
  <c r="AM144" i="4"/>
  <c r="W144" i="4"/>
  <c r="W84" i="4"/>
  <c r="Y84" i="4" s="1"/>
  <c r="AR84" i="4" s="1"/>
  <c r="AM84" i="4"/>
  <c r="W70" i="4"/>
  <c r="Y70" i="4" s="1"/>
  <c r="AR70" i="4" s="1"/>
  <c r="AM70" i="4"/>
  <c r="AM54" i="4"/>
  <c r="W54" i="4"/>
  <c r="AM131" i="4"/>
  <c r="W131" i="4"/>
  <c r="W11" i="4"/>
  <c r="Y11" i="4" s="1"/>
  <c r="AR11" i="4" s="1"/>
  <c r="AM11" i="4"/>
  <c r="AM112" i="4"/>
  <c r="W112" i="4"/>
  <c r="W134" i="4"/>
  <c r="AM134" i="4"/>
  <c r="W23" i="4"/>
  <c r="Y23" i="4" s="1"/>
  <c r="AR23" i="4" s="1"/>
  <c r="AM23" i="4"/>
  <c r="AM115" i="4"/>
  <c r="W115" i="4"/>
  <c r="Y115" i="4" s="1"/>
  <c r="AR115" i="4" s="1"/>
  <c r="W66" i="4"/>
  <c r="AM66" i="4"/>
  <c r="AM125" i="4"/>
  <c r="W125" i="4"/>
  <c r="AM149" i="4"/>
  <c r="W149" i="4"/>
  <c r="W22" i="4"/>
  <c r="Y22" i="4" s="1"/>
  <c r="AR22" i="4" s="1"/>
  <c r="AM22" i="4"/>
  <c r="AM153" i="4"/>
  <c r="W153" i="4"/>
  <c r="Y153" i="4" s="1"/>
  <c r="AR153" i="4" s="1"/>
  <c r="W40" i="4"/>
  <c r="Y40" i="4" s="1"/>
  <c r="AR40" i="4" s="1"/>
  <c r="AM40" i="4"/>
  <c r="AM58" i="4"/>
  <c r="W58" i="4"/>
  <c r="AM77" i="4"/>
  <c r="W77" i="4"/>
  <c r="W60" i="4"/>
  <c r="AM60" i="4"/>
  <c r="W156" i="4"/>
  <c r="AM156" i="4"/>
  <c r="W123" i="4"/>
  <c r="AM123" i="4"/>
  <c r="AM18" i="4"/>
  <c r="W18" i="4"/>
  <c r="Y18" i="4" s="1"/>
  <c r="AR18" i="4" s="1"/>
  <c r="W110" i="4"/>
  <c r="AM110" i="4"/>
  <c r="AM127" i="4"/>
  <c r="W127" i="4"/>
  <c r="W26" i="4"/>
  <c r="Y26" i="4" s="1"/>
  <c r="AR26" i="4" s="1"/>
  <c r="AM26" i="4"/>
  <c r="AM75" i="4"/>
  <c r="W75" i="4"/>
  <c r="W124" i="4"/>
  <c r="AM124" i="4"/>
  <c r="AM38" i="4"/>
  <c r="W38" i="4"/>
  <c r="Y38" i="4" s="1"/>
  <c r="AR38" i="4" s="1"/>
  <c r="AM152" i="4"/>
  <c r="W152" i="4"/>
  <c r="AM133" i="4"/>
  <c r="W133" i="4"/>
  <c r="W73" i="4"/>
  <c r="AM73" i="4"/>
  <c r="AM92" i="4"/>
  <c r="W92" i="4"/>
  <c r="AM155" i="4"/>
  <c r="W155" i="4"/>
  <c r="W13" i="4"/>
  <c r="Y13" i="4" s="1"/>
  <c r="AR13" i="4" s="1"/>
  <c r="AM13" i="4"/>
  <c r="W157" i="4"/>
  <c r="Y157" i="4" s="1"/>
  <c r="AR157" i="4" s="1"/>
  <c r="AM157" i="4"/>
  <c r="AM111" i="4"/>
  <c r="W111" i="4"/>
  <c r="W49" i="4"/>
  <c r="Y49" i="4" s="1"/>
  <c r="AR49" i="4" s="1"/>
  <c r="AM49" i="4"/>
  <c r="AM19" i="4"/>
  <c r="W19" i="4"/>
  <c r="Y19" i="4" s="1"/>
  <c r="AR19" i="4" s="1"/>
  <c r="W71" i="4"/>
  <c r="Y71" i="4" s="1"/>
  <c r="AR71" i="4" s="1"/>
  <c r="AM71" i="4"/>
  <c r="AM103" i="4"/>
  <c r="W103" i="4"/>
  <c r="Y103" i="4" s="1"/>
  <c r="AR103" i="4" s="1"/>
  <c r="W12" i="4"/>
  <c r="Y12" i="4" s="1"/>
  <c r="AR12" i="4" s="1"/>
  <c r="AM12" i="4"/>
  <c r="W21" i="4"/>
  <c r="Y21" i="4" s="1"/>
  <c r="AR21" i="4" s="1"/>
  <c r="AM21" i="4"/>
  <c r="AL10" i="5"/>
  <c r="AK10" i="5"/>
  <c r="AX10" i="5"/>
  <c r="AY10" i="5"/>
  <c r="U10" i="5"/>
  <c r="V10" i="5"/>
  <c r="AM65" i="4"/>
  <c r="W65" i="4"/>
  <c r="AM146" i="4"/>
  <c r="W146" i="4"/>
  <c r="Y146" i="4" s="1"/>
  <c r="AR146" i="4" s="1"/>
  <c r="W98" i="4"/>
  <c r="AM98" i="4"/>
  <c r="AM129" i="4"/>
  <c r="W129" i="4"/>
  <c r="AM136" i="4"/>
  <c r="W136" i="4"/>
  <c r="W87" i="4"/>
  <c r="Y87" i="4" s="1"/>
  <c r="AR87" i="4" s="1"/>
  <c r="AM87" i="4"/>
  <c r="W34" i="4"/>
  <c r="Y34" i="4" s="1"/>
  <c r="AR34" i="4" s="1"/>
  <c r="AM34" i="4"/>
  <c r="W48" i="4"/>
  <c r="Y48" i="4" s="1"/>
  <c r="AR48" i="4" s="1"/>
  <c r="AM48" i="4"/>
  <c r="W68" i="4"/>
  <c r="Y68" i="4" s="1"/>
  <c r="AR68" i="4" s="1"/>
  <c r="AM68" i="4"/>
  <c r="AM46" i="4"/>
  <c r="W46" i="4"/>
  <c r="Y46" i="4" s="1"/>
  <c r="AR46" i="4" s="1"/>
  <c r="AM62" i="4"/>
  <c r="W62" i="4"/>
  <c r="W39" i="4"/>
  <c r="Y39" i="4" s="1"/>
  <c r="AR39" i="4" s="1"/>
  <c r="AM39" i="4"/>
  <c r="W9" i="4"/>
  <c r="Y9" i="4" s="1"/>
  <c r="AR9" i="4" s="1"/>
  <c r="AM9" i="4"/>
  <c r="AM100" i="4"/>
  <c r="W100" i="4"/>
  <c r="Y100" i="4" s="1"/>
  <c r="AR100" i="4" s="1"/>
  <c r="AM130" i="4"/>
  <c r="W130" i="4"/>
  <c r="AM78" i="4"/>
  <c r="W78" i="4"/>
  <c r="W55" i="4"/>
  <c r="AM55" i="4"/>
  <c r="W27" i="4"/>
  <c r="Y27" i="4" s="1"/>
  <c r="AR27" i="4" s="1"/>
  <c r="AM27" i="4"/>
  <c r="AM140" i="4"/>
  <c r="W140" i="4"/>
  <c r="W106" i="4"/>
  <c r="AM106" i="4"/>
  <c r="W35" i="4"/>
  <c r="Y35" i="4" s="1"/>
  <c r="AR35" i="4" s="1"/>
  <c r="AM35" i="4"/>
  <c r="W10" i="4"/>
  <c r="Y10" i="4" s="1"/>
  <c r="AR10" i="4" s="1"/>
  <c r="AM10" i="4"/>
  <c r="W51" i="4"/>
  <c r="Y51" i="4" s="1"/>
  <c r="AR51" i="4" s="1"/>
  <c r="AM51" i="4"/>
  <c r="W57" i="4"/>
  <c r="AM57" i="4"/>
  <c r="AM142" i="4"/>
  <c r="W142" i="4"/>
  <c r="AV10" i="5"/>
  <c r="AU10" i="5"/>
  <c r="BC10" i="5"/>
  <c r="B64" i="2"/>
  <c r="B66" i="2"/>
  <c r="B67" i="2" s="1"/>
  <c r="AV107" i="4"/>
  <c r="U107" i="4"/>
  <c r="AV116" i="4"/>
  <c r="U116" i="4"/>
  <c r="AV45" i="4"/>
  <c r="U45" i="4"/>
  <c r="AV72" i="4"/>
  <c r="U72" i="4"/>
  <c r="AV90" i="4"/>
  <c r="U90" i="4"/>
  <c r="AV32" i="4"/>
  <c r="U32" i="4"/>
  <c r="AV86" i="4"/>
  <c r="U86" i="4"/>
  <c r="AV42" i="4"/>
  <c r="U42" i="4"/>
  <c r="AV132" i="4"/>
  <c r="U132" i="4"/>
  <c r="U7" i="4"/>
  <c r="AV7" i="4"/>
  <c r="AV17" i="4"/>
  <c r="U17" i="4"/>
  <c r="U101" i="4"/>
  <c r="AV101" i="4"/>
  <c r="AV52" i="4"/>
  <c r="U52" i="4"/>
  <c r="AV14" i="4"/>
  <c r="U14" i="4"/>
  <c r="AV143" i="4"/>
  <c r="U143" i="4"/>
  <c r="AV36" i="4"/>
  <c r="U36" i="4"/>
  <c r="AV154" i="4"/>
  <c r="U154" i="4"/>
  <c r="X185" i="5"/>
  <c r="Y185" i="5"/>
  <c r="X310" i="5"/>
  <c r="Y310" i="5"/>
  <c r="X264" i="5"/>
  <c r="Y264" i="5"/>
  <c r="Y202" i="5"/>
  <c r="X202" i="5"/>
  <c r="X489" i="5"/>
  <c r="Y489" i="5"/>
  <c r="Y250" i="5"/>
  <c r="X250" i="5"/>
  <c r="X232" i="5"/>
  <c r="Y232" i="5"/>
  <c r="X431" i="5"/>
  <c r="Y431" i="5"/>
  <c r="Y363" i="5"/>
  <c r="X363" i="5"/>
  <c r="Y51" i="5"/>
  <c r="X51" i="5"/>
  <c r="X107" i="5"/>
  <c r="Y107" i="5"/>
  <c r="X225" i="5"/>
  <c r="Y225" i="5"/>
  <c r="X91" i="5"/>
  <c r="Y91" i="5"/>
  <c r="X132" i="5"/>
  <c r="Y132" i="5"/>
  <c r="X12" i="5"/>
  <c r="Y12" i="5"/>
  <c r="X258" i="5"/>
  <c r="Y258" i="5"/>
  <c r="Y513" i="5"/>
  <c r="X513" i="5"/>
  <c r="Y316" i="5"/>
  <c r="X316" i="5"/>
  <c r="X512" i="5"/>
  <c r="Y512" i="5"/>
  <c r="X100" i="5"/>
  <c r="Y100" i="5"/>
  <c r="X347" i="5"/>
  <c r="Y347" i="5"/>
  <c r="Y533" i="5"/>
  <c r="X533" i="5"/>
  <c r="X111" i="5"/>
  <c r="Y111" i="5"/>
  <c r="X303" i="5"/>
  <c r="Y303" i="5"/>
  <c r="X197" i="5"/>
  <c r="Y197" i="5"/>
  <c r="Y176" i="5"/>
  <c r="X176" i="5"/>
  <c r="Y367" i="5"/>
  <c r="X367" i="5"/>
  <c r="X141" i="5"/>
  <c r="Y141" i="5"/>
  <c r="X211" i="5"/>
  <c r="Y211" i="5"/>
  <c r="Y35" i="5"/>
  <c r="X35" i="5"/>
  <c r="X502" i="5"/>
  <c r="Y502" i="5"/>
  <c r="X95" i="5"/>
  <c r="Y95" i="5"/>
  <c r="Y407" i="5"/>
  <c r="X407" i="5"/>
  <c r="X172" i="5"/>
  <c r="Y172" i="5"/>
  <c r="X203" i="5"/>
  <c r="Y203" i="5"/>
  <c r="Y323" i="5"/>
  <c r="X323" i="5"/>
  <c r="Y28" i="5"/>
  <c r="X28" i="5"/>
  <c r="Y515" i="5"/>
  <c r="X515" i="5"/>
  <c r="Y255" i="5"/>
  <c r="X255" i="5"/>
  <c r="Y522" i="5"/>
  <c r="X522" i="5"/>
  <c r="X237" i="5"/>
  <c r="Y237" i="5"/>
  <c r="Y98" i="5"/>
  <c r="X98" i="5"/>
  <c r="Y233" i="5"/>
  <c r="X233" i="5"/>
  <c r="Y165" i="5"/>
  <c r="X165" i="5"/>
  <c r="X267" i="5"/>
  <c r="Y267" i="5"/>
  <c r="X173" i="5"/>
  <c r="Y173" i="5"/>
  <c r="X368" i="5"/>
  <c r="Y368" i="5"/>
  <c r="X215" i="5"/>
  <c r="Y215" i="5"/>
  <c r="X19" i="5"/>
  <c r="Y19" i="5"/>
  <c r="Y101" i="5"/>
  <c r="X101" i="5"/>
  <c r="Y480" i="5"/>
  <c r="X480" i="5"/>
  <c r="Y180" i="5"/>
  <c r="X180" i="5"/>
  <c r="Y418" i="5"/>
  <c r="X418" i="5"/>
  <c r="Y10" i="5"/>
  <c r="X10" i="5"/>
  <c r="X179" i="5"/>
  <c r="Y179" i="5"/>
  <c r="Y187" i="5"/>
  <c r="X187" i="5"/>
  <c r="Y343" i="5"/>
  <c r="X343" i="5"/>
  <c r="X388" i="5"/>
  <c r="Y388" i="5"/>
  <c r="X151" i="5"/>
  <c r="Y151" i="5"/>
  <c r="X23" i="5"/>
  <c r="Y23" i="5"/>
  <c r="X501" i="5"/>
  <c r="Y501" i="5"/>
  <c r="Y376" i="5"/>
  <c r="X376" i="5"/>
  <c r="X400" i="5"/>
  <c r="Y400" i="5"/>
  <c r="Y7" i="5"/>
  <c r="X7" i="5"/>
  <c r="AV131" i="4"/>
  <c r="U131" i="4"/>
  <c r="AV11" i="4"/>
  <c r="U11" i="4"/>
  <c r="AV112" i="4"/>
  <c r="U112" i="4"/>
  <c r="AV134" i="4"/>
  <c r="U134" i="4"/>
  <c r="AV23" i="4"/>
  <c r="U23" i="4"/>
  <c r="AV115" i="4"/>
  <c r="U115" i="4"/>
  <c r="AV66" i="4"/>
  <c r="U66" i="4"/>
  <c r="AV125" i="4"/>
  <c r="U125" i="4"/>
  <c r="AV149" i="4"/>
  <c r="U149" i="4"/>
  <c r="AV22" i="4"/>
  <c r="U22" i="4"/>
  <c r="AV153" i="4"/>
  <c r="U153" i="4"/>
  <c r="AV40" i="4"/>
  <c r="U40" i="4"/>
  <c r="AV58" i="4"/>
  <c r="U58" i="4"/>
  <c r="AV77" i="4"/>
  <c r="U77" i="4"/>
  <c r="AV60" i="4"/>
  <c r="U60" i="4"/>
  <c r="AV156" i="4"/>
  <c r="U156" i="4"/>
  <c r="AV123" i="4"/>
  <c r="U123" i="4"/>
  <c r="AV18" i="4"/>
  <c r="U18" i="4"/>
  <c r="AV110" i="4"/>
  <c r="U110" i="4"/>
  <c r="AV127" i="4"/>
  <c r="U127" i="4"/>
  <c r="AV26" i="4"/>
  <c r="U26" i="4"/>
  <c r="U75" i="4"/>
  <c r="AV75" i="4"/>
  <c r="AV124" i="4"/>
  <c r="U124" i="4"/>
  <c r="AV38" i="4"/>
  <c r="U38" i="4"/>
  <c r="AV152" i="4"/>
  <c r="U152" i="4"/>
  <c r="AV133" i="4"/>
  <c r="U133" i="4"/>
  <c r="AV73" i="4"/>
  <c r="U73" i="4"/>
  <c r="AV92" i="4"/>
  <c r="U92" i="4"/>
  <c r="AV155" i="4"/>
  <c r="U155" i="4"/>
  <c r="AV13" i="4"/>
  <c r="U13" i="4"/>
  <c r="AV157" i="4"/>
  <c r="U157" i="4"/>
  <c r="AV111" i="4"/>
  <c r="U111" i="4"/>
  <c r="AV49" i="4"/>
  <c r="U49" i="4"/>
  <c r="AV19" i="4"/>
  <c r="U19" i="4"/>
  <c r="AV71" i="4"/>
  <c r="U71" i="4"/>
  <c r="U103" i="4"/>
  <c r="AV103" i="4"/>
  <c r="AV12" i="4"/>
  <c r="U12" i="4"/>
  <c r="AV21" i="4"/>
  <c r="U21" i="4"/>
  <c r="AG393" i="5"/>
  <c r="AG181" i="5"/>
  <c r="AG352" i="5"/>
  <c r="AG96" i="5"/>
  <c r="AG367" i="5"/>
  <c r="AG324" i="5"/>
  <c r="AG72" i="5"/>
  <c r="AG220" i="5"/>
  <c r="AG158" i="5"/>
  <c r="AG463" i="5"/>
  <c r="AG184" i="5"/>
  <c r="AG247" i="5"/>
  <c r="AG164" i="5"/>
  <c r="B74" i="5"/>
  <c r="AG88" i="5"/>
  <c r="AG134" i="5"/>
  <c r="AG192" i="5"/>
  <c r="AG165" i="5"/>
  <c r="AG13" i="5"/>
  <c r="AG411" i="5"/>
  <c r="AG298" i="5"/>
  <c r="AG29" i="5"/>
  <c r="AG155" i="5"/>
  <c r="AG112" i="5"/>
  <c r="AG213" i="5"/>
  <c r="AG84" i="5"/>
  <c r="AG374" i="5"/>
  <c r="AG186" i="5"/>
  <c r="AG274" i="5"/>
  <c r="AG89" i="5"/>
  <c r="AG450" i="5"/>
  <c r="AG448" i="5"/>
  <c r="AG483" i="5"/>
  <c r="AG94" i="5"/>
  <c r="AG30" i="5"/>
  <c r="AG236" i="5"/>
  <c r="AG321" i="5"/>
  <c r="AG170" i="5"/>
  <c r="AG98" i="5"/>
  <c r="AG416" i="5"/>
  <c r="AG378" i="5"/>
  <c r="AG22" i="5"/>
  <c r="AG243" i="5"/>
  <c r="AG116" i="5"/>
  <c r="AG66" i="5"/>
  <c r="AG377" i="5"/>
  <c r="AG110" i="5"/>
  <c r="AG195" i="5"/>
  <c r="AG355" i="5"/>
  <c r="AG219" i="5"/>
  <c r="AG149" i="5"/>
  <c r="AG35" i="5"/>
  <c r="AG143" i="5"/>
  <c r="AG360" i="5"/>
  <c r="AG252" i="5"/>
  <c r="AG468" i="5"/>
  <c r="AG269" i="5"/>
  <c r="AG266" i="5"/>
  <c r="AG150" i="5"/>
  <c r="AG451" i="5"/>
  <c r="AG364" i="5"/>
  <c r="AG383" i="5"/>
  <c r="AG182" i="5"/>
  <c r="AG496" i="5"/>
  <c r="AG510" i="5"/>
  <c r="AG46" i="5"/>
  <c r="AG418" i="5"/>
  <c r="AG199" i="5"/>
  <c r="AG81" i="5"/>
  <c r="AG71" i="5"/>
  <c r="AG249" i="5"/>
  <c r="AG459" i="5"/>
  <c r="AG331" i="5"/>
  <c r="AG441" i="5"/>
  <c r="AG508" i="5"/>
  <c r="AG458" i="5"/>
  <c r="AG506" i="5"/>
  <c r="AG144" i="5"/>
  <c r="AG351" i="5"/>
  <c r="AG261" i="5"/>
  <c r="AG407" i="5"/>
  <c r="AG348" i="5"/>
  <c r="AG500" i="5"/>
  <c r="AG415" i="5"/>
  <c r="AG344" i="5"/>
  <c r="AG555" i="5"/>
  <c r="AG193" i="5"/>
  <c r="AG54" i="5"/>
  <c r="AG521" i="5"/>
  <c r="AG73" i="5"/>
  <c r="AG311" i="5"/>
  <c r="AG163" i="5"/>
  <c r="AG504" i="5"/>
  <c r="AG542" i="5"/>
  <c r="AG475" i="5"/>
  <c r="AG502" i="5"/>
  <c r="AG467" i="5"/>
  <c r="AG205" i="5"/>
  <c r="AG400" i="5"/>
  <c r="AG420" i="5"/>
  <c r="AG290" i="5"/>
  <c r="AG47" i="5"/>
  <c r="AG145" i="5"/>
  <c r="AG267" i="5"/>
  <c r="AG361" i="5"/>
  <c r="AG142" i="5"/>
  <c r="AG183" i="5"/>
  <c r="AG226" i="5"/>
  <c r="AG187" i="5"/>
  <c r="AG75" i="5"/>
  <c r="AG68" i="5"/>
  <c r="AG52" i="5"/>
  <c r="AG224" i="5"/>
  <c r="AG547" i="5"/>
  <c r="AG190" i="5"/>
  <c r="AG173" i="5"/>
  <c r="AG437" i="5"/>
  <c r="AG436" i="5"/>
  <c r="AG172" i="5"/>
  <c r="AG40" i="5"/>
  <c r="AG336" i="5"/>
  <c r="AG390" i="5"/>
  <c r="AG202" i="5"/>
  <c r="AG534" i="5"/>
  <c r="AG365" i="5"/>
  <c r="AG325" i="5"/>
  <c r="AG117" i="5"/>
  <c r="AG526" i="5"/>
  <c r="AG453" i="5"/>
  <c r="AG97" i="5"/>
  <c r="AG101" i="5"/>
  <c r="AG515" i="5"/>
  <c r="AG303" i="5"/>
  <c r="AG211" i="5"/>
  <c r="AG301" i="5"/>
  <c r="AG215" i="5"/>
  <c r="AG412" i="5"/>
  <c r="AG295" i="5"/>
  <c r="AG346" i="5"/>
  <c r="AG402" i="5"/>
  <c r="AG42" i="5"/>
  <c r="AG503" i="5"/>
  <c r="AG449" i="5"/>
  <c r="AG85" i="5"/>
  <c r="AG131" i="5"/>
  <c r="AG111" i="5"/>
  <c r="AG532" i="5"/>
  <c r="AG341" i="5"/>
  <c r="AG241" i="5"/>
  <c r="AG345" i="5"/>
  <c r="AG263" i="5"/>
  <c r="AG444" i="5"/>
  <c r="AG105" i="5"/>
  <c r="AG552" i="5"/>
  <c r="AG357" i="5"/>
  <c r="AG371" i="5"/>
  <c r="AG498" i="5"/>
  <c r="AG93" i="5"/>
  <c r="AG197" i="5"/>
  <c r="AG27" i="5"/>
  <c r="AG80" i="5"/>
  <c r="AG115" i="5"/>
  <c r="AG489" i="5"/>
  <c r="AG442" i="5"/>
  <c r="AG476" i="5"/>
  <c r="AG531" i="5"/>
  <c r="AG545" i="5"/>
  <c r="AG512" i="5"/>
  <c r="AG445" i="5"/>
  <c r="AG353" i="5"/>
  <c r="AG179" i="5"/>
  <c r="AG39" i="5"/>
  <c r="AG235" i="5"/>
  <c r="AG491" i="5"/>
  <c r="AG537" i="5"/>
  <c r="AG517" i="5"/>
  <c r="AG394" i="5"/>
  <c r="AG25" i="5"/>
  <c r="AG139" i="5"/>
  <c r="AG315" i="5"/>
  <c r="AG556" i="5"/>
  <c r="AG369" i="5"/>
  <c r="AG559" i="5"/>
  <c r="AG388" i="5"/>
  <c r="AG434" i="5"/>
  <c r="AG514" i="5"/>
  <c r="AG44" i="5"/>
  <c r="AG160" i="5"/>
  <c r="AG466" i="5"/>
  <c r="AG395" i="5"/>
  <c r="AG191" i="5"/>
  <c r="AG140" i="5"/>
  <c r="AG478" i="5"/>
  <c r="AG76" i="5"/>
  <c r="AG95" i="5"/>
  <c r="AG350" i="5"/>
  <c r="AG106" i="5"/>
  <c r="AG340" i="5"/>
  <c r="AG232" i="5"/>
  <c r="AG404" i="5"/>
  <c r="AG318" i="5"/>
  <c r="AG276" i="5"/>
  <c r="AG544" i="5"/>
  <c r="AG379" i="5"/>
  <c r="AG399" i="5"/>
  <c r="AG154" i="5"/>
  <c r="AG471" i="5"/>
  <c r="AG138" i="5"/>
  <c r="AG372" i="5"/>
  <c r="AG530" i="5"/>
  <c r="AG157" i="5"/>
  <c r="AG20" i="5"/>
  <c r="AG306" i="5"/>
  <c r="AG322" i="5"/>
  <c r="AG148" i="5"/>
  <c r="AG310" i="5"/>
  <c r="AG465" i="5"/>
  <c r="AG258" i="5"/>
  <c r="AG501" i="5"/>
  <c r="AG147" i="5"/>
  <c r="AG285" i="5"/>
  <c r="AG505" i="5"/>
  <c r="AG49" i="5"/>
  <c r="AG535" i="5"/>
  <c r="AG177" i="5"/>
  <c r="AG329" i="5"/>
  <c r="AG487" i="5"/>
  <c r="AG440" i="5"/>
  <c r="AG278" i="5"/>
  <c r="AG171" i="5"/>
  <c r="AG474" i="5"/>
  <c r="AG438" i="5"/>
  <c r="AG273" i="5"/>
  <c r="AG349" i="5"/>
  <c r="AG516" i="5"/>
  <c r="AG507" i="5"/>
  <c r="AG433" i="5"/>
  <c r="AG107" i="5"/>
  <c r="AG86" i="5"/>
  <c r="AG53" i="5"/>
  <c r="AG221" i="5"/>
  <c r="AG79" i="5"/>
  <c r="AG533" i="5"/>
  <c r="AG370" i="5"/>
  <c r="AG100" i="5"/>
  <c r="AG12" i="5"/>
  <c r="AG338" i="5"/>
  <c r="AG228" i="5"/>
  <c r="AG282" i="5"/>
  <c r="AG188" i="5"/>
  <c r="AG122" i="5"/>
  <c r="AG426" i="5"/>
  <c r="AG166" i="5"/>
  <c r="AG334" i="5"/>
  <c r="AG246" i="5"/>
  <c r="AG203" i="5"/>
  <c r="AG244" i="5"/>
  <c r="AG366" i="5"/>
  <c r="AG135" i="5"/>
  <c r="AG114" i="5"/>
  <c r="AG391" i="5"/>
  <c r="AG271" i="5"/>
  <c r="AG169" i="5"/>
  <c r="AG196" i="5"/>
  <c r="AG41" i="5"/>
  <c r="AG527" i="5"/>
  <c r="AG528" i="5"/>
  <c r="AG132" i="5"/>
  <c r="AG330" i="5"/>
  <c r="AG55" i="5"/>
  <c r="AG245" i="5"/>
  <c r="AG206" i="5"/>
  <c r="AG408" i="5"/>
  <c r="AG262" i="5"/>
  <c r="AG461" i="5"/>
  <c r="AG470" i="5"/>
  <c r="AG541" i="5"/>
  <c r="AG396" i="5"/>
  <c r="AG477" i="5"/>
  <c r="AG554" i="5"/>
  <c r="AG121" i="5"/>
  <c r="AG33" i="5"/>
  <c r="AG485" i="5"/>
  <c r="AG64" i="5"/>
  <c r="AG230" i="5"/>
  <c r="AG120" i="5"/>
  <c r="AG137" i="5"/>
  <c r="AG289" i="5"/>
  <c r="AG560" i="5"/>
  <c r="AG540" i="5"/>
  <c r="AG223" i="5"/>
  <c r="AG287" i="5"/>
  <c r="AG189" i="5"/>
  <c r="AG61" i="5"/>
  <c r="AG387" i="5"/>
  <c r="AG293" i="5"/>
  <c r="AG439" i="5"/>
  <c r="AG422" i="5"/>
  <c r="AG525" i="5"/>
  <c r="AG380" i="5"/>
  <c r="AG292" i="5"/>
  <c r="AG494" i="5"/>
  <c r="AG104" i="5"/>
  <c r="AG119" i="5"/>
  <c r="AG34" i="5"/>
  <c r="AG495" i="5"/>
  <c r="AG279" i="5"/>
  <c r="AG397" i="5"/>
  <c r="AG259" i="5"/>
  <c r="AG410" i="5"/>
  <c r="AG109" i="5"/>
  <c r="AG339" i="5"/>
  <c r="AG354" i="5"/>
  <c r="AG45" i="5"/>
  <c r="AG256" i="5"/>
  <c r="AG26" i="5"/>
  <c r="AG82" i="5"/>
  <c r="AG430" i="5"/>
  <c r="AG65" i="5"/>
  <c r="AG307" i="5"/>
  <c r="AG208" i="5"/>
  <c r="AG314" i="5"/>
  <c r="AG214" i="5"/>
  <c r="AG456" i="5"/>
  <c r="AG136" i="5"/>
  <c r="AG543" i="5"/>
  <c r="AG304" i="5"/>
  <c r="AG272" i="5"/>
  <c r="AG48" i="5"/>
  <c r="AG457" i="5"/>
  <c r="AG180" i="5"/>
  <c r="AG62" i="5"/>
  <c r="AG405" i="5"/>
  <c r="AG553" i="5"/>
  <c r="AG275" i="5"/>
  <c r="AG257" i="5"/>
  <c r="AG233" i="5"/>
  <c r="AG37" i="5"/>
  <c r="AG99" i="5"/>
  <c r="AG58" i="5"/>
  <c r="AG239" i="5"/>
  <c r="AG429" i="5"/>
  <c r="AG201" i="5"/>
  <c r="AG67" i="5"/>
  <c r="AG36" i="5"/>
  <c r="AG60" i="5"/>
  <c r="AG227" i="5"/>
  <c r="AG92" i="5"/>
  <c r="AG43" i="5"/>
  <c r="AG337" i="5"/>
  <c r="AG251" i="5"/>
  <c r="AG432" i="5"/>
  <c r="AG519" i="5"/>
  <c r="AG392" i="5"/>
  <c r="AG305" i="5"/>
  <c r="AG469" i="5"/>
  <c r="AG493" i="5"/>
  <c r="AG320" i="5"/>
  <c r="AG481" i="5"/>
  <c r="AG490" i="5"/>
  <c r="AG21" i="5"/>
  <c r="AG300" i="5"/>
  <c r="AG124" i="5"/>
  <c r="AG435" i="5"/>
  <c r="AG447" i="5"/>
  <c r="AG123" i="5"/>
  <c r="AG332" i="5"/>
  <c r="AG240" i="5"/>
  <c r="AG87" i="5"/>
  <c r="AG102" i="5"/>
  <c r="AG452" i="5"/>
  <c r="AG520" i="5"/>
  <c r="AG425" i="5"/>
  <c r="AG381" i="5"/>
  <c r="AG492" i="5"/>
  <c r="AG359" i="5"/>
  <c r="AG462" i="5"/>
  <c r="AG294" i="5"/>
  <c r="AG277" i="5"/>
  <c r="AG557" i="5"/>
  <c r="AG317" i="5"/>
  <c r="AG523" i="5"/>
  <c r="AG130" i="5"/>
  <c r="AG128" i="5"/>
  <c r="AG253" i="5"/>
  <c r="AG57" i="5"/>
  <c r="AG362" i="5"/>
  <c r="AG486" i="5"/>
  <c r="AG10" i="5"/>
  <c r="AG242" i="5"/>
  <c r="AG428" i="5"/>
  <c r="AG141" i="5"/>
  <c r="AG59" i="5"/>
  <c r="AG327" i="5"/>
  <c r="AG185" i="5"/>
  <c r="AG209" i="5"/>
  <c r="AG319" i="5"/>
  <c r="AG255" i="5"/>
  <c r="AG129" i="5"/>
  <c r="AG175" i="5"/>
  <c r="AG63" i="5"/>
  <c r="AG347" i="5"/>
  <c r="AG238" i="5"/>
  <c r="AG419" i="5"/>
  <c r="AG382" i="5"/>
  <c r="AG316" i="5"/>
  <c r="AG363" i="5"/>
  <c r="AG151" i="5"/>
  <c r="AG499" i="5"/>
  <c r="AG356" i="5"/>
  <c r="AG159" i="5"/>
  <c r="AG312" i="5"/>
  <c r="AG146" i="5"/>
  <c r="AG413" i="5"/>
  <c r="AG133" i="5"/>
  <c r="AG313" i="5"/>
  <c r="AG174" i="5"/>
  <c r="AG7" i="5"/>
  <c r="AG403" i="5"/>
  <c r="AG443" i="5"/>
  <c r="AG50" i="5"/>
  <c r="AG125" i="5"/>
  <c r="AG302" i="5"/>
  <c r="AG473" i="5"/>
  <c r="AG283" i="5"/>
  <c r="AG161" i="5"/>
  <c r="AG24" i="5"/>
  <c r="AG231" i="5"/>
  <c r="AG69" i="5"/>
  <c r="AG91" i="5"/>
  <c r="AG70" i="5"/>
  <c r="AG156" i="5"/>
  <c r="AG389" i="5"/>
  <c r="AG250" i="5"/>
  <c r="AG168" i="5"/>
  <c r="AG333" i="5"/>
  <c r="AG291" i="5"/>
  <c r="AG77" i="5"/>
  <c r="AG207" i="5"/>
  <c r="AG222" i="5"/>
  <c r="AG78" i="5"/>
  <c r="AG56" i="5"/>
  <c r="AG19" i="5"/>
  <c r="AG167" i="5"/>
  <c r="AG178" i="5"/>
  <c r="AG225" i="5"/>
  <c r="AG472" i="5"/>
  <c r="AG200" i="5"/>
  <c r="AG518" i="5"/>
  <c r="AG342" i="5"/>
  <c r="AG260" i="5"/>
  <c r="AG539" i="5"/>
  <c r="AG152" i="5"/>
  <c r="AG28" i="5"/>
  <c r="AG511" i="5"/>
  <c r="AG153" i="5"/>
  <c r="AG268" i="5"/>
  <c r="AG308" i="5"/>
  <c r="AG509" i="5"/>
  <c r="AG118" i="5"/>
  <c r="AG103" i="5"/>
  <c r="AG558" i="5"/>
  <c r="AG270" i="5"/>
  <c r="AG323" i="5"/>
  <c r="AG212" i="5"/>
  <c r="AG113" i="5"/>
  <c r="AG284" i="5"/>
  <c r="AG488" i="5"/>
  <c r="AG358" i="5"/>
  <c r="AG204" i="5"/>
  <c r="AG538" i="5"/>
  <c r="AG234" i="5"/>
  <c r="AG548" i="5"/>
  <c r="AG409" i="5"/>
  <c r="AG237" i="5"/>
  <c r="AG522" i="5"/>
  <c r="AG296" i="5"/>
  <c r="AG427" i="5"/>
  <c r="AG176" i="5"/>
  <c r="AG127" i="5"/>
  <c r="AG265" i="5"/>
  <c r="AG368" i="5"/>
  <c r="AG281" i="5"/>
  <c r="AG38" i="5"/>
  <c r="AG23" i="5"/>
  <c r="AG248" i="5"/>
  <c r="AG108" i="5"/>
  <c r="AG217" i="5"/>
  <c r="AG385" i="5"/>
  <c r="AG254" i="5"/>
  <c r="AG373" i="5"/>
  <c r="AG297" i="5"/>
  <c r="AG549" i="5"/>
  <c r="AG328" i="5"/>
  <c r="AG32" i="5"/>
  <c r="AG210" i="5"/>
  <c r="AG74" i="5"/>
  <c r="AG384" i="5"/>
  <c r="AG126" i="5"/>
  <c r="AG83" i="5"/>
  <c r="AG31" i="5"/>
  <c r="AG280" i="5"/>
  <c r="AG431" i="5"/>
  <c r="AG479" i="5"/>
  <c r="AG198" i="5"/>
  <c r="AG536" i="5"/>
  <c r="AG90" i="5"/>
  <c r="AG454" i="5"/>
  <c r="AG406" i="5"/>
  <c r="AG229" i="5"/>
  <c r="AG309" i="5"/>
  <c r="AG551" i="5"/>
  <c r="AG464" i="5"/>
  <c r="AG401" i="5"/>
  <c r="AG529" i="5"/>
  <c r="AG376" i="5"/>
  <c r="AG550" i="5"/>
  <c r="AG484" i="5"/>
  <c r="AG455" i="5"/>
  <c r="AG326" i="5"/>
  <c r="AG414" i="5"/>
  <c r="AG375" i="5"/>
  <c r="AG497" i="5"/>
  <c r="AG288" i="5"/>
  <c r="AG421" i="5"/>
  <c r="AG460" i="5"/>
  <c r="AG8" i="5"/>
  <c r="AG480" i="5"/>
  <c r="AG417" i="5"/>
  <c r="AG546" i="5"/>
  <c r="AG162" i="5"/>
  <c r="AG423" i="5"/>
  <c r="AG286" i="5"/>
  <c r="AG194" i="5"/>
  <c r="AG386" i="5"/>
  <c r="AG398" i="5"/>
  <c r="AG51" i="5"/>
  <c r="AG524" i="5"/>
  <c r="AG446" i="5"/>
  <c r="AG299" i="5"/>
  <c r="AG424" i="5"/>
  <c r="AG513" i="5"/>
  <c r="AG482" i="5"/>
  <c r="AG343" i="5"/>
  <c r="AG216" i="5"/>
  <c r="AG264" i="5"/>
  <c r="AG335" i="5"/>
  <c r="AG218" i="5"/>
  <c r="AM430" i="5"/>
  <c r="AM417" i="5"/>
  <c r="AM516" i="5"/>
  <c r="AM232" i="5"/>
  <c r="AM467" i="5"/>
  <c r="AM175" i="5"/>
  <c r="AM245" i="5"/>
  <c r="AM280" i="5"/>
  <c r="AM373" i="5"/>
  <c r="AM257" i="5"/>
  <c r="AM261" i="5"/>
  <c r="AM235" i="5"/>
  <c r="AM139" i="5"/>
  <c r="AM157" i="5"/>
  <c r="AM114" i="5"/>
  <c r="AM40" i="5"/>
  <c r="AM429" i="5"/>
  <c r="AM424" i="5"/>
  <c r="AM80" i="5"/>
  <c r="AM212" i="5"/>
  <c r="AM322" i="5"/>
  <c r="AM489" i="5"/>
  <c r="AM60" i="5"/>
  <c r="AM221" i="5"/>
  <c r="AM546" i="5"/>
  <c r="AM21" i="5"/>
  <c r="AM92" i="5"/>
  <c r="AM298" i="5"/>
  <c r="AM288" i="5"/>
  <c r="AM514" i="5"/>
  <c r="AM486" i="5"/>
  <c r="AM321" i="5"/>
  <c r="AM376" i="5"/>
  <c r="AM525" i="5"/>
  <c r="AM441" i="5"/>
  <c r="AM307" i="5"/>
  <c r="AM226" i="5"/>
  <c r="AM87" i="5"/>
  <c r="AM188" i="5"/>
  <c r="AM364" i="5"/>
  <c r="AM418" i="5"/>
  <c r="AM272" i="5"/>
  <c r="AM330" i="5"/>
  <c r="AM51" i="5"/>
  <c r="AM182" i="5"/>
  <c r="AM345" i="5"/>
  <c r="AM395" i="5"/>
  <c r="AM278" i="5"/>
  <c r="AM380" i="5"/>
  <c r="AM391" i="5"/>
  <c r="AM121" i="5"/>
  <c r="AM405" i="5"/>
  <c r="AM374" i="5"/>
  <c r="AM390" i="5"/>
  <c r="AM89" i="5"/>
  <c r="AM350" i="5"/>
  <c r="AM124" i="5"/>
  <c r="AM409" i="5"/>
  <c r="AM253" i="5"/>
  <c r="AM487" i="5"/>
  <c r="AM224" i="5"/>
  <c r="AM246" i="5"/>
  <c r="AM534" i="5"/>
  <c r="AM269" i="5"/>
  <c r="AM539" i="5"/>
  <c r="AM351" i="5"/>
  <c r="AM289" i="5"/>
  <c r="AM142" i="5"/>
  <c r="AM48" i="5"/>
  <c r="AM63" i="5"/>
  <c r="AM130" i="5"/>
  <c r="AM204" i="5"/>
  <c r="AM171" i="5"/>
  <c r="AM478" i="5"/>
  <c r="AM8" i="5"/>
  <c r="AM147" i="5"/>
  <c r="AM31" i="5"/>
  <c r="AM211" i="5"/>
  <c r="AM484" i="5"/>
  <c r="AM96" i="5"/>
  <c r="AM133" i="5"/>
  <c r="AM132" i="5"/>
  <c r="AM346" i="5"/>
  <c r="AM191" i="5"/>
  <c r="AM277" i="5"/>
  <c r="AM483" i="5"/>
  <c r="AM7" i="5"/>
  <c r="AM315" i="5"/>
  <c r="AM445" i="5"/>
  <c r="AM531" i="5"/>
  <c r="AM493" i="5"/>
  <c r="AM381" i="5"/>
  <c r="AM201" i="5"/>
  <c r="AM521" i="5"/>
  <c r="AM123" i="5"/>
  <c r="AM296" i="5"/>
  <c r="AM282" i="5"/>
  <c r="AM118" i="5"/>
  <c r="AM91" i="5"/>
  <c r="AM126" i="5"/>
  <c r="AM71" i="5"/>
  <c r="AM406" i="5"/>
  <c r="AM75" i="5"/>
  <c r="AM70" i="5"/>
  <c r="AM507" i="5"/>
  <c r="AM385" i="5"/>
  <c r="AM223" i="5"/>
  <c r="AM501" i="5"/>
  <c r="AM242" i="5"/>
  <c r="AM490" i="5"/>
  <c r="AM423" i="5"/>
  <c r="AM205" i="5"/>
  <c r="AM443" i="5"/>
  <c r="AM378" i="5"/>
  <c r="AM522" i="5"/>
  <c r="AM466" i="5"/>
  <c r="AM74" i="5"/>
  <c r="AM79" i="5"/>
  <c r="AM339" i="5"/>
  <c r="AM549" i="5"/>
  <c r="AM518" i="5"/>
  <c r="AM314" i="5"/>
  <c r="AM379" i="5"/>
  <c r="AM168" i="5"/>
  <c r="AM414" i="5"/>
  <c r="AM550" i="5"/>
  <c r="AM58" i="5"/>
  <c r="AM392" i="5"/>
  <c r="AM285" i="5"/>
  <c r="AM141" i="5"/>
  <c r="AM47" i="5"/>
  <c r="AM388" i="5"/>
  <c r="AM156" i="5"/>
  <c r="AM128" i="5"/>
  <c r="AM538" i="5"/>
  <c r="AM323" i="5"/>
  <c r="AM117" i="5"/>
  <c r="AM214" i="5"/>
  <c r="AM449" i="5"/>
  <c r="AM218" i="5"/>
  <c r="AM268" i="5"/>
  <c r="AM172" i="5"/>
  <c r="AM271" i="5"/>
  <c r="AM520" i="5"/>
  <c r="AM83" i="5"/>
  <c r="AM371" i="5"/>
  <c r="AM119" i="5"/>
  <c r="AM24" i="5"/>
  <c r="AM57" i="5"/>
  <c r="AM231" i="5"/>
  <c r="AM35" i="5"/>
  <c r="AM435" i="5"/>
  <c r="AM305" i="5"/>
  <c r="AM25" i="5"/>
  <c r="AM99" i="5"/>
  <c r="AM407" i="5"/>
  <c r="AM210" i="5"/>
  <c r="AM553" i="5"/>
  <c r="AM161" i="5"/>
  <c r="AM199" i="5"/>
  <c r="AM86" i="5"/>
  <c r="AM254" i="5"/>
  <c r="AM111" i="5"/>
  <c r="AM93" i="5"/>
  <c r="AM341" i="5"/>
  <c r="AM207" i="5"/>
  <c r="AM23" i="5"/>
  <c r="B78" i="5"/>
  <c r="AM76" i="5"/>
  <c r="AM250" i="5"/>
  <c r="AM508" i="5"/>
  <c r="AM331" i="5"/>
  <c r="AM167" i="5"/>
  <c r="AM270" i="5"/>
  <c r="AM238" i="5"/>
  <c r="AM103" i="5"/>
  <c r="AM436" i="5"/>
  <c r="AM361" i="5"/>
  <c r="AM20" i="5"/>
  <c r="AM422" i="5"/>
  <c r="AM122" i="5"/>
  <c r="AM476" i="5"/>
  <c r="AM488" i="5"/>
  <c r="AM180" i="5"/>
  <c r="AM197" i="5"/>
  <c r="AM428" i="5"/>
  <c r="AM471" i="5"/>
  <c r="AM185" i="5"/>
  <c r="AM256" i="5"/>
  <c r="AM480" i="5"/>
  <c r="AM29" i="5"/>
  <c r="AM360" i="5"/>
  <c r="AM511" i="5"/>
  <c r="AM458" i="5"/>
  <c r="AM174" i="5"/>
  <c r="AM527" i="5"/>
  <c r="AM465" i="5"/>
  <c r="AM227" i="5"/>
  <c r="AM540" i="5"/>
  <c r="AM498" i="5"/>
  <c r="AM208" i="5"/>
  <c r="AM347" i="5"/>
  <c r="AM349" i="5"/>
  <c r="AM532" i="5"/>
  <c r="AM506" i="5"/>
  <c r="AM59" i="5"/>
  <c r="AM303" i="5"/>
  <c r="AM300" i="5"/>
  <c r="AM367" i="5"/>
  <c r="AM150" i="5"/>
  <c r="AM528" i="5"/>
  <c r="AM470" i="5"/>
  <c r="AM44" i="5"/>
  <c r="AM49" i="5"/>
  <c r="AM100" i="5"/>
  <c r="AM492" i="5"/>
  <c r="AM472" i="5"/>
  <c r="AM401" i="5"/>
  <c r="AM131" i="5"/>
  <c r="AM468" i="5"/>
  <c r="AM234" i="5"/>
  <c r="AM173" i="5"/>
  <c r="AM359" i="5"/>
  <c r="AM384" i="5"/>
  <c r="AM399" i="5"/>
  <c r="AM137" i="5"/>
  <c r="AM523" i="5"/>
  <c r="AM460" i="5"/>
  <c r="AM496" i="5"/>
  <c r="AM477" i="5"/>
  <c r="AM317" i="5"/>
  <c r="AM203" i="5"/>
  <c r="AM403" i="5"/>
  <c r="AM310" i="5"/>
  <c r="AM43" i="5"/>
  <c r="AM505" i="5"/>
  <c r="AM113" i="5"/>
  <c r="AM294" i="5"/>
  <c r="AM52" i="5"/>
  <c r="AM247" i="5"/>
  <c r="AM45" i="5"/>
  <c r="AM495" i="5"/>
  <c r="AM415" i="5"/>
  <c r="AM475" i="5"/>
  <c r="AM461" i="5"/>
  <c r="AM500" i="5"/>
  <c r="AM67" i="5"/>
  <c r="AM338" i="5"/>
  <c r="AM229" i="5"/>
  <c r="AM138" i="5"/>
  <c r="AM165" i="5"/>
  <c r="AM554" i="5"/>
  <c r="AM559" i="5"/>
  <c r="AM442" i="5"/>
  <c r="AM279" i="5"/>
  <c r="AM352" i="5"/>
  <c r="AM115" i="5"/>
  <c r="AM453" i="5"/>
  <c r="AM97" i="5"/>
  <c r="AM158" i="5"/>
  <c r="AM356" i="5"/>
  <c r="AM220" i="5"/>
  <c r="AM19" i="5"/>
  <c r="AM510" i="5"/>
  <c r="AM389" i="5"/>
  <c r="AM293" i="5"/>
  <c r="AM102" i="5"/>
  <c r="AM90" i="5"/>
  <c r="AM163" i="5"/>
  <c r="AM127" i="5"/>
  <c r="AM94" i="5"/>
  <c r="AM335" i="5"/>
  <c r="AM27" i="5"/>
  <c r="AM291" i="5"/>
  <c r="AM357" i="5"/>
  <c r="AM343" i="5"/>
  <c r="AM382" i="5"/>
  <c r="AM526" i="5"/>
  <c r="AM464" i="5"/>
  <c r="AM320" i="5"/>
  <c r="AM292" i="5"/>
  <c r="AM273" i="5"/>
  <c r="AM519" i="5"/>
  <c r="AM283" i="5"/>
  <c r="AM309" i="5"/>
  <c r="AM408" i="5"/>
  <c r="AM217" i="5"/>
  <c r="AM455" i="5"/>
  <c r="AM469" i="5"/>
  <c r="AM463" i="5"/>
  <c r="AM396" i="5"/>
  <c r="AM66" i="5"/>
  <c r="AM230" i="5"/>
  <c r="AM61" i="5"/>
  <c r="AM513" i="5"/>
  <c r="AM340" i="5"/>
  <c r="AM120" i="5"/>
  <c r="AM497" i="5"/>
  <c r="AM88" i="5"/>
  <c r="AM179" i="5"/>
  <c r="AM42" i="5"/>
  <c r="AM365" i="5"/>
  <c r="AM53" i="5"/>
  <c r="AM136" i="5"/>
  <c r="AM82" i="5"/>
  <c r="AM333" i="5"/>
  <c r="AM543" i="5"/>
  <c r="AM146" i="5"/>
  <c r="AM426" i="5"/>
  <c r="AM129" i="5"/>
  <c r="AM332" i="5"/>
  <c r="AM56" i="5"/>
  <c r="AM354" i="5"/>
  <c r="AM149" i="5"/>
  <c r="AM112" i="5"/>
  <c r="AM125" i="5"/>
  <c r="AM366" i="5"/>
  <c r="AM482" i="5"/>
  <c r="AM255" i="5"/>
  <c r="AM116" i="5"/>
  <c r="AM337" i="5"/>
  <c r="AM393" i="5"/>
  <c r="AM55" i="5"/>
  <c r="AM155" i="5"/>
  <c r="AM459" i="5"/>
  <c r="AM135" i="5"/>
  <c r="AM258" i="5"/>
  <c r="AM32" i="5"/>
  <c r="AM194" i="5"/>
  <c r="AM95" i="5"/>
  <c r="AM263" i="5"/>
  <c r="AM324" i="5"/>
  <c r="AM348" i="5"/>
  <c r="AM259" i="5"/>
  <c r="AM239" i="5"/>
  <c r="AM228" i="5"/>
  <c r="AM287" i="5"/>
  <c r="AM213" i="5"/>
  <c r="AM481" i="5"/>
  <c r="AM299" i="5"/>
  <c r="AM243" i="5"/>
  <c r="AM509" i="5"/>
  <c r="AM10" i="5"/>
  <c r="AM369" i="5"/>
  <c r="AM39" i="5"/>
  <c r="AM537" i="5"/>
  <c r="AM499" i="5"/>
  <c r="AM110" i="5"/>
  <c r="AM81" i="5"/>
  <c r="AM248" i="5"/>
  <c r="AM370" i="5"/>
  <c r="AM437" i="5"/>
  <c r="AM548" i="5"/>
  <c r="AM73" i="5"/>
  <c r="AM206" i="5"/>
  <c r="AM342" i="5"/>
  <c r="AM236" i="5"/>
  <c r="AM485" i="5"/>
  <c r="AM542" i="5"/>
  <c r="AM434" i="5"/>
  <c r="AM517" i="5"/>
  <c r="AM184" i="5"/>
  <c r="AM431" i="5"/>
  <c r="AM456" i="5"/>
  <c r="AM26" i="5"/>
  <c r="AM336" i="5"/>
  <c r="AM50" i="5"/>
  <c r="AM85" i="5"/>
  <c r="AM105" i="5"/>
  <c r="AM302" i="5"/>
  <c r="AM64" i="5"/>
  <c r="AM297" i="5"/>
  <c r="AM327" i="5"/>
  <c r="AM316" i="5"/>
  <c r="AM34" i="5"/>
  <c r="AM264" i="5"/>
  <c r="AM387" i="5"/>
  <c r="AM65" i="5"/>
  <c r="AM198" i="5"/>
  <c r="AM556" i="5"/>
  <c r="AM383" i="5"/>
  <c r="AM363" i="5"/>
  <c r="AM440" i="5"/>
  <c r="AM145" i="5"/>
  <c r="AM107" i="5"/>
  <c r="AM186" i="5"/>
  <c r="AM398" i="5"/>
  <c r="AM169" i="5"/>
  <c r="AM536" i="5"/>
  <c r="AM368" i="5"/>
  <c r="AM400" i="5"/>
  <c r="AM36" i="5"/>
  <c r="AM325" i="5"/>
  <c r="AM386" i="5"/>
  <c r="AM46" i="5"/>
  <c r="AM439" i="5"/>
  <c r="AM144" i="5"/>
  <c r="AM101" i="5"/>
  <c r="AM304" i="5"/>
  <c r="AM362" i="5"/>
  <c r="AM108" i="5"/>
  <c r="AM12" i="5"/>
  <c r="AM457" i="5"/>
  <c r="AM530" i="5"/>
  <c r="AM170" i="5"/>
  <c r="AM419" i="5"/>
  <c r="AM319" i="5"/>
  <c r="AM249" i="5"/>
  <c r="AM196" i="5"/>
  <c r="AM267" i="5"/>
  <c r="AM233" i="5"/>
  <c r="AM552" i="5"/>
  <c r="AM244" i="5"/>
  <c r="AM176" i="5"/>
  <c r="AM502" i="5"/>
  <c r="AM290" i="5"/>
  <c r="AM413" i="5"/>
  <c r="AM462" i="5"/>
  <c r="AM410" i="5"/>
  <c r="AM318" i="5"/>
  <c r="AM515" i="5"/>
  <c r="AM219" i="5"/>
  <c r="AM262" i="5"/>
  <c r="AM334" i="5"/>
  <c r="AM358" i="5"/>
  <c r="AM533" i="5"/>
  <c r="AM555" i="5"/>
  <c r="AM402" i="5"/>
  <c r="AM438" i="5"/>
  <c r="AM284" i="5"/>
  <c r="AM181" i="5"/>
  <c r="AM547" i="5"/>
  <c r="AM535" i="5"/>
  <c r="AM529" i="5"/>
  <c r="AM22" i="5"/>
  <c r="AM311" i="5"/>
  <c r="AM189" i="5"/>
  <c r="AM372" i="5"/>
  <c r="AM433" i="5"/>
  <c r="AM98" i="5"/>
  <c r="AM225" i="5"/>
  <c r="AM444" i="5"/>
  <c r="AM134" i="5"/>
  <c r="AM301" i="5"/>
  <c r="AM153" i="5"/>
  <c r="AM260" i="5"/>
  <c r="AM544" i="5"/>
  <c r="AM326" i="5"/>
  <c r="AM432" i="5"/>
  <c r="AM524" i="5"/>
  <c r="AM512" i="5"/>
  <c r="AM281" i="5"/>
  <c r="AM454" i="5"/>
  <c r="AM154" i="5"/>
  <c r="AM491" i="5"/>
  <c r="AM69" i="5"/>
  <c r="AM178" i="5"/>
  <c r="AM159" i="5"/>
  <c r="AM344" i="5"/>
  <c r="AM195" i="5"/>
  <c r="AM353" i="5"/>
  <c r="AM54" i="5"/>
  <c r="AM545" i="5"/>
  <c r="AM313" i="5"/>
  <c r="AM160" i="5"/>
  <c r="AM416" i="5"/>
  <c r="AM109" i="5"/>
  <c r="AM425" i="5"/>
  <c r="AM275" i="5"/>
  <c r="AM13" i="5"/>
  <c r="AM421" i="5"/>
  <c r="AM276" i="5"/>
  <c r="AM193" i="5"/>
  <c r="AM504" i="5"/>
  <c r="AM306" i="5"/>
  <c r="AM479" i="5"/>
  <c r="AM450" i="5"/>
  <c r="AM541" i="5"/>
  <c r="AM328" i="5"/>
  <c r="AM448" i="5"/>
  <c r="AM295" i="5"/>
  <c r="AM394" i="5"/>
  <c r="AM177" i="5"/>
  <c r="AM312" i="5"/>
  <c r="AM28" i="5"/>
  <c r="AM209" i="5"/>
  <c r="AM215" i="5"/>
  <c r="AM152" i="5"/>
  <c r="AM38" i="5"/>
  <c r="AM192" i="5"/>
  <c r="AM202" i="5"/>
  <c r="AM164" i="5"/>
  <c r="AM474" i="5"/>
  <c r="AM183" i="5"/>
  <c r="AM503" i="5"/>
  <c r="AM72" i="5"/>
  <c r="AM241" i="5"/>
  <c r="AM446" i="5"/>
  <c r="AM473" i="5"/>
  <c r="AM143" i="5"/>
  <c r="AM329" i="5"/>
  <c r="AM240" i="5"/>
  <c r="AM286" i="5"/>
  <c r="AM265" i="5"/>
  <c r="AM140" i="5"/>
  <c r="AM557" i="5"/>
  <c r="AM447" i="5"/>
  <c r="AM452" i="5"/>
  <c r="AM494" i="5"/>
  <c r="AM106" i="5"/>
  <c r="AM427" i="5"/>
  <c r="AM41" i="5"/>
  <c r="AM375" i="5"/>
  <c r="AM84" i="5"/>
  <c r="AM420" i="5"/>
  <c r="AM62" i="5"/>
  <c r="AM412" i="5"/>
  <c r="AM148" i="5"/>
  <c r="AM216" i="5"/>
  <c r="AM30" i="5"/>
  <c r="AM222" i="5"/>
  <c r="AM33" i="5"/>
  <c r="AM187" i="5"/>
  <c r="AM200" i="5"/>
  <c r="AM308" i="5"/>
  <c r="AM266" i="5"/>
  <c r="AM404" i="5"/>
  <c r="AM162" i="5"/>
  <c r="AM377" i="5"/>
  <c r="AM77" i="5"/>
  <c r="AM166" i="5"/>
  <c r="AM355" i="5"/>
  <c r="AM190" i="5"/>
  <c r="AM252" i="5"/>
  <c r="AM558" i="5"/>
  <c r="AM104" i="5"/>
  <c r="AM274" i="5"/>
  <c r="AM68" i="5"/>
  <c r="AM37" i="5"/>
  <c r="AM251" i="5"/>
  <c r="AM451" i="5"/>
  <c r="AM151" i="5"/>
  <c r="AM237" i="5"/>
  <c r="AM551" i="5"/>
  <c r="AM560" i="5"/>
  <c r="AM411" i="5"/>
  <c r="AM397" i="5"/>
  <c r="AM78" i="5"/>
  <c r="Y344" i="5"/>
  <c r="X344" i="5"/>
  <c r="Y494" i="5"/>
  <c r="X494" i="5"/>
  <c r="Y463" i="5"/>
  <c r="X463" i="5"/>
  <c r="Y370" i="5"/>
  <c r="X370" i="5"/>
  <c r="Y13" i="5"/>
  <c r="X13" i="5"/>
  <c r="Y152" i="5"/>
  <c r="X152" i="5"/>
  <c r="X206" i="5"/>
  <c r="Y206" i="5"/>
  <c r="X137" i="5"/>
  <c r="Y137" i="5"/>
  <c r="Y218" i="5"/>
  <c r="X218" i="5"/>
  <c r="Y104" i="5"/>
  <c r="X104" i="5"/>
  <c r="X535" i="5"/>
  <c r="Y535" i="5"/>
  <c r="X230" i="5"/>
  <c r="Y230" i="5"/>
  <c r="Y292" i="5"/>
  <c r="X292" i="5"/>
  <c r="W9" i="5"/>
  <c r="T9" i="5"/>
  <c r="AG9" i="5"/>
  <c r="AZ9" i="5"/>
  <c r="Z9" i="5"/>
  <c r="AW9" i="5"/>
  <c r="AJ9" i="5"/>
  <c r="AT9" i="5"/>
  <c r="AM9" i="5"/>
  <c r="X43" i="5"/>
  <c r="Y43" i="5"/>
  <c r="X174" i="5"/>
  <c r="Y174" i="5"/>
  <c r="X430" i="5"/>
  <c r="Y430" i="5"/>
  <c r="X291" i="5"/>
  <c r="Y291" i="5"/>
  <c r="X260" i="5"/>
  <c r="Y260" i="5"/>
  <c r="Y529" i="5"/>
  <c r="X529" i="5"/>
  <c r="X163" i="5"/>
  <c r="Y163" i="5"/>
  <c r="Y57" i="5"/>
  <c r="X57" i="5"/>
  <c r="X113" i="5"/>
  <c r="Y113" i="5"/>
  <c r="X324" i="5"/>
  <c r="Y324" i="5"/>
  <c r="Y99" i="5"/>
  <c r="X99" i="5"/>
  <c r="Y277" i="5"/>
  <c r="X277" i="5"/>
  <c r="X201" i="5"/>
  <c r="Y201" i="5"/>
  <c r="X128" i="5"/>
  <c r="Y128" i="5"/>
  <c r="X41" i="5"/>
  <c r="Y41" i="5"/>
  <c r="Y479" i="5"/>
  <c r="X479" i="5"/>
  <c r="Y227" i="5"/>
  <c r="X227" i="5"/>
  <c r="X147" i="5"/>
  <c r="Y147" i="5"/>
  <c r="Y234" i="5"/>
  <c r="X234" i="5"/>
  <c r="Y560" i="5"/>
  <c r="X560" i="5"/>
  <c r="X54" i="5"/>
  <c r="Y54" i="5"/>
  <c r="Y559" i="5"/>
  <c r="X559" i="5"/>
  <c r="X285" i="5"/>
  <c r="Y285" i="5"/>
  <c r="X357" i="5"/>
  <c r="Y357" i="5"/>
  <c r="Y396" i="5"/>
  <c r="X396" i="5"/>
  <c r="X126" i="5"/>
  <c r="Y126" i="5"/>
  <c r="Y524" i="5"/>
  <c r="X524" i="5"/>
  <c r="X192" i="5"/>
  <c r="Y192" i="5"/>
  <c r="X8" i="5"/>
  <c r="Y8" i="5"/>
  <c r="Y254" i="5"/>
  <c r="X254" i="5"/>
  <c r="X373" i="5"/>
  <c r="Y373" i="5"/>
  <c r="Y276" i="5"/>
  <c r="X276" i="5"/>
  <c r="Y521" i="5"/>
  <c r="X521" i="5"/>
  <c r="X538" i="5"/>
  <c r="Y538" i="5"/>
  <c r="X484" i="5"/>
  <c r="Y484" i="5"/>
  <c r="Y290" i="5"/>
  <c r="X290" i="5"/>
  <c r="X550" i="5"/>
  <c r="Y550" i="5"/>
  <c r="Y547" i="5"/>
  <c r="X547" i="5"/>
  <c r="X241" i="5"/>
  <c r="Y241" i="5"/>
  <c r="X330" i="5"/>
  <c r="Y330" i="5"/>
  <c r="Y518" i="5"/>
  <c r="X518" i="5"/>
  <c r="X149" i="5"/>
  <c r="Y149" i="5"/>
  <c r="X554" i="5"/>
  <c r="Y554" i="5"/>
  <c r="Y361" i="5"/>
  <c r="X361" i="5"/>
  <c r="Y318" i="5"/>
  <c r="X318" i="5"/>
  <c r="Y455" i="5"/>
  <c r="X455" i="5"/>
  <c r="Y223" i="5"/>
  <c r="X223" i="5"/>
  <c r="X545" i="5"/>
  <c r="Y545" i="5"/>
  <c r="X338" i="5"/>
  <c r="Y338" i="5"/>
  <c r="X157" i="5"/>
  <c r="Y157" i="5"/>
  <c r="X503" i="5"/>
  <c r="Y503" i="5"/>
  <c r="Y558" i="5"/>
  <c r="X558" i="5"/>
  <c r="X119" i="5"/>
  <c r="Y119" i="5"/>
  <c r="Y481" i="5"/>
  <c r="X481" i="5"/>
  <c r="X332" i="5"/>
  <c r="Y332" i="5"/>
  <c r="Y191" i="5"/>
  <c r="X191" i="5"/>
  <c r="X76" i="5"/>
  <c r="Y76" i="5"/>
  <c r="Y281" i="5"/>
  <c r="X281" i="5"/>
  <c r="Y196" i="5"/>
  <c r="X196" i="5"/>
  <c r="Y452" i="5"/>
  <c r="X452" i="5"/>
  <c r="Y298" i="5"/>
  <c r="X298" i="5"/>
  <c r="Y461" i="5"/>
  <c r="X461" i="5"/>
  <c r="Y504" i="5"/>
  <c r="X504" i="5"/>
  <c r="X349" i="5"/>
  <c r="Y349" i="5"/>
  <c r="Y114" i="5"/>
  <c r="X114" i="5"/>
  <c r="Y394" i="5"/>
  <c r="X394" i="5"/>
  <c r="Y220" i="5"/>
  <c r="X220" i="5"/>
  <c r="X224" i="5"/>
  <c r="Y224" i="5"/>
  <c r="Y505" i="5"/>
  <c r="X505" i="5"/>
  <c r="X106" i="5"/>
  <c r="Y106" i="5"/>
  <c r="X302" i="5"/>
  <c r="Y302" i="5"/>
  <c r="X243" i="5"/>
  <c r="Y243" i="5"/>
  <c r="Y492" i="5"/>
  <c r="X492" i="5"/>
  <c r="X214" i="5"/>
  <c r="Y214" i="5"/>
  <c r="X549" i="5"/>
  <c r="Y549" i="5"/>
  <c r="X300" i="5"/>
  <c r="Y300" i="5"/>
  <c r="X37" i="5"/>
  <c r="Y37" i="5"/>
  <c r="Y553" i="5"/>
  <c r="X553" i="5"/>
  <c r="X426" i="5"/>
  <c r="Y426" i="5"/>
  <c r="Y60" i="5"/>
  <c r="X60" i="5"/>
  <c r="X476" i="5"/>
  <c r="Y476" i="5"/>
  <c r="Y70" i="5"/>
  <c r="X70" i="5"/>
  <c r="X69" i="5"/>
  <c r="Y69" i="5"/>
  <c r="X315" i="5"/>
  <c r="Y315" i="5"/>
  <c r="X271" i="5"/>
  <c r="Y271" i="5"/>
  <c r="X242" i="5"/>
  <c r="Y242" i="5"/>
  <c r="X433" i="5"/>
  <c r="Y433" i="5"/>
  <c r="X65" i="5"/>
  <c r="Y65" i="5"/>
  <c r="Y496" i="5"/>
  <c r="X496" i="5"/>
  <c r="Y80" i="5"/>
  <c r="X80" i="5"/>
  <c r="X556" i="5"/>
  <c r="Y556" i="5"/>
  <c r="X331" i="5"/>
  <c r="Y331" i="5"/>
  <c r="X238" i="5"/>
  <c r="Y238" i="5"/>
  <c r="X335" i="5"/>
  <c r="Y335" i="5"/>
  <c r="Y555" i="5"/>
  <c r="X555" i="5"/>
  <c r="X248" i="5"/>
  <c r="Y248" i="5"/>
  <c r="X352" i="5"/>
  <c r="Y352" i="5"/>
  <c r="Y440" i="5"/>
  <c r="X440" i="5"/>
  <c r="Y209" i="5"/>
  <c r="X209" i="5"/>
  <c r="X395" i="5"/>
  <c r="Y395" i="5"/>
  <c r="X507" i="5"/>
  <c r="Y507" i="5"/>
  <c r="X482" i="5"/>
  <c r="Y482" i="5"/>
  <c r="Y295" i="5"/>
  <c r="X295" i="5"/>
  <c r="X25" i="5"/>
  <c r="Y25" i="5"/>
  <c r="X296" i="5"/>
  <c r="Y296" i="5"/>
  <c r="X393" i="5"/>
  <c r="Y393" i="5"/>
  <c r="X121" i="5"/>
  <c r="Y121" i="5"/>
  <c r="Y166" i="5"/>
  <c r="X166" i="5"/>
  <c r="X30" i="5"/>
  <c r="Y30" i="5"/>
  <c r="Y198" i="5"/>
  <c r="X198" i="5"/>
  <c r="X36" i="5"/>
  <c r="Y36" i="5"/>
  <c r="Y110" i="5"/>
  <c r="X110" i="5"/>
  <c r="X415" i="5"/>
  <c r="Y415" i="5"/>
  <c r="Y217" i="5"/>
  <c r="X217" i="5"/>
  <c r="X253" i="5"/>
  <c r="Y253" i="5"/>
  <c r="Y115" i="5"/>
  <c r="X115" i="5"/>
  <c r="X381" i="5"/>
  <c r="Y381" i="5"/>
  <c r="X541" i="5"/>
  <c r="Y541" i="5"/>
  <c r="Y317" i="5"/>
  <c r="X317" i="5"/>
  <c r="X83" i="5"/>
  <c r="Y83" i="5"/>
  <c r="Y109" i="5"/>
  <c r="X109" i="5"/>
  <c r="X20" i="5"/>
  <c r="Y20" i="5"/>
  <c r="X249" i="5"/>
  <c r="Y249" i="5"/>
  <c r="AV81" i="4"/>
  <c r="U81" i="4"/>
  <c r="AV120" i="4"/>
  <c r="U120" i="4"/>
  <c r="AV117" i="4"/>
  <c r="U117" i="4"/>
  <c r="H29" i="1"/>
  <c r="K94" i="2"/>
  <c r="B84" i="2"/>
  <c r="B86" i="2" s="1"/>
  <c r="B87" i="2" s="1"/>
  <c r="H30" i="1" s="1"/>
  <c r="Y448" i="5"/>
  <c r="X448" i="5"/>
  <c r="X525" i="5"/>
  <c r="Y525" i="5"/>
  <c r="X22" i="5"/>
  <c r="Y22" i="5"/>
  <c r="Y333" i="5"/>
  <c r="X333" i="5"/>
  <c r="X500" i="5"/>
  <c r="Y500" i="5"/>
  <c r="Y103" i="5"/>
  <c r="X103" i="5"/>
  <c r="Y289" i="5"/>
  <c r="X289" i="5"/>
  <c r="Y404" i="5"/>
  <c r="X404" i="5"/>
  <c r="Y170" i="5"/>
  <c r="X170" i="5"/>
  <c r="Y287" i="5"/>
  <c r="X287" i="5"/>
  <c r="X389" i="5"/>
  <c r="Y389" i="5"/>
  <c r="X46" i="5"/>
  <c r="Y46" i="5"/>
  <c r="Y356" i="5"/>
  <c r="X356" i="5"/>
  <c r="X77" i="5"/>
  <c r="Y77" i="5"/>
  <c r="X58" i="5"/>
  <c r="Y58" i="5"/>
  <c r="X534" i="5"/>
  <c r="Y534" i="5"/>
  <c r="X50" i="5"/>
  <c r="Y50" i="5"/>
  <c r="X272" i="5"/>
  <c r="Y272" i="5"/>
  <c r="X355" i="5"/>
  <c r="Y355" i="5"/>
  <c r="X257" i="5"/>
  <c r="Y257" i="5"/>
  <c r="X364" i="5"/>
  <c r="Y364" i="5"/>
  <c r="X251" i="5"/>
  <c r="Y251" i="5"/>
  <c r="Y399" i="5"/>
  <c r="X399" i="5"/>
  <c r="Y464" i="5"/>
  <c r="X464" i="5"/>
  <c r="Y425" i="5"/>
  <c r="X425" i="5"/>
  <c r="Y40" i="5"/>
  <c r="X40" i="5"/>
  <c r="Y226" i="5"/>
  <c r="X226" i="5"/>
  <c r="Y150" i="5"/>
  <c r="X150" i="5"/>
  <c r="Y548" i="5"/>
  <c r="X548" i="5"/>
  <c r="Y105" i="5"/>
  <c r="X105" i="5"/>
  <c r="AV79" i="4"/>
  <c r="U79" i="4"/>
  <c r="AV151" i="4"/>
  <c r="U151" i="4"/>
  <c r="AV83" i="4"/>
  <c r="U83" i="4"/>
  <c r="AV28" i="4"/>
  <c r="U28" i="4"/>
  <c r="Y79" i="5"/>
  <c r="X79" i="5"/>
  <c r="X284" i="5"/>
  <c r="Y284" i="5"/>
  <c r="X96" i="5"/>
  <c r="Y96" i="5"/>
  <c r="X391" i="5"/>
  <c r="Y391" i="5"/>
  <c r="X129" i="5"/>
  <c r="Y129" i="5"/>
  <c r="Y387" i="5"/>
  <c r="X387" i="5"/>
  <c r="X530" i="5"/>
  <c r="Y530" i="5"/>
  <c r="X342" i="5"/>
  <c r="Y342" i="5"/>
  <c r="X528" i="5"/>
  <c r="Y528" i="5"/>
  <c r="X432" i="5"/>
  <c r="Y432" i="5"/>
  <c r="X134" i="5"/>
  <c r="Y134" i="5"/>
  <c r="X162" i="5"/>
  <c r="Y162" i="5"/>
  <c r="Y441" i="5"/>
  <c r="X441" i="5"/>
  <c r="Y194" i="5"/>
  <c r="X194" i="5"/>
  <c r="X252" i="5"/>
  <c r="Y252" i="5"/>
  <c r="X236" i="5"/>
  <c r="Y236" i="5"/>
  <c r="X222" i="5"/>
  <c r="Y222" i="5"/>
  <c r="X48" i="5"/>
  <c r="Y48" i="5"/>
  <c r="X63" i="5"/>
  <c r="Y63" i="5"/>
  <c r="X61" i="5"/>
  <c r="Y61" i="5"/>
  <c r="Y308" i="5"/>
  <c r="X308" i="5"/>
  <c r="X445" i="5"/>
  <c r="Y445" i="5"/>
  <c r="X457" i="5"/>
  <c r="Y457" i="5"/>
  <c r="Y120" i="5"/>
  <c r="X120" i="5"/>
  <c r="Y551" i="5"/>
  <c r="X551" i="5"/>
  <c r="Y509" i="5"/>
  <c r="X509" i="5"/>
  <c r="Y193" i="5"/>
  <c r="X193" i="5"/>
  <c r="X127" i="5"/>
  <c r="Y127" i="5"/>
  <c r="X188" i="5"/>
  <c r="Y188" i="5"/>
  <c r="Y510" i="5"/>
  <c r="X510" i="5"/>
  <c r="Y24" i="5"/>
  <c r="X24" i="5"/>
  <c r="Y539" i="5"/>
  <c r="X539" i="5"/>
  <c r="X161" i="5"/>
  <c r="Y161" i="5"/>
  <c r="Y270" i="5"/>
  <c r="X270" i="5"/>
  <c r="X72" i="5"/>
  <c r="Y72" i="5"/>
  <c r="X490" i="5"/>
  <c r="Y490" i="5"/>
  <c r="X108" i="5"/>
  <c r="Y108" i="5"/>
  <c r="X462" i="5"/>
  <c r="Y462" i="5"/>
  <c r="Y451" i="5"/>
  <c r="X451" i="5"/>
  <c r="Y97" i="5"/>
  <c r="X97" i="5"/>
  <c r="X405" i="5"/>
  <c r="Y405" i="5"/>
  <c r="Y495" i="5"/>
  <c r="X495" i="5"/>
  <c r="X183" i="5"/>
  <c r="Y183" i="5"/>
  <c r="Y82" i="5"/>
  <c r="X82" i="5"/>
  <c r="X33" i="5"/>
  <c r="Y33" i="5"/>
  <c r="X354" i="5"/>
  <c r="Y354" i="5"/>
  <c r="X56" i="5"/>
  <c r="Y56" i="5"/>
  <c r="X475" i="5"/>
  <c r="Y475" i="5"/>
  <c r="X523" i="5"/>
  <c r="Y523" i="5"/>
  <c r="Y299" i="5"/>
  <c r="X299" i="5"/>
  <c r="Y189" i="5"/>
  <c r="X189" i="5"/>
  <c r="Y67" i="5"/>
  <c r="X67" i="5"/>
  <c r="X374" i="5"/>
  <c r="Y374" i="5"/>
  <c r="Y468" i="5"/>
  <c r="X468" i="5"/>
  <c r="Y139" i="5"/>
  <c r="X139" i="5"/>
  <c r="Y421" i="5"/>
  <c r="X421" i="5"/>
  <c r="X469" i="5"/>
  <c r="Y469" i="5"/>
  <c r="X325" i="5"/>
  <c r="Y325" i="5"/>
  <c r="X123" i="5"/>
  <c r="Y123" i="5"/>
  <c r="Y517" i="5"/>
  <c r="X517" i="5"/>
  <c r="X138" i="5"/>
  <c r="Y138" i="5"/>
  <c r="Y59" i="5"/>
  <c r="X59" i="5"/>
  <c r="Y164" i="5"/>
  <c r="X164" i="5"/>
  <c r="X266" i="5"/>
  <c r="Y266" i="5"/>
  <c r="Y382" i="5"/>
  <c r="X382" i="5"/>
  <c r="Y62" i="5"/>
  <c r="X62" i="5"/>
  <c r="X506" i="5"/>
  <c r="Y506" i="5"/>
  <c r="X543" i="5"/>
  <c r="Y543" i="5"/>
  <c r="X282" i="5"/>
  <c r="Y282" i="5"/>
  <c r="X136" i="5"/>
  <c r="Y136" i="5"/>
  <c r="X273" i="5"/>
  <c r="Y273" i="5"/>
  <c r="X390" i="5"/>
  <c r="Y390" i="5"/>
  <c r="X350" i="5"/>
  <c r="Y350" i="5"/>
  <c r="Y228" i="5"/>
  <c r="X228" i="5"/>
  <c r="X467" i="5"/>
  <c r="Y467" i="5"/>
  <c r="X326" i="5"/>
  <c r="Y326" i="5"/>
  <c r="Y75" i="5"/>
  <c r="X75" i="5"/>
  <c r="Y294" i="5"/>
  <c r="X294" i="5"/>
  <c r="X178" i="5"/>
  <c r="Y178" i="5"/>
  <c r="Y491" i="5"/>
  <c r="X491" i="5"/>
  <c r="Y359" i="5"/>
  <c r="X359" i="5"/>
  <c r="Y385" i="5"/>
  <c r="X385" i="5"/>
  <c r="Y68" i="5"/>
  <c r="X68" i="5"/>
  <c r="X38" i="5"/>
  <c r="Y38" i="5"/>
  <c r="X542" i="5"/>
  <c r="Y542" i="5"/>
  <c r="X408" i="5"/>
  <c r="Y408" i="5"/>
  <c r="Y472" i="5"/>
  <c r="X472" i="5"/>
  <c r="X471" i="5"/>
  <c r="Y471" i="5"/>
  <c r="X29" i="5"/>
  <c r="Y29" i="5"/>
  <c r="X322" i="5"/>
  <c r="Y322" i="5"/>
  <c r="Y312" i="5"/>
  <c r="X312" i="5"/>
  <c r="X199" i="5"/>
  <c r="Y199" i="5"/>
  <c r="X34" i="5"/>
  <c r="Y34" i="5"/>
  <c r="X177" i="5"/>
  <c r="Y177" i="5"/>
  <c r="Y301" i="5"/>
  <c r="X301" i="5"/>
  <c r="X145" i="5"/>
  <c r="Y145" i="5"/>
  <c r="X269" i="5"/>
  <c r="Y269" i="5"/>
  <c r="X221" i="5"/>
  <c r="Y221" i="5"/>
  <c r="Y208" i="5"/>
  <c r="X208" i="5"/>
  <c r="X92" i="5"/>
  <c r="Y92" i="5"/>
  <c r="Y437" i="5"/>
  <c r="X437" i="5"/>
  <c r="X334" i="5"/>
  <c r="Y334" i="5"/>
  <c r="X74" i="5"/>
  <c r="Y74" i="5"/>
  <c r="X200" i="5"/>
  <c r="Y200" i="5"/>
  <c r="X246" i="5"/>
  <c r="Y246" i="5"/>
  <c r="Y348" i="5"/>
  <c r="X348" i="5"/>
  <c r="Y485" i="5"/>
  <c r="X485" i="5"/>
  <c r="X311" i="5"/>
  <c r="Y311" i="5"/>
  <c r="Y339" i="5"/>
  <c r="X339" i="5"/>
  <c r="Y160" i="5"/>
  <c r="X160" i="5"/>
  <c r="Y413" i="5"/>
  <c r="X413" i="5"/>
  <c r="Y379" i="5"/>
  <c r="X379" i="5"/>
  <c r="Y140" i="5"/>
  <c r="X140" i="5"/>
  <c r="X89" i="5"/>
  <c r="Y89" i="5"/>
  <c r="X466" i="5"/>
  <c r="Y466" i="5"/>
  <c r="Y229" i="5"/>
  <c r="X229" i="5"/>
  <c r="X168" i="5"/>
  <c r="Y168" i="5"/>
  <c r="Y416" i="5"/>
  <c r="X416" i="5"/>
  <c r="X499" i="5"/>
  <c r="Y499" i="5"/>
  <c r="X148" i="5"/>
  <c r="Y148" i="5"/>
  <c r="Y231" i="5"/>
  <c r="X231" i="5"/>
  <c r="R7" i="5"/>
  <c r="S7" i="5"/>
  <c r="AV74" i="4"/>
  <c r="U74" i="4"/>
  <c r="AV137" i="4"/>
  <c r="U137" i="4"/>
  <c r="AV126" i="4"/>
  <c r="U126" i="4"/>
  <c r="AV147" i="4"/>
  <c r="U147" i="4"/>
  <c r="AV121" i="4"/>
  <c r="U121" i="4"/>
  <c r="AV8" i="4"/>
  <c r="U8" i="4"/>
  <c r="AV94" i="4"/>
  <c r="U94" i="4"/>
  <c r="AV15" i="4"/>
  <c r="U15" i="4"/>
  <c r="AV59" i="4"/>
  <c r="U59" i="4"/>
  <c r="AV30" i="4"/>
  <c r="U30" i="4"/>
  <c r="AV93" i="4"/>
  <c r="U93" i="4"/>
  <c r="AV44" i="4"/>
  <c r="U44" i="4"/>
  <c r="AV145" i="4"/>
  <c r="U145" i="4"/>
  <c r="AV33" i="4"/>
  <c r="U33" i="4"/>
  <c r="AV31" i="4"/>
  <c r="U31" i="4"/>
  <c r="AV141" i="4"/>
  <c r="U141" i="4"/>
  <c r="AV67" i="4"/>
  <c r="U67" i="4"/>
  <c r="AV61" i="4"/>
  <c r="U61" i="4"/>
  <c r="AF11" i="5"/>
  <c r="AF9" i="5"/>
  <c r="AF94" i="5"/>
  <c r="AF395" i="5"/>
  <c r="AF391" i="5"/>
  <c r="AP391" i="5" s="1"/>
  <c r="AF497" i="5"/>
  <c r="AF523" i="5"/>
  <c r="AF342" i="5"/>
  <c r="AF499" i="5"/>
  <c r="AF56" i="5"/>
  <c r="AF258" i="5"/>
  <c r="AF524" i="5"/>
  <c r="AF414" i="5"/>
  <c r="AP414" i="5" s="1"/>
  <c r="AF33" i="5"/>
  <c r="AF245" i="5"/>
  <c r="AF277" i="5"/>
  <c r="AP277" i="5" s="1"/>
  <c r="AF517" i="5"/>
  <c r="AP517" i="5" s="1"/>
  <c r="AF452" i="5"/>
  <c r="AF496" i="5"/>
  <c r="AP496" i="5" s="1"/>
  <c r="AF136" i="5"/>
  <c r="AF513" i="5"/>
  <c r="AF461" i="5"/>
  <c r="AF232" i="5"/>
  <c r="AF250" i="5"/>
  <c r="AP250" i="5" s="1"/>
  <c r="AF511" i="5"/>
  <c r="AP511" i="5" s="1"/>
  <c r="AF321" i="5"/>
  <c r="AP321" i="5" s="1"/>
  <c r="AF167" i="5"/>
  <c r="AF29" i="5"/>
  <c r="AF77" i="5"/>
  <c r="AF440" i="5"/>
  <c r="AF164" i="5"/>
  <c r="AF371" i="5"/>
  <c r="AF281" i="5"/>
  <c r="AF292" i="5"/>
  <c r="AP292" i="5" s="1"/>
  <c r="AF330" i="5"/>
  <c r="AP330" i="5" s="1"/>
  <c r="AF43" i="5"/>
  <c r="AP43" i="5" s="1"/>
  <c r="AF364" i="5"/>
  <c r="AF148" i="5"/>
  <c r="AF454" i="5"/>
  <c r="AF460" i="5"/>
  <c r="AF495" i="5"/>
  <c r="AF98" i="5"/>
  <c r="AP98" i="5" s="1"/>
  <c r="AF539" i="5"/>
  <c r="AF445" i="5"/>
  <c r="AF55" i="5"/>
  <c r="AF360" i="5"/>
  <c r="AF412" i="5"/>
  <c r="AF427" i="5"/>
  <c r="AF305" i="5"/>
  <c r="AF146" i="5"/>
  <c r="AP146" i="5" s="1"/>
  <c r="AF288" i="5"/>
  <c r="AF131" i="5"/>
  <c r="AF112" i="5"/>
  <c r="AP112" i="5" s="1"/>
  <c r="AF189" i="5"/>
  <c r="AF551" i="5"/>
  <c r="AF139" i="5"/>
  <c r="AP139" i="5" s="1"/>
  <c r="AF104" i="5"/>
  <c r="AF177" i="5"/>
  <c r="AF210" i="5"/>
  <c r="AF500" i="5"/>
  <c r="AF243" i="5"/>
  <c r="AP243" i="5" s="1"/>
  <c r="AF205" i="5"/>
  <c r="AF278" i="5"/>
  <c r="AF172" i="5"/>
  <c r="AP172" i="5" s="1"/>
  <c r="AF393" i="5"/>
  <c r="AF366" i="5"/>
  <c r="AF347" i="5"/>
  <c r="AF127" i="5"/>
  <c r="AF89" i="5"/>
  <c r="AF153" i="5"/>
  <c r="AF208" i="5"/>
  <c r="AF256" i="5"/>
  <c r="AP256" i="5" s="1"/>
  <c r="AF255" i="5"/>
  <c r="AF234" i="5"/>
  <c r="AF116" i="5"/>
  <c r="AF532" i="5"/>
  <c r="AF415" i="5"/>
  <c r="AP415" i="5" s="1"/>
  <c r="AF100" i="5"/>
  <c r="AF537" i="5"/>
  <c r="AF544" i="5"/>
  <c r="AF310" i="5"/>
  <c r="AF430" i="5"/>
  <c r="AF142" i="5"/>
  <c r="AF357" i="5"/>
  <c r="AP357" i="5" s="1"/>
  <c r="AF138" i="5"/>
  <c r="AP138" i="5" s="1"/>
  <c r="AF548" i="5"/>
  <c r="AF318" i="5"/>
  <c r="AF85" i="5"/>
  <c r="AF542" i="5"/>
  <c r="AF370" i="5"/>
  <c r="AF308" i="5"/>
  <c r="AF465" i="5"/>
  <c r="AF467" i="5"/>
  <c r="AP467" i="5" s="1"/>
  <c r="AF451" i="5"/>
  <c r="AF408" i="5"/>
  <c r="AF163" i="5"/>
  <c r="AF122" i="5"/>
  <c r="AF203" i="5"/>
  <c r="AP203" i="5" s="1"/>
  <c r="AF76" i="5"/>
  <c r="AF118" i="5"/>
  <c r="AF443" i="5"/>
  <c r="AF257" i="5"/>
  <c r="AF268" i="5"/>
  <c r="AF30" i="5"/>
  <c r="AF401" i="5"/>
  <c r="AF295" i="5"/>
  <c r="AF252" i="5"/>
  <c r="AF550" i="5"/>
  <c r="AP550" i="5" s="1"/>
  <c r="AF506" i="5"/>
  <c r="AP506" i="5" s="1"/>
  <c r="AF486" i="5"/>
  <c r="AF394" i="5"/>
  <c r="AF425" i="5"/>
  <c r="AF19" i="5"/>
  <c r="AF212" i="5"/>
  <c r="AF135" i="5"/>
  <c r="AP135" i="5" s="1"/>
  <c r="AF488" i="5"/>
  <c r="AF510" i="5"/>
  <c r="AF231" i="5"/>
  <c r="AP231" i="5" s="1"/>
  <c r="AF490" i="5"/>
  <c r="AP490" i="5" s="1"/>
  <c r="AF93" i="5"/>
  <c r="AF435" i="5"/>
  <c r="AF267" i="5"/>
  <c r="AF346" i="5"/>
  <c r="AP346" i="5" s="1"/>
  <c r="AF265" i="5"/>
  <c r="AF241" i="5"/>
  <c r="AP241" i="5" s="1"/>
  <c r="AF140" i="5"/>
  <c r="AP140" i="5" s="1"/>
  <c r="AF507" i="5"/>
  <c r="AP507" i="5" s="1"/>
  <c r="AF62" i="5"/>
  <c r="AF319" i="5"/>
  <c r="AF128" i="5"/>
  <c r="AP128" i="5" s="1"/>
  <c r="AF291" i="5"/>
  <c r="AP291" i="5" s="1"/>
  <c r="AF32" i="5"/>
  <c r="AF555" i="5"/>
  <c r="AF389" i="5"/>
  <c r="AF156" i="5"/>
  <c r="AF133" i="5"/>
  <c r="AP133" i="5" s="1"/>
  <c r="AF424" i="5"/>
  <c r="AF477" i="5"/>
  <c r="AP477" i="5" s="1"/>
  <c r="AF260" i="5"/>
  <c r="AF194" i="5"/>
  <c r="AF325" i="5"/>
  <c r="AF242" i="5"/>
  <c r="AF399" i="5"/>
  <c r="AP399" i="5" s="1"/>
  <c r="AF527" i="5"/>
  <c r="AF63" i="5"/>
  <c r="AF480" i="5"/>
  <c r="AP480" i="5" s="1"/>
  <c r="AF505" i="5"/>
  <c r="AF458" i="5"/>
  <c r="AF478" i="5"/>
  <c r="AP478" i="5" s="1"/>
  <c r="AF36" i="5"/>
  <c r="AF201" i="5"/>
  <c r="AF181" i="5"/>
  <c r="AP181" i="5" s="1"/>
  <c r="AF361" i="5"/>
  <c r="AF372" i="5"/>
  <c r="AF52" i="5"/>
  <c r="AP52" i="5" s="1"/>
  <c r="AF459" i="5"/>
  <c r="AF132" i="5"/>
  <c r="AP132" i="5" s="1"/>
  <c r="AF190" i="5"/>
  <c r="AF45" i="5"/>
  <c r="AF247" i="5"/>
  <c r="AF279" i="5"/>
  <c r="AF46" i="5"/>
  <c r="AF134" i="5"/>
  <c r="AP134" i="5" s="1"/>
  <c r="AF368" i="5"/>
  <c r="AP368" i="5" s="1"/>
  <c r="AF123" i="5"/>
  <c r="AF73" i="5"/>
  <c r="AF403" i="5"/>
  <c r="AF538" i="5"/>
  <c r="AP538" i="5" s="1"/>
  <c r="AF48" i="5"/>
  <c r="AF166" i="5"/>
  <c r="AF26" i="5"/>
  <c r="AP26" i="5" s="1"/>
  <c r="AF8" i="5"/>
  <c r="AP8" i="5" s="1"/>
  <c r="AF540" i="5"/>
  <c r="AF374" i="5"/>
  <c r="AF326" i="5"/>
  <c r="AF99" i="5"/>
  <c r="AP99" i="5" s="1"/>
  <c r="AF526" i="5"/>
  <c r="AP526" i="5" s="1"/>
  <c r="AF207" i="5"/>
  <c r="AP207" i="5" s="1"/>
  <c r="AF290" i="5"/>
  <c r="AF546" i="5"/>
  <c r="AP546" i="5" s="1"/>
  <c r="AF334" i="5"/>
  <c r="AF547" i="5"/>
  <c r="AF441" i="5"/>
  <c r="AF58" i="5"/>
  <c r="AF110" i="5"/>
  <c r="AF187" i="5"/>
  <c r="AF312" i="5"/>
  <c r="AF313" i="5"/>
  <c r="AF314" i="5"/>
  <c r="AF417" i="5"/>
  <c r="AF66" i="5"/>
  <c r="AF554" i="5"/>
  <c r="AF385" i="5"/>
  <c r="AF447" i="5"/>
  <c r="AF516" i="5"/>
  <c r="AP516" i="5" s="1"/>
  <c r="AF240" i="5"/>
  <c r="AF323" i="5"/>
  <c r="AF283" i="5"/>
  <c r="AF87" i="5"/>
  <c r="AF178" i="5"/>
  <c r="AP178" i="5" s="1"/>
  <c r="AF558" i="5"/>
  <c r="AF453" i="5"/>
  <c r="AF31" i="5"/>
  <c r="AP31" i="5" s="1"/>
  <c r="AF333" i="5"/>
  <c r="AF216" i="5"/>
  <c r="AP216" i="5" s="1"/>
  <c r="AF404" i="5"/>
  <c r="AF350" i="5"/>
  <c r="AF282" i="5"/>
  <c r="AP282" i="5" s="1"/>
  <c r="AF429" i="5"/>
  <c r="AF175" i="5"/>
  <c r="AP175" i="5" s="1"/>
  <c r="AF154" i="5"/>
  <c r="AF533" i="5"/>
  <c r="AF434" i="5"/>
  <c r="AF126" i="5"/>
  <c r="AF125" i="5"/>
  <c r="AF525" i="5"/>
  <c r="AP525" i="5" s="1"/>
  <c r="AF504" i="5"/>
  <c r="AF348" i="5"/>
  <c r="AF23" i="5"/>
  <c r="AP23" i="5" s="1"/>
  <c r="AF387" i="5"/>
  <c r="AP387" i="5" s="1"/>
  <c r="AF161" i="5"/>
  <c r="AF42" i="5"/>
  <c r="AF469" i="5"/>
  <c r="AP469" i="5" s="1"/>
  <c r="AF124" i="5"/>
  <c r="AP124" i="5" s="1"/>
  <c r="AF419" i="5"/>
  <c r="AF158" i="5"/>
  <c r="AF339" i="5"/>
  <c r="AP339" i="5" s="1"/>
  <c r="AF185" i="5"/>
  <c r="AF222" i="5"/>
  <c r="AP222" i="5" s="1"/>
  <c r="AF428" i="5"/>
  <c r="AF392" i="5"/>
  <c r="AF448" i="5"/>
  <c r="AF474" i="5"/>
  <c r="AF439" i="5"/>
  <c r="AF108" i="5"/>
  <c r="AP108" i="5" s="1"/>
  <c r="AF302" i="5"/>
  <c r="AF20" i="5"/>
  <c r="AP20" i="5" s="1"/>
  <c r="AF151" i="5"/>
  <c r="AF522" i="5"/>
  <c r="AP522" i="5" s="1"/>
  <c r="AF472" i="5"/>
  <c r="AP472" i="5" s="1"/>
  <c r="AF549" i="5"/>
  <c r="AF70" i="5"/>
  <c r="AP70" i="5" s="1"/>
  <c r="AF237" i="5"/>
  <c r="AP237" i="5" s="1"/>
  <c r="AF317" i="5"/>
  <c r="AF160" i="5"/>
  <c r="AP160" i="5" s="1"/>
  <c r="AF214" i="5"/>
  <c r="AF444" i="5"/>
  <c r="AF179" i="5"/>
  <c r="AF503" i="5"/>
  <c r="AF236" i="5"/>
  <c r="AF307" i="5"/>
  <c r="AF437" i="5"/>
  <c r="AF479" i="5"/>
  <c r="AF191" i="5"/>
  <c r="AP191" i="5" s="1"/>
  <c r="AF41" i="5"/>
  <c r="AF229" i="5"/>
  <c r="AP229" i="5" s="1"/>
  <c r="AF320" i="5"/>
  <c r="AF143" i="5"/>
  <c r="AP143" i="5" s="1"/>
  <c r="AF249" i="5"/>
  <c r="AF359" i="5"/>
  <c r="AF388" i="5"/>
  <c r="AF211" i="5"/>
  <c r="AF107" i="5"/>
  <c r="AF315" i="5"/>
  <c r="AF462" i="5"/>
  <c r="AF384" i="5"/>
  <c r="AF455" i="5"/>
  <c r="AF200" i="5"/>
  <c r="AF246" i="5"/>
  <c r="AP246" i="5" s="1"/>
  <c r="AF114" i="5"/>
  <c r="AF433" i="5"/>
  <c r="AF489" i="5"/>
  <c r="AP489" i="5" s="1"/>
  <c r="AF520" i="5"/>
  <c r="AF91" i="5"/>
  <c r="AF529" i="5"/>
  <c r="AF299" i="5"/>
  <c r="AF117" i="5"/>
  <c r="AP117" i="5" s="1"/>
  <c r="AF294" i="5"/>
  <c r="AF109" i="5"/>
  <c r="AP109" i="5" s="1"/>
  <c r="AF543" i="5"/>
  <c r="AP543" i="5" s="1"/>
  <c r="AF426" i="5"/>
  <c r="AF121" i="5"/>
  <c r="AF235" i="5"/>
  <c r="AP235" i="5" s="1"/>
  <c r="AF206" i="5"/>
  <c r="AF416" i="5"/>
  <c r="AF369" i="5"/>
  <c r="AF176" i="5"/>
  <c r="AF335" i="5"/>
  <c r="AF223" i="5"/>
  <c r="AP223" i="5" s="1"/>
  <c r="AF204" i="5"/>
  <c r="AF141" i="5"/>
  <c r="AP141" i="5" s="1"/>
  <c r="AF218" i="5"/>
  <c r="AF51" i="5"/>
  <c r="AF367" i="5"/>
  <c r="AP367" i="5" s="1"/>
  <c r="AF173" i="5"/>
  <c r="AP173" i="5" s="1"/>
  <c r="AF336" i="5"/>
  <c r="AP336" i="5" s="1"/>
  <c r="AF88" i="5"/>
  <c r="AP88" i="5" s="1"/>
  <c r="AF103" i="5"/>
  <c r="AP103" i="5" s="1"/>
  <c r="AF483" i="5"/>
  <c r="AP483" i="5" s="1"/>
  <c r="AF39" i="5"/>
  <c r="AF180" i="5"/>
  <c r="AF423" i="5"/>
  <c r="AF261" i="5"/>
  <c r="AP261" i="5" s="1"/>
  <c r="AF402" i="5"/>
  <c r="AF209" i="5"/>
  <c r="AF457" i="5"/>
  <c r="AF251" i="5"/>
  <c r="AF274" i="5"/>
  <c r="AP274" i="5" s="1"/>
  <c r="AF239" i="5"/>
  <c r="AP239" i="5" s="1"/>
  <c r="AF409" i="5"/>
  <c r="AF199" i="5"/>
  <c r="AF196" i="5"/>
  <c r="AF13" i="5"/>
  <c r="AF220" i="5"/>
  <c r="AP220" i="5" s="1"/>
  <c r="AF411" i="5"/>
  <c r="AF309" i="5"/>
  <c r="AF28" i="5"/>
  <c r="AF470" i="5"/>
  <c r="AP470" i="5" s="1"/>
  <c r="AF188" i="5"/>
  <c r="AF170" i="5"/>
  <c r="AP170" i="5" s="1"/>
  <c r="AF553" i="5"/>
  <c r="AF338" i="5"/>
  <c r="AP338" i="5" s="1"/>
  <c r="AF446" i="5"/>
  <c r="AF145" i="5"/>
  <c r="AF390" i="5"/>
  <c r="AF502" i="5"/>
  <c r="AF501" i="5"/>
  <c r="AF244" i="5"/>
  <c r="AP244" i="5" s="1"/>
  <c r="AF60" i="5"/>
  <c r="AF287" i="5"/>
  <c r="AP287" i="5" s="1"/>
  <c r="AF79" i="5"/>
  <c r="AF150" i="5"/>
  <c r="AF54" i="5"/>
  <c r="AF464" i="5"/>
  <c r="AF159" i="5"/>
  <c r="AF80" i="5"/>
  <c r="AP80" i="5" s="1"/>
  <c r="AF284" i="5"/>
  <c r="AF442" i="5"/>
  <c r="AP442" i="5" s="1"/>
  <c r="AF400" i="5"/>
  <c r="AP400" i="5" s="1"/>
  <c r="AF183" i="5"/>
  <c r="AP183" i="5" s="1"/>
  <c r="AF491" i="5"/>
  <c r="AF47" i="5"/>
  <c r="AF397" i="5"/>
  <c r="AP397" i="5" s="1"/>
  <c r="AF171" i="5"/>
  <c r="AP171" i="5" s="1"/>
  <c r="AF262" i="5"/>
  <c r="AF410" i="5"/>
  <c r="AF61" i="5"/>
  <c r="AF345" i="5"/>
  <c r="AP345" i="5" s="1"/>
  <c r="AF82" i="5"/>
  <c r="AP82" i="5" s="1"/>
  <c r="AF67" i="5"/>
  <c r="AF221" i="5"/>
  <c r="AF168" i="5"/>
  <c r="AF269" i="5"/>
  <c r="AF485" i="5"/>
  <c r="AF119" i="5"/>
  <c r="AP119" i="5" s="1"/>
  <c r="AF463" i="5"/>
  <c r="AF53" i="5"/>
  <c r="AP53" i="5" s="1"/>
  <c r="AF137" i="5"/>
  <c r="AF494" i="5"/>
  <c r="AF536" i="5"/>
  <c r="AP536" i="5" s="1"/>
  <c r="AF50" i="5"/>
  <c r="AF322" i="5"/>
  <c r="AF72" i="5"/>
  <c r="AF431" i="5"/>
  <c r="AP431" i="5" s="1"/>
  <c r="AF92" i="5"/>
  <c r="AP92" i="5" s="1"/>
  <c r="AF406" i="5"/>
  <c r="AP406" i="5" s="1"/>
  <c r="AF195" i="5"/>
  <c r="AF213" i="5"/>
  <c r="AP213" i="5" s="1"/>
  <c r="AF353" i="5"/>
  <c r="AF259" i="5"/>
  <c r="AP259" i="5" s="1"/>
  <c r="AF86" i="5"/>
  <c r="AP86" i="5" s="1"/>
  <c r="AF197" i="5"/>
  <c r="AP197" i="5" s="1"/>
  <c r="AF271" i="5"/>
  <c r="AF528" i="5"/>
  <c r="AP528" i="5" s="1"/>
  <c r="AF280" i="5"/>
  <c r="AF436" i="5"/>
  <c r="AP436" i="5" s="1"/>
  <c r="AF186" i="5"/>
  <c r="AF130" i="5"/>
  <c r="AF481" i="5"/>
  <c r="AP481" i="5" s="1"/>
  <c r="AF296" i="5"/>
  <c r="AF398" i="5"/>
  <c r="AP398" i="5" s="1"/>
  <c r="AF456" i="5"/>
  <c r="AP456" i="5" s="1"/>
  <c r="AF101" i="5"/>
  <c r="AP101" i="5" s="1"/>
  <c r="AF381" i="5"/>
  <c r="AF450" i="5"/>
  <c r="AF383" i="5"/>
  <c r="AF65" i="5"/>
  <c r="AP65" i="5" s="1"/>
  <c r="AF303" i="5"/>
  <c r="AF147" i="5"/>
  <c r="AP147" i="5" s="1"/>
  <c r="AF157" i="5"/>
  <c r="AP157" i="5" s="1"/>
  <c r="AF351" i="5"/>
  <c r="AF421" i="5"/>
  <c r="AP421" i="5" s="1"/>
  <c r="AF75" i="5"/>
  <c r="AF306" i="5"/>
  <c r="AP306" i="5" s="1"/>
  <c r="AF68" i="5"/>
  <c r="AF169" i="5"/>
  <c r="AF521" i="5"/>
  <c r="AP521" i="5" s="1"/>
  <c r="AF219" i="5"/>
  <c r="AF377" i="5"/>
  <c r="AF515" i="5"/>
  <c r="AP515" i="5" s="1"/>
  <c r="AF354" i="5"/>
  <c r="AF418" i="5"/>
  <c r="AP418" i="5" s="1"/>
  <c r="AF396" i="5"/>
  <c r="AF129" i="5"/>
  <c r="AP129" i="5" s="1"/>
  <c r="AF152" i="5"/>
  <c r="AF7" i="5"/>
  <c r="AF59" i="5"/>
  <c r="AF438" i="5"/>
  <c r="AP438" i="5" s="1"/>
  <c r="AF174" i="5"/>
  <c r="AF289" i="5"/>
  <c r="AP289" i="5" s="1"/>
  <c r="AF328" i="5"/>
  <c r="AF182" i="5"/>
  <c r="AF484" i="5"/>
  <c r="AF466" i="5"/>
  <c r="AP466" i="5" s="1"/>
  <c r="AF40" i="5"/>
  <c r="AP40" i="5" s="1"/>
  <c r="AF362" i="5"/>
  <c r="AF230" i="5"/>
  <c r="AF329" i="5"/>
  <c r="AF519" i="5"/>
  <c r="AP519" i="5" s="1"/>
  <c r="AF78" i="5"/>
  <c r="AF363" i="5"/>
  <c r="AP363" i="5" s="1"/>
  <c r="AF44" i="5"/>
  <c r="AF90" i="5"/>
  <c r="AF253" i="5"/>
  <c r="AP253" i="5" s="1"/>
  <c r="AF380" i="5"/>
  <c r="AP380" i="5" s="1"/>
  <c r="AF468" i="5"/>
  <c r="AP468" i="5" s="1"/>
  <c r="AF365" i="5"/>
  <c r="AP365" i="5" s="1"/>
  <c r="AF341" i="5"/>
  <c r="AF297" i="5"/>
  <c r="AF373" i="5"/>
  <c r="AF22" i="5"/>
  <c r="AF304" i="5"/>
  <c r="AP304" i="5" s="1"/>
  <c r="AF165" i="5"/>
  <c r="AF449" i="5"/>
  <c r="AP449" i="5" s="1"/>
  <c r="AF331" i="5"/>
  <c r="AP331" i="5" s="1"/>
  <c r="AF106" i="5"/>
  <c r="AP106" i="5" s="1"/>
  <c r="AF69" i="5"/>
  <c r="AF96" i="5"/>
  <c r="AP96" i="5" s="1"/>
  <c r="AF115" i="5"/>
  <c r="AF263" i="5"/>
  <c r="AP263" i="5" s="1"/>
  <c r="AF413" i="5"/>
  <c r="AF508" i="5"/>
  <c r="AP508" i="5" s="1"/>
  <c r="AF275" i="5"/>
  <c r="AP275" i="5" s="1"/>
  <c r="AF24" i="5"/>
  <c r="AF552" i="5"/>
  <c r="AF530" i="5"/>
  <c r="AF316" i="5"/>
  <c r="AF254" i="5"/>
  <c r="AP254" i="5" s="1"/>
  <c r="AF270" i="5"/>
  <c r="AP270" i="5" s="1"/>
  <c r="AF81" i="5"/>
  <c r="AF83" i="5"/>
  <c r="AP83" i="5" s="1"/>
  <c r="AF405" i="5"/>
  <c r="AF215" i="5"/>
  <c r="AP215" i="5" s="1"/>
  <c r="AF272" i="5"/>
  <c r="AF337" i="5"/>
  <c r="AF162" i="5"/>
  <c r="AF298" i="5"/>
  <c r="AP298" i="5" s="1"/>
  <c r="AF25" i="5"/>
  <c r="AF102" i="5"/>
  <c r="AF266" i="5"/>
  <c r="AP266" i="5" s="1"/>
  <c r="AF224" i="5"/>
  <c r="AP224" i="5" s="1"/>
  <c r="AF386" i="5"/>
  <c r="AF476" i="5"/>
  <c r="AP476" i="5" s="1"/>
  <c r="AF286" i="5"/>
  <c r="AP286" i="5" s="1"/>
  <c r="AF541" i="5"/>
  <c r="AP541" i="5" s="1"/>
  <c r="AF293" i="5"/>
  <c r="AF120" i="5"/>
  <c r="AF560" i="5"/>
  <c r="AP560" i="5" s="1"/>
  <c r="AF74" i="5"/>
  <c r="AP74" i="5" s="1"/>
  <c r="AF352" i="5"/>
  <c r="AP352" i="5" s="1"/>
  <c r="AF10" i="5"/>
  <c r="AF38" i="5"/>
  <c r="AF557" i="5"/>
  <c r="AF407" i="5"/>
  <c r="AP407" i="5" s="1"/>
  <c r="AF349" i="5"/>
  <c r="AF311" i="5"/>
  <c r="AF192" i="5"/>
  <c r="AP192" i="5" s="1"/>
  <c r="AF514" i="5"/>
  <c r="AF226" i="5"/>
  <c r="AF498" i="5"/>
  <c r="AF238" i="5"/>
  <c r="AF84" i="5"/>
  <c r="AF471" i="5"/>
  <c r="AP471" i="5" s="1"/>
  <c r="AF57" i="5"/>
  <c r="AF518" i="5"/>
  <c r="AP518" i="5" s="1"/>
  <c r="AF531" i="5"/>
  <c r="AF422" i="5"/>
  <c r="AF356" i="5"/>
  <c r="AP356" i="5" s="1"/>
  <c r="AF35" i="5"/>
  <c r="AF378" i="5"/>
  <c r="AF276" i="5"/>
  <c r="AF64" i="5"/>
  <c r="AP64" i="5" s="1"/>
  <c r="AF355" i="5"/>
  <c r="AF358" i="5"/>
  <c r="AP358" i="5" s="1"/>
  <c r="AF332" i="5"/>
  <c r="AF193" i="5"/>
  <c r="AP193" i="5" s="1"/>
  <c r="AF509" i="5"/>
  <c r="AF225" i="5"/>
  <c r="AF327" i="5"/>
  <c r="AF198" i="5"/>
  <c r="AF482" i="5"/>
  <c r="AP482" i="5" s="1"/>
  <c r="AF264" i="5"/>
  <c r="AF37" i="5"/>
  <c r="AF473" i="5"/>
  <c r="AP473" i="5" s="1"/>
  <c r="AF144" i="5"/>
  <c r="AF228" i="5"/>
  <c r="AP228" i="5" s="1"/>
  <c r="AF97" i="5"/>
  <c r="AF27" i="5"/>
  <c r="AP27" i="5" s="1"/>
  <c r="AF379" i="5"/>
  <c r="AP379" i="5" s="1"/>
  <c r="AF49" i="5"/>
  <c r="AP49" i="5" s="1"/>
  <c r="AF556" i="5"/>
  <c r="AF375" i="5"/>
  <c r="AP375" i="5" s="1"/>
  <c r="AF248" i="5"/>
  <c r="AF71" i="5"/>
  <c r="AF534" i="5"/>
  <c r="AP534" i="5" s="1"/>
  <c r="AF492" i="5"/>
  <c r="AF559" i="5"/>
  <c r="AP559" i="5" s="1"/>
  <c r="AF545" i="5"/>
  <c r="AF344" i="5"/>
  <c r="AP344" i="5" s="1"/>
  <c r="AF111" i="5"/>
  <c r="AP111" i="5" s="1"/>
  <c r="AF340" i="5"/>
  <c r="AF113" i="5"/>
  <c r="AF512" i="5"/>
  <c r="AP512" i="5" s="1"/>
  <c r="AF155" i="5"/>
  <c r="AF285" i="5"/>
  <c r="AP285" i="5" s="1"/>
  <c r="AF149" i="5"/>
  <c r="AF12" i="5"/>
  <c r="AF227" i="5"/>
  <c r="AP227" i="5" s="1"/>
  <c r="AF493" i="5"/>
  <c r="AP493" i="5" s="1"/>
  <c r="AF432" i="5"/>
  <c r="AP432" i="5" s="1"/>
  <c r="AF105" i="5"/>
  <c r="AP105" i="5" s="1"/>
  <c r="AF34" i="5"/>
  <c r="AF21" i="5"/>
  <c r="AP21" i="5" s="1"/>
  <c r="AF233" i="5"/>
  <c r="AF273" i="5"/>
  <c r="AF535" i="5"/>
  <c r="AP535" i="5" s="1"/>
  <c r="AF324" i="5"/>
  <c r="AF382" i="5"/>
  <c r="AF343" i="5"/>
  <c r="AP343" i="5" s="1"/>
  <c r="AF475" i="5"/>
  <c r="AF202" i="5"/>
  <c r="AP202" i="5" s="1"/>
  <c r="AF300" i="5"/>
  <c r="AF217" i="5"/>
  <c r="AF184" i="5"/>
  <c r="AP184" i="5" s="1"/>
  <c r="AF420" i="5"/>
  <c r="AP420" i="5" s="1"/>
  <c r="AF376" i="5"/>
  <c r="AP376" i="5" s="1"/>
  <c r="AF301" i="5"/>
  <c r="AF95" i="5"/>
  <c r="AF487" i="5"/>
  <c r="AP487" i="5" s="1"/>
  <c r="Y428" i="5"/>
  <c r="X428" i="5"/>
  <c r="Y336" i="5"/>
  <c r="X336" i="5"/>
  <c r="X449" i="5"/>
  <c r="Y449" i="5"/>
  <c r="X424" i="5"/>
  <c r="Y424" i="5"/>
  <c r="Y456" i="5"/>
  <c r="X456" i="5"/>
  <c r="X340" i="5"/>
  <c r="Y340" i="5"/>
  <c r="X261" i="5"/>
  <c r="Y261" i="5"/>
  <c r="X439" i="5"/>
  <c r="Y439" i="5"/>
  <c r="X460" i="5"/>
  <c r="Y460" i="5"/>
  <c r="X514" i="5"/>
  <c r="Y514" i="5"/>
  <c r="Y213" i="5"/>
  <c r="X213" i="5"/>
  <c r="X444" i="5"/>
  <c r="Y444" i="5"/>
  <c r="Y181" i="5"/>
  <c r="X181" i="5"/>
  <c r="Y345" i="5"/>
  <c r="X345" i="5"/>
  <c r="Y53" i="5"/>
  <c r="X53" i="5"/>
  <c r="X124" i="5"/>
  <c r="Y124" i="5"/>
  <c r="X288" i="5"/>
  <c r="Y288" i="5"/>
  <c r="Y446" i="5"/>
  <c r="X446" i="5"/>
  <c r="X531" i="5"/>
  <c r="Y531" i="5"/>
  <c r="Y458" i="5"/>
  <c r="X458" i="5"/>
  <c r="X406" i="5"/>
  <c r="Y406" i="5"/>
  <c r="Y402" i="5"/>
  <c r="X402" i="5"/>
  <c r="X49" i="5"/>
  <c r="Y49" i="5"/>
  <c r="Y186" i="5"/>
  <c r="X186" i="5"/>
  <c r="X268" i="5"/>
  <c r="Y268" i="5"/>
  <c r="Y450" i="5"/>
  <c r="X450" i="5"/>
  <c r="X526" i="5"/>
  <c r="Y526" i="5"/>
  <c r="X32" i="5"/>
  <c r="Y32" i="5"/>
  <c r="X360" i="5"/>
  <c r="Y360" i="5"/>
  <c r="X392" i="5"/>
  <c r="Y392" i="5"/>
  <c r="Y487" i="5"/>
  <c r="X487" i="5"/>
  <c r="X279" i="5"/>
  <c r="Y279" i="5"/>
  <c r="X532" i="5"/>
  <c r="Y532" i="5"/>
  <c r="X536" i="5"/>
  <c r="Y536" i="5"/>
  <c r="Y447" i="5"/>
  <c r="X447" i="5"/>
  <c r="Y131" i="5"/>
  <c r="X131" i="5"/>
  <c r="X94" i="5"/>
  <c r="Y94" i="5"/>
  <c r="X169" i="5"/>
  <c r="Y169" i="5"/>
  <c r="Y519" i="5"/>
  <c r="X519" i="5"/>
  <c r="Y386" i="5"/>
  <c r="X386" i="5"/>
  <c r="X329" i="5"/>
  <c r="Y329" i="5"/>
  <c r="X93" i="5"/>
  <c r="Y93" i="5"/>
  <c r="Y122" i="5"/>
  <c r="X122" i="5"/>
  <c r="X369" i="5"/>
  <c r="Y369" i="5"/>
  <c r="B182" i="2"/>
  <c r="B171" i="2"/>
  <c r="B179" i="2" s="1"/>
  <c r="B186" i="2" s="1"/>
  <c r="AV85" i="4"/>
  <c r="U85" i="4"/>
  <c r="AV65" i="4"/>
  <c r="U65" i="4"/>
  <c r="AV146" i="4"/>
  <c r="U146" i="4"/>
  <c r="AV99" i="4"/>
  <c r="U99" i="4"/>
  <c r="AV64" i="4"/>
  <c r="U64" i="4"/>
  <c r="AV29" i="4"/>
  <c r="U29" i="4"/>
  <c r="AV98" i="4"/>
  <c r="U98" i="4"/>
  <c r="AV122" i="4"/>
  <c r="U122" i="4"/>
  <c r="AV129" i="4"/>
  <c r="U129" i="4"/>
  <c r="AV89" i="4"/>
  <c r="U89" i="4"/>
  <c r="AV136" i="4"/>
  <c r="U136" i="4"/>
  <c r="AV91" i="4"/>
  <c r="U91" i="4"/>
  <c r="AV109" i="4"/>
  <c r="U109" i="4"/>
  <c r="AV87" i="4"/>
  <c r="U87" i="4"/>
  <c r="AV113" i="4"/>
  <c r="U113" i="4"/>
  <c r="AV53" i="4"/>
  <c r="U53" i="4"/>
  <c r="AV34" i="4"/>
  <c r="U34" i="4"/>
  <c r="AV76" i="4"/>
  <c r="U76" i="4"/>
  <c r="AV41" i="4"/>
  <c r="U41" i="4"/>
  <c r="AV48" i="4"/>
  <c r="U48" i="4"/>
  <c r="AV37" i="4"/>
  <c r="U37" i="4"/>
  <c r="AV96" i="4"/>
  <c r="U96" i="4"/>
  <c r="AV68" i="4"/>
  <c r="U68" i="4"/>
  <c r="AV50" i="4"/>
  <c r="U50" i="4"/>
  <c r="AV56" i="4"/>
  <c r="U56" i="4"/>
  <c r="AV46" i="4"/>
  <c r="U46" i="4"/>
  <c r="AV102" i="4"/>
  <c r="U102" i="4"/>
  <c r="AV62" i="4"/>
  <c r="U62" i="4"/>
  <c r="U108" i="4"/>
  <c r="AV108" i="4"/>
  <c r="AV95" i="4"/>
  <c r="U95" i="4"/>
  <c r="AV39" i="4"/>
  <c r="U39" i="4"/>
  <c r="AV25" i="4"/>
  <c r="U25" i="4"/>
  <c r="U9" i="4"/>
  <c r="AV9" i="4"/>
  <c r="B39" i="5"/>
  <c r="B38" i="5"/>
  <c r="X26" i="5"/>
  <c r="Y26" i="5"/>
  <c r="X263" i="5"/>
  <c r="Y263" i="5"/>
  <c r="X321" i="5"/>
  <c r="Y321" i="5"/>
  <c r="Y102" i="5"/>
  <c r="X102" i="5"/>
  <c r="Y429" i="5"/>
  <c r="X429" i="5"/>
  <c r="X159" i="5"/>
  <c r="Y159" i="5"/>
  <c r="X362" i="5"/>
  <c r="Y362" i="5"/>
  <c r="X427" i="5"/>
  <c r="Y427" i="5"/>
  <c r="X401" i="5"/>
  <c r="Y401" i="5"/>
  <c r="X240" i="5"/>
  <c r="Y240" i="5"/>
  <c r="X153" i="5"/>
  <c r="Y153" i="5"/>
  <c r="Y478" i="5"/>
  <c r="X478" i="5"/>
  <c r="X244" i="5"/>
  <c r="Y244" i="5"/>
  <c r="Y313" i="5"/>
  <c r="X313" i="5"/>
  <c r="Y78" i="5"/>
  <c r="X78" i="5"/>
  <c r="X470" i="5"/>
  <c r="Y470" i="5"/>
  <c r="AV63" i="4"/>
  <c r="U63" i="4"/>
  <c r="AV119" i="4"/>
  <c r="U119" i="4"/>
  <c r="AV100" i="4"/>
  <c r="U100" i="4"/>
  <c r="AV43" i="4"/>
  <c r="U43" i="4"/>
  <c r="AV139" i="4"/>
  <c r="U139" i="4"/>
  <c r="AV130" i="4"/>
  <c r="U130" i="4"/>
  <c r="AV82" i="4"/>
  <c r="U82" i="4"/>
  <c r="U16" i="4"/>
  <c r="AV16" i="4"/>
  <c r="AV78" i="4"/>
  <c r="U78" i="4"/>
  <c r="AV105" i="4"/>
  <c r="U105" i="4"/>
  <c r="AV104" i="4"/>
  <c r="U104" i="4"/>
  <c r="AV55" i="4"/>
  <c r="U55" i="4"/>
  <c r="AV47" i="4"/>
  <c r="U47" i="4"/>
  <c r="AV135" i="4"/>
  <c r="U135" i="4"/>
  <c r="AV27" i="4"/>
  <c r="U27" i="4"/>
  <c r="AV20" i="4"/>
  <c r="U20" i="4"/>
  <c r="AV69" i="4"/>
  <c r="U69" i="4"/>
  <c r="AV140" i="4"/>
  <c r="U140" i="4"/>
  <c r="AV114" i="4"/>
  <c r="U114" i="4"/>
  <c r="AV88" i="4"/>
  <c r="U88" i="4"/>
  <c r="AV97" i="4"/>
  <c r="U97" i="4"/>
  <c r="AV106" i="4"/>
  <c r="U106" i="4"/>
  <c r="AV118" i="4"/>
  <c r="U118" i="4"/>
  <c r="AV128" i="4"/>
  <c r="U128" i="4"/>
  <c r="AV35" i="4"/>
  <c r="U35" i="4"/>
  <c r="AV144" i="4"/>
  <c r="U144" i="4"/>
  <c r="U24" i="4"/>
  <c r="AV24" i="4"/>
  <c r="AV84" i="4"/>
  <c r="U84" i="4"/>
  <c r="AV10" i="4"/>
  <c r="U10" i="4"/>
  <c r="AV148" i="4"/>
  <c r="U148" i="4"/>
  <c r="AV51" i="4"/>
  <c r="U51" i="4"/>
  <c r="AV70" i="4"/>
  <c r="U70" i="4"/>
  <c r="AV138" i="4"/>
  <c r="U138" i="4"/>
  <c r="AV57" i="4"/>
  <c r="U57" i="4"/>
  <c r="U54" i="4"/>
  <c r="AV54" i="4"/>
  <c r="AV150" i="4"/>
  <c r="U150" i="4"/>
  <c r="AV80" i="4"/>
  <c r="U80" i="4"/>
  <c r="U142" i="4"/>
  <c r="AV142" i="4"/>
  <c r="AC7" i="5"/>
  <c r="Y135" i="5"/>
  <c r="X135" i="5"/>
  <c r="X175" i="5"/>
  <c r="Y175" i="5"/>
  <c r="Y156" i="5"/>
  <c r="X156" i="5"/>
  <c r="X112" i="5"/>
  <c r="Y112" i="5"/>
  <c r="Y527" i="5"/>
  <c r="X527" i="5"/>
  <c r="Y411" i="5"/>
  <c r="X411" i="5"/>
  <c r="X116" i="5"/>
  <c r="Y116" i="5"/>
  <c r="X544" i="5"/>
  <c r="Y544" i="5"/>
  <c r="X398" i="5"/>
  <c r="Y398" i="5"/>
  <c r="X483" i="5"/>
  <c r="Y483" i="5"/>
  <c r="Y66" i="5"/>
  <c r="X66" i="5"/>
  <c r="Y397" i="5"/>
  <c r="X397" i="5"/>
  <c r="X81" i="5"/>
  <c r="Y81" i="5"/>
  <c r="Y27" i="5"/>
  <c r="X27" i="5"/>
  <c r="X190" i="5"/>
  <c r="Y190" i="5"/>
  <c r="X520" i="5"/>
  <c r="Y520" i="5"/>
  <c r="X55" i="5"/>
  <c r="Y55" i="5"/>
  <c r="Y210" i="5"/>
  <c r="X210" i="5"/>
  <c r="Y417" i="5"/>
  <c r="X417" i="5"/>
  <c r="X384" i="5"/>
  <c r="Y384" i="5"/>
  <c r="X337" i="5"/>
  <c r="Y337" i="5"/>
  <c r="X195" i="5"/>
  <c r="Y195" i="5"/>
  <c r="X219" i="5"/>
  <c r="Y219" i="5"/>
  <c r="Y118" i="5"/>
  <c r="X118" i="5"/>
  <c r="X378" i="5"/>
  <c r="Y378" i="5"/>
  <c r="X546" i="5"/>
  <c r="Y546" i="5"/>
  <c r="X275" i="5"/>
  <c r="Y275" i="5"/>
  <c r="X280" i="5"/>
  <c r="Y280" i="5"/>
  <c r="X372" i="5"/>
  <c r="Y372" i="5"/>
  <c r="X143" i="5"/>
  <c r="Y143" i="5"/>
  <c r="X493" i="5"/>
  <c r="Y493" i="5"/>
  <c r="X516" i="5"/>
  <c r="Y516" i="5"/>
  <c r="X155" i="5"/>
  <c r="Y155" i="5"/>
  <c r="X419" i="5"/>
  <c r="Y419" i="5"/>
  <c r="Y498" i="5"/>
  <c r="X498" i="5"/>
  <c r="Y283" i="5"/>
  <c r="X283" i="5"/>
  <c r="Y341" i="5"/>
  <c r="X341" i="5"/>
  <c r="Y205" i="5"/>
  <c r="X205" i="5"/>
  <c r="X319" i="5"/>
  <c r="Y319" i="5"/>
  <c r="X274" i="5"/>
  <c r="Y274" i="5"/>
  <c r="X259" i="5"/>
  <c r="Y259" i="5"/>
  <c r="Y184" i="5"/>
  <c r="X184" i="5"/>
  <c r="Y365" i="5"/>
  <c r="X365" i="5"/>
  <c r="X130" i="5"/>
  <c r="Y130" i="5"/>
  <c r="Y353" i="5"/>
  <c r="X353" i="5"/>
  <c r="Y320" i="5"/>
  <c r="X320" i="5"/>
  <c r="X171" i="5"/>
  <c r="Y171" i="5"/>
  <c r="X45" i="5"/>
  <c r="Y45" i="5"/>
  <c r="Y86" i="5"/>
  <c r="X86" i="5"/>
  <c r="Y146" i="5"/>
  <c r="X146" i="5"/>
  <c r="X377" i="5"/>
  <c r="Y377" i="5"/>
  <c r="X286" i="5"/>
  <c r="Y286" i="5"/>
  <c r="X477" i="5"/>
  <c r="Y477" i="5"/>
  <c r="Y557" i="5"/>
  <c r="X557" i="5"/>
  <c r="Y383" i="5"/>
  <c r="X383" i="5"/>
  <c r="X21" i="5"/>
  <c r="Y21" i="5"/>
  <c r="Y73" i="5"/>
  <c r="X73" i="5"/>
  <c r="X39" i="5"/>
  <c r="Y39" i="5"/>
  <c r="X366" i="5"/>
  <c r="Y366" i="5"/>
  <c r="X328" i="5"/>
  <c r="Y328" i="5"/>
  <c r="Y306" i="5"/>
  <c r="X306" i="5"/>
  <c r="X125" i="5"/>
  <c r="Y125" i="5"/>
  <c r="Y71" i="5"/>
  <c r="X71" i="5"/>
  <c r="Y403" i="5"/>
  <c r="X403" i="5"/>
  <c r="X88" i="5"/>
  <c r="Y88" i="5"/>
  <c r="X304" i="5"/>
  <c r="Y304" i="5"/>
  <c r="X488" i="5"/>
  <c r="Y488" i="5"/>
  <c r="Y346" i="5"/>
  <c r="X346" i="5"/>
  <c r="X265" i="5"/>
  <c r="Y265" i="5"/>
  <c r="Y309" i="5"/>
  <c r="X309" i="5"/>
  <c r="Y85" i="5"/>
  <c r="X85" i="5"/>
  <c r="X459" i="5"/>
  <c r="Y459" i="5"/>
  <c r="Y442" i="5"/>
  <c r="X442" i="5"/>
  <c r="Y307" i="5"/>
  <c r="X307" i="5"/>
  <c r="X64" i="5"/>
  <c r="Y64" i="5"/>
  <c r="Y247" i="5"/>
  <c r="X247" i="5"/>
  <c r="X167" i="5"/>
  <c r="Y167" i="5"/>
  <c r="X465" i="5"/>
  <c r="Y465" i="5"/>
  <c r="Y435" i="5"/>
  <c r="X435" i="5"/>
  <c r="X420" i="5"/>
  <c r="Y420" i="5"/>
  <c r="Y47" i="5"/>
  <c r="X47" i="5"/>
  <c r="X235" i="5"/>
  <c r="Y235" i="5"/>
  <c r="X245" i="5"/>
  <c r="Y245" i="5"/>
  <c r="Y31" i="5"/>
  <c r="X31" i="5"/>
  <c r="X216" i="5"/>
  <c r="Y216" i="5"/>
  <c r="X204" i="5"/>
  <c r="Y204" i="5"/>
  <c r="X371" i="5"/>
  <c r="Y371" i="5"/>
  <c r="X117" i="5"/>
  <c r="Y117" i="5"/>
  <c r="Y486" i="5"/>
  <c r="X486" i="5"/>
  <c r="X358" i="5"/>
  <c r="Y358" i="5"/>
  <c r="X434" i="5"/>
  <c r="Y434" i="5"/>
  <c r="Y256" i="5"/>
  <c r="X256" i="5"/>
  <c r="Y454" i="5"/>
  <c r="X454" i="5"/>
  <c r="X44" i="5"/>
  <c r="Y44" i="5"/>
  <c r="X158" i="5"/>
  <c r="Y158" i="5"/>
  <c r="X537" i="5"/>
  <c r="Y537" i="5"/>
  <c r="Y453" i="5"/>
  <c r="X453" i="5"/>
  <c r="X423" i="5"/>
  <c r="Y423" i="5"/>
  <c r="X90" i="5"/>
  <c r="Y90" i="5"/>
  <c r="X154" i="5"/>
  <c r="Y154" i="5"/>
  <c r="X182" i="5"/>
  <c r="Y182" i="5"/>
  <c r="X508" i="5"/>
  <c r="Y508" i="5"/>
  <c r="Y87" i="5"/>
  <c r="X87" i="5"/>
  <c r="X375" i="5"/>
  <c r="Y375" i="5"/>
  <c r="Y474" i="5"/>
  <c r="X474" i="5"/>
  <c r="X380" i="5"/>
  <c r="Y380" i="5"/>
  <c r="Y473" i="5"/>
  <c r="X473" i="5"/>
  <c r="X409" i="5"/>
  <c r="Y409" i="5"/>
  <c r="Y327" i="5"/>
  <c r="X327" i="5"/>
  <c r="Y412" i="5"/>
  <c r="X412" i="5"/>
  <c r="Y314" i="5"/>
  <c r="X314" i="5"/>
  <c r="X540" i="5"/>
  <c r="Y540" i="5"/>
  <c r="Y52" i="5"/>
  <c r="X52" i="5"/>
  <c r="X438" i="5"/>
  <c r="Y438" i="5"/>
  <c r="X351" i="5"/>
  <c r="Y351" i="5"/>
  <c r="X278" i="5"/>
  <c r="Y278" i="5"/>
  <c r="Y142" i="5"/>
  <c r="X142" i="5"/>
  <c r="Y133" i="5"/>
  <c r="X133" i="5"/>
  <c r="X443" i="5"/>
  <c r="Y443" i="5"/>
  <c r="X84" i="5"/>
  <c r="Y84" i="5"/>
  <c r="X414" i="5"/>
  <c r="Y414" i="5"/>
  <c r="Y552" i="5"/>
  <c r="X552" i="5"/>
  <c r="Y422" i="5"/>
  <c r="X422" i="5"/>
  <c r="Y42" i="5"/>
  <c r="X42" i="5"/>
  <c r="X144" i="5"/>
  <c r="Y144" i="5"/>
  <c r="Y297" i="5"/>
  <c r="X297" i="5"/>
  <c r="X293" i="5"/>
  <c r="Y293" i="5"/>
  <c r="X207" i="5"/>
  <c r="Y207" i="5"/>
  <c r="Y497" i="5"/>
  <c r="X497" i="5"/>
  <c r="X239" i="5"/>
  <c r="Y239" i="5"/>
  <c r="X305" i="5"/>
  <c r="Y305" i="5"/>
  <c r="Y212" i="5"/>
  <c r="X212" i="5"/>
  <c r="X511" i="5"/>
  <c r="Y511" i="5"/>
  <c r="Y262" i="5"/>
  <c r="X262" i="5"/>
  <c r="X410" i="5"/>
  <c r="Y410" i="5"/>
  <c r="X436" i="5"/>
  <c r="Y436" i="5"/>
  <c r="AP95" i="5" l="1"/>
  <c r="AP34" i="5"/>
  <c r="AP198" i="5"/>
  <c r="AP57" i="5"/>
  <c r="AP341" i="5"/>
  <c r="AP182" i="5"/>
  <c r="AP303" i="5"/>
  <c r="AP463" i="5"/>
  <c r="AP150" i="5"/>
  <c r="AP309" i="5"/>
  <c r="AP317" i="5"/>
  <c r="AP302" i="5"/>
  <c r="AP533" i="5"/>
  <c r="AP194" i="5"/>
  <c r="AP465" i="5"/>
  <c r="AP131" i="5"/>
  <c r="AP445" i="5"/>
  <c r="AP29" i="5"/>
  <c r="AP395" i="5"/>
  <c r="AP378" i="5"/>
  <c r="AP293" i="5"/>
  <c r="AP81" i="5"/>
  <c r="AP130" i="5"/>
  <c r="AP121" i="5"/>
  <c r="AP236" i="5"/>
  <c r="AP439" i="5"/>
  <c r="AP158" i="5"/>
  <c r="AP453" i="5"/>
  <c r="AP212" i="5"/>
  <c r="AP370" i="5"/>
  <c r="AP234" i="5"/>
  <c r="AP382" i="5"/>
  <c r="AP509" i="5"/>
  <c r="AP35" i="5"/>
  <c r="AP238" i="5"/>
  <c r="AP557" i="5"/>
  <c r="AP230" i="5"/>
  <c r="AP174" i="5"/>
  <c r="AP354" i="5"/>
  <c r="AP450" i="5"/>
  <c r="AP50" i="5"/>
  <c r="AP269" i="5"/>
  <c r="AP426" i="5"/>
  <c r="AP474" i="5"/>
  <c r="AP385" i="5"/>
  <c r="AP48" i="5"/>
  <c r="AP279" i="5"/>
  <c r="AP361" i="5"/>
  <c r="AP63" i="5"/>
  <c r="AP424" i="5"/>
  <c r="AP319" i="5"/>
  <c r="AP19" i="5"/>
  <c r="AP122" i="5"/>
  <c r="AP310" i="5"/>
  <c r="AP393" i="5"/>
  <c r="AP305" i="5"/>
  <c r="AP499" i="5"/>
  <c r="AP217" i="5"/>
  <c r="AP273" i="5"/>
  <c r="AP332" i="5"/>
  <c r="AP226" i="5"/>
  <c r="AP59" i="5"/>
  <c r="AP351" i="5"/>
  <c r="AP221" i="5"/>
  <c r="AP433" i="5"/>
  <c r="AP87" i="5"/>
  <c r="AP403" i="5"/>
  <c r="AP201" i="5"/>
  <c r="AP268" i="5"/>
  <c r="AP408" i="5"/>
  <c r="AP537" i="5"/>
  <c r="AP208" i="5"/>
  <c r="AP412" i="5"/>
  <c r="AP245" i="5"/>
  <c r="AP233" i="5"/>
  <c r="AP149" i="5"/>
  <c r="AP545" i="5"/>
  <c r="AP272" i="5"/>
  <c r="AP373" i="5"/>
  <c r="AP44" i="5"/>
  <c r="AP137" i="5"/>
  <c r="AP67" i="5"/>
  <c r="AP464" i="5"/>
  <c r="AP502" i="5"/>
  <c r="AP423" i="5"/>
  <c r="AP114" i="5"/>
  <c r="AP214" i="5"/>
  <c r="AP428" i="5"/>
  <c r="AP42" i="5"/>
  <c r="AP126" i="5"/>
  <c r="AP283" i="5"/>
  <c r="AP417" i="5"/>
  <c r="AP374" i="5"/>
  <c r="AP190" i="5"/>
  <c r="AP36" i="5"/>
  <c r="AP389" i="5"/>
  <c r="AP486" i="5"/>
  <c r="AP257" i="5"/>
  <c r="AP451" i="5"/>
  <c r="AP548" i="5"/>
  <c r="AP100" i="5"/>
  <c r="AP153" i="5"/>
  <c r="AP189" i="5"/>
  <c r="AP440" i="5"/>
  <c r="AP461" i="5"/>
  <c r="X80" i="4"/>
  <c r="AJ80" i="4" s="1"/>
  <c r="X91" i="4"/>
  <c r="X33" i="4"/>
  <c r="X39" i="4"/>
  <c r="X44" i="4"/>
  <c r="AJ44" i="4" s="1"/>
  <c r="AP10" i="5"/>
  <c r="BI10" i="5" s="1"/>
  <c r="X35" i="4"/>
  <c r="AJ35" i="4" s="1"/>
  <c r="X99" i="4"/>
  <c r="AJ99" i="4" s="1"/>
  <c r="X37" i="4"/>
  <c r="X71" i="4"/>
  <c r="X40" i="4"/>
  <c r="X29" i="4"/>
  <c r="AJ29" i="4" s="1"/>
  <c r="X138" i="4"/>
  <c r="AJ138" i="4" s="1"/>
  <c r="X68" i="4"/>
  <c r="X26" i="4"/>
  <c r="AJ26" i="4" s="1"/>
  <c r="X115" i="4"/>
  <c r="AJ115" i="4" s="1"/>
  <c r="X70" i="4"/>
  <c r="X52" i="4"/>
  <c r="X42" i="4"/>
  <c r="AJ42" i="4" s="1"/>
  <c r="X72" i="4"/>
  <c r="X31" i="4"/>
  <c r="AJ31" i="4" s="1"/>
  <c r="X132" i="4"/>
  <c r="X64" i="4"/>
  <c r="AJ64" i="4" s="1"/>
  <c r="X41" i="4"/>
  <c r="AJ41" i="4" s="1"/>
  <c r="X36" i="4"/>
  <c r="X120" i="4"/>
  <c r="X107" i="4"/>
  <c r="AJ107" i="4" s="1"/>
  <c r="X150" i="4"/>
  <c r="AJ150" i="4" s="1"/>
  <c r="X83" i="4"/>
  <c r="AJ83" i="4" s="1"/>
  <c r="X48" i="4"/>
  <c r="AJ48" i="4" s="1"/>
  <c r="X84" i="4"/>
  <c r="AJ84" i="4" s="1"/>
  <c r="X50" i="4"/>
  <c r="AJ50" i="4" s="1"/>
  <c r="X100" i="4"/>
  <c r="AJ100" i="4" s="1"/>
  <c r="X32" i="4"/>
  <c r="X119" i="4"/>
  <c r="AJ119" i="4" s="1"/>
  <c r="BE10" i="5"/>
  <c r="BD10" i="5"/>
  <c r="X106" i="4"/>
  <c r="Y106" i="4"/>
  <c r="AR106" i="4" s="1"/>
  <c r="X78" i="4"/>
  <c r="AJ78" i="4" s="1"/>
  <c r="Y78" i="4"/>
  <c r="AR78" i="4" s="1"/>
  <c r="X62" i="4"/>
  <c r="Y62" i="4"/>
  <c r="AR62" i="4" s="1"/>
  <c r="X155" i="4"/>
  <c r="AJ155" i="4" s="1"/>
  <c r="Y155" i="4"/>
  <c r="AR155" i="4" s="1"/>
  <c r="X152" i="4"/>
  <c r="Y152" i="4"/>
  <c r="AR152" i="4" s="1"/>
  <c r="X127" i="4"/>
  <c r="AJ127" i="4" s="1"/>
  <c r="Y127" i="4"/>
  <c r="AR127" i="4" s="1"/>
  <c r="X77" i="4"/>
  <c r="Y77" i="4"/>
  <c r="AR77" i="4" s="1"/>
  <c r="X149" i="4"/>
  <c r="Y149" i="4"/>
  <c r="AR149" i="4" s="1"/>
  <c r="X134" i="4"/>
  <c r="Y134" i="4"/>
  <c r="AR134" i="4" s="1"/>
  <c r="X114" i="4"/>
  <c r="AJ114" i="4" s="1"/>
  <c r="Y114" i="4"/>
  <c r="AR114" i="4" s="1"/>
  <c r="X76" i="4"/>
  <c r="Y76" i="4"/>
  <c r="AR76" i="4" s="1"/>
  <c r="X89" i="4"/>
  <c r="AJ89" i="4" s="1"/>
  <c r="Y89" i="4"/>
  <c r="AR89" i="4" s="1"/>
  <c r="X61" i="4"/>
  <c r="Y61" i="4"/>
  <c r="AR61" i="4" s="1"/>
  <c r="X145" i="4"/>
  <c r="AJ145" i="4" s="1"/>
  <c r="Y145" i="4"/>
  <c r="AR145" i="4" s="1"/>
  <c r="X94" i="4"/>
  <c r="Y94" i="4"/>
  <c r="AR94" i="4" s="1"/>
  <c r="X121" i="4"/>
  <c r="AJ121" i="4" s="1"/>
  <c r="Y121" i="4"/>
  <c r="AR121" i="4" s="1"/>
  <c r="X97" i="4"/>
  <c r="AJ97" i="4" s="1"/>
  <c r="Y97" i="4"/>
  <c r="AR97" i="4" s="1"/>
  <c r="AP69" i="5"/>
  <c r="AP297" i="5"/>
  <c r="AP152" i="5"/>
  <c r="AP180" i="5"/>
  <c r="AP51" i="5"/>
  <c r="AP520" i="5"/>
  <c r="AP388" i="5"/>
  <c r="AP479" i="5"/>
  <c r="AP549" i="5"/>
  <c r="AP434" i="5"/>
  <c r="AP323" i="5"/>
  <c r="AP110" i="5"/>
  <c r="AP435" i="5"/>
  <c r="AP510" i="5"/>
  <c r="AP443" i="5"/>
  <c r="AP104" i="5"/>
  <c r="AP364" i="5"/>
  <c r="AP281" i="5"/>
  <c r="X140" i="4"/>
  <c r="Y140" i="4"/>
  <c r="AR140" i="4" s="1"/>
  <c r="X136" i="4"/>
  <c r="AJ136" i="4" s="1"/>
  <c r="Y136" i="4"/>
  <c r="AR136" i="4" s="1"/>
  <c r="X111" i="4"/>
  <c r="Y111" i="4"/>
  <c r="AR111" i="4" s="1"/>
  <c r="X73" i="4"/>
  <c r="AJ73" i="4" s="1"/>
  <c r="Y73" i="4"/>
  <c r="AR73" i="4" s="1"/>
  <c r="X156" i="4"/>
  <c r="Y156" i="4"/>
  <c r="AR156" i="4" s="1"/>
  <c r="X66" i="4"/>
  <c r="AJ66" i="4" s="1"/>
  <c r="Y66" i="4"/>
  <c r="AR66" i="4" s="1"/>
  <c r="X112" i="4"/>
  <c r="Y112" i="4"/>
  <c r="AR112" i="4" s="1"/>
  <c r="X131" i="4"/>
  <c r="AJ131" i="4" s="1"/>
  <c r="Y131" i="4"/>
  <c r="AR131" i="4" s="1"/>
  <c r="X118" i="4"/>
  <c r="Y118" i="4"/>
  <c r="AR118" i="4" s="1"/>
  <c r="X82" i="4"/>
  <c r="AJ82" i="4" s="1"/>
  <c r="Y82" i="4"/>
  <c r="AR82" i="4" s="1"/>
  <c r="X95" i="4"/>
  <c r="AJ95" i="4" s="1"/>
  <c r="Y95" i="4"/>
  <c r="AR95" i="4" s="1"/>
  <c r="X56" i="4"/>
  <c r="AJ56" i="4" s="1"/>
  <c r="Y56" i="4"/>
  <c r="AR56" i="4" s="1"/>
  <c r="X141" i="4"/>
  <c r="Y141" i="4"/>
  <c r="AR141" i="4" s="1"/>
  <c r="X101" i="4"/>
  <c r="AJ101" i="4" s="1"/>
  <c r="Y101" i="4"/>
  <c r="AR101" i="4" s="1"/>
  <c r="X59" i="4"/>
  <c r="Y59" i="4"/>
  <c r="AR59" i="4" s="1"/>
  <c r="X86" i="4"/>
  <c r="AJ86" i="4" s="1"/>
  <c r="Y86" i="4"/>
  <c r="AR86" i="4" s="1"/>
  <c r="X90" i="4"/>
  <c r="Y90" i="4"/>
  <c r="AR90" i="4" s="1"/>
  <c r="X81" i="4"/>
  <c r="AJ81" i="4" s="1"/>
  <c r="Y81" i="4"/>
  <c r="AR81" i="4" s="1"/>
  <c r="X69" i="4"/>
  <c r="AJ69" i="4" s="1"/>
  <c r="Y69" i="4"/>
  <c r="AR69" i="4" s="1"/>
  <c r="X63" i="4"/>
  <c r="AJ63" i="4" s="1"/>
  <c r="Y63" i="4"/>
  <c r="AR63" i="4" s="1"/>
  <c r="X108" i="4"/>
  <c r="Y108" i="4"/>
  <c r="AR108" i="4" s="1"/>
  <c r="X122" i="4"/>
  <c r="AJ122" i="4" s="1"/>
  <c r="Y122" i="4"/>
  <c r="AR122" i="4" s="1"/>
  <c r="AP355" i="5"/>
  <c r="AP475" i="5"/>
  <c r="AP155" i="5"/>
  <c r="AP492" i="5"/>
  <c r="AP498" i="5"/>
  <c r="AP311" i="5"/>
  <c r="AP38" i="5"/>
  <c r="AP162" i="5"/>
  <c r="AP405" i="5"/>
  <c r="AP24" i="5"/>
  <c r="AP78" i="5"/>
  <c r="AP362" i="5"/>
  <c r="AP169" i="5"/>
  <c r="AP381" i="5"/>
  <c r="AP296" i="5"/>
  <c r="AP168" i="5"/>
  <c r="AP145" i="5"/>
  <c r="AP196" i="5"/>
  <c r="AP402" i="5"/>
  <c r="AP39" i="5"/>
  <c r="AP218" i="5"/>
  <c r="AP335" i="5"/>
  <c r="AP206" i="5"/>
  <c r="AP299" i="5"/>
  <c r="AP200" i="5"/>
  <c r="AP315" i="5"/>
  <c r="AP359" i="5"/>
  <c r="AP437" i="5"/>
  <c r="AP179" i="5"/>
  <c r="AP448" i="5"/>
  <c r="AP185" i="5"/>
  <c r="AP333" i="5"/>
  <c r="AP240" i="5"/>
  <c r="AP554" i="5"/>
  <c r="AP313" i="5"/>
  <c r="AP58" i="5"/>
  <c r="AP247" i="5"/>
  <c r="AP459" i="5"/>
  <c r="AP458" i="5"/>
  <c r="AP527" i="5"/>
  <c r="AP32" i="5"/>
  <c r="AP62" i="5"/>
  <c r="AP265" i="5"/>
  <c r="AP93" i="5"/>
  <c r="AP488" i="5"/>
  <c r="AP425" i="5"/>
  <c r="AP30" i="5"/>
  <c r="AP118" i="5"/>
  <c r="AP163" i="5"/>
  <c r="AP85" i="5"/>
  <c r="AP544" i="5"/>
  <c r="AP532" i="5"/>
  <c r="AP460" i="5"/>
  <c r="AP371" i="5"/>
  <c r="AP136" i="5"/>
  <c r="AP342" i="5"/>
  <c r="X57" i="4"/>
  <c r="AJ57" i="4" s="1"/>
  <c r="Y57" i="4"/>
  <c r="AR57" i="4" s="1"/>
  <c r="X130" i="4"/>
  <c r="AJ130" i="4" s="1"/>
  <c r="Y130" i="4"/>
  <c r="AR130" i="4" s="1"/>
  <c r="X46" i="4"/>
  <c r="X87" i="4"/>
  <c r="AJ87" i="4" s="1"/>
  <c r="X98" i="4"/>
  <c r="AJ98" i="4" s="1"/>
  <c r="Y98" i="4"/>
  <c r="AR98" i="4" s="1"/>
  <c r="X65" i="4"/>
  <c r="AJ65" i="4" s="1"/>
  <c r="Y65" i="4"/>
  <c r="AR65" i="4" s="1"/>
  <c r="X103" i="4"/>
  <c r="AJ103" i="4" s="1"/>
  <c r="X49" i="4"/>
  <c r="X92" i="4"/>
  <c r="Y92" i="4"/>
  <c r="AR92" i="4" s="1"/>
  <c r="X133" i="4"/>
  <c r="Y133" i="4"/>
  <c r="AR133" i="4" s="1"/>
  <c r="X38" i="4"/>
  <c r="X124" i="4"/>
  <c r="AJ124" i="4" s="1"/>
  <c r="Y124" i="4"/>
  <c r="AR124" i="4" s="1"/>
  <c r="X58" i="4"/>
  <c r="Y58" i="4"/>
  <c r="AR58" i="4" s="1"/>
  <c r="X125" i="4"/>
  <c r="Y125" i="4"/>
  <c r="AR125" i="4" s="1"/>
  <c r="X105" i="4"/>
  <c r="AJ105" i="4" s="1"/>
  <c r="Y105" i="4"/>
  <c r="AR105" i="4" s="1"/>
  <c r="X43" i="4"/>
  <c r="AJ43" i="4" s="1"/>
  <c r="X154" i="4"/>
  <c r="AJ154" i="4" s="1"/>
  <c r="Y154" i="4"/>
  <c r="AR154" i="4" s="1"/>
  <c r="X93" i="4"/>
  <c r="Y93" i="4"/>
  <c r="AR93" i="4" s="1"/>
  <c r="X30" i="4"/>
  <c r="X126" i="4"/>
  <c r="AJ126" i="4" s="1"/>
  <c r="Y126" i="4"/>
  <c r="AR126" i="4" s="1"/>
  <c r="X116" i="4"/>
  <c r="AJ116" i="4" s="1"/>
  <c r="Y116" i="4"/>
  <c r="AR116" i="4" s="1"/>
  <c r="X148" i="4"/>
  <c r="AJ148" i="4" s="1"/>
  <c r="Y148" i="4"/>
  <c r="AR148" i="4" s="1"/>
  <c r="X128" i="4"/>
  <c r="AJ128" i="4" s="1"/>
  <c r="Y128" i="4"/>
  <c r="AR128" i="4" s="1"/>
  <c r="X88" i="4"/>
  <c r="AJ88" i="4" s="1"/>
  <c r="X104" i="4"/>
  <c r="AJ104" i="4" s="1"/>
  <c r="X139" i="4"/>
  <c r="AJ139" i="4" s="1"/>
  <c r="X28" i="4"/>
  <c r="AJ28" i="4" s="1"/>
  <c r="X53" i="4"/>
  <c r="AJ53" i="4" s="1"/>
  <c r="X109" i="4"/>
  <c r="AJ109" i="4" s="1"/>
  <c r="Y109" i="4"/>
  <c r="AR109" i="4" s="1"/>
  <c r="AP301" i="5"/>
  <c r="AP556" i="5"/>
  <c r="AP90" i="5"/>
  <c r="AP195" i="5"/>
  <c r="AP72" i="5"/>
  <c r="AP501" i="5"/>
  <c r="AP199" i="5"/>
  <c r="AP251" i="5"/>
  <c r="AP455" i="5"/>
  <c r="AP249" i="5"/>
  <c r="AP41" i="5"/>
  <c r="AP307" i="5"/>
  <c r="AP350" i="5"/>
  <c r="AP66" i="5"/>
  <c r="AP312" i="5"/>
  <c r="AP290" i="5"/>
  <c r="AP326" i="5"/>
  <c r="AP156" i="5"/>
  <c r="AP318" i="5"/>
  <c r="AP116" i="5"/>
  <c r="AP278" i="5"/>
  <c r="AP210" i="5"/>
  <c r="AP551" i="5"/>
  <c r="AP288" i="5"/>
  <c r="AP539" i="5"/>
  <c r="AP454" i="5"/>
  <c r="AP164" i="5"/>
  <c r="AP167" i="5"/>
  <c r="AP232" i="5"/>
  <c r="X142" i="4"/>
  <c r="AJ142" i="4" s="1"/>
  <c r="Y142" i="4"/>
  <c r="AR142" i="4" s="1"/>
  <c r="X51" i="4"/>
  <c r="AJ51" i="4" s="1"/>
  <c r="X27" i="4"/>
  <c r="AJ27" i="4" s="1"/>
  <c r="X55" i="4"/>
  <c r="AJ55" i="4" s="1"/>
  <c r="Y55" i="4"/>
  <c r="AR55" i="4" s="1"/>
  <c r="X34" i="4"/>
  <c r="AJ34" i="4" s="1"/>
  <c r="X129" i="4"/>
  <c r="AJ129" i="4" s="1"/>
  <c r="Y129" i="4"/>
  <c r="AR129" i="4" s="1"/>
  <c r="X146" i="4"/>
  <c r="X157" i="4"/>
  <c r="AJ157" i="4" s="1"/>
  <c r="X75" i="4"/>
  <c r="AJ75" i="4" s="1"/>
  <c r="Y75" i="4"/>
  <c r="AR75" i="4" s="1"/>
  <c r="X110" i="4"/>
  <c r="Y110" i="4"/>
  <c r="AR110" i="4" s="1"/>
  <c r="X123" i="4"/>
  <c r="AJ123" i="4" s="1"/>
  <c r="Y123" i="4"/>
  <c r="AR123" i="4" s="1"/>
  <c r="X60" i="4"/>
  <c r="Y60" i="4"/>
  <c r="AR60" i="4" s="1"/>
  <c r="X153" i="4"/>
  <c r="X54" i="4"/>
  <c r="AJ54" i="4" s="1"/>
  <c r="Y54" i="4"/>
  <c r="AR54" i="4" s="1"/>
  <c r="X144" i="4"/>
  <c r="AJ144" i="4" s="1"/>
  <c r="Y144" i="4"/>
  <c r="AR144" i="4" s="1"/>
  <c r="X47" i="4"/>
  <c r="AJ47" i="4" s="1"/>
  <c r="X102" i="4"/>
  <c r="Y102" i="4"/>
  <c r="AR102" i="4" s="1"/>
  <c r="X96" i="4"/>
  <c r="AJ96" i="4" s="1"/>
  <c r="Y96" i="4"/>
  <c r="AR96" i="4" s="1"/>
  <c r="X113" i="4"/>
  <c r="AJ113" i="4" s="1"/>
  <c r="Y113" i="4"/>
  <c r="AR113" i="4" s="1"/>
  <c r="X85" i="4"/>
  <c r="AJ85" i="4" s="1"/>
  <c r="Y85" i="4"/>
  <c r="AR85" i="4" s="1"/>
  <c r="X67" i="4"/>
  <c r="Y67" i="4"/>
  <c r="AR67" i="4" s="1"/>
  <c r="X143" i="4"/>
  <c r="Y143" i="4"/>
  <c r="AR143" i="4" s="1"/>
  <c r="X117" i="4"/>
  <c r="Y117" i="4"/>
  <c r="AR117" i="4" s="1"/>
  <c r="X147" i="4"/>
  <c r="AJ147" i="4" s="1"/>
  <c r="X45" i="4"/>
  <c r="AJ45" i="4" s="1"/>
  <c r="X137" i="4"/>
  <c r="Y137" i="4"/>
  <c r="AR137" i="4" s="1"/>
  <c r="X74" i="4"/>
  <c r="Y74" i="4"/>
  <c r="AR74" i="4" s="1"/>
  <c r="X135" i="4"/>
  <c r="AJ135" i="4" s="1"/>
  <c r="Y135" i="4"/>
  <c r="AR135" i="4" s="1"/>
  <c r="X151" i="4"/>
  <c r="AJ151" i="4" s="1"/>
  <c r="Y151" i="4"/>
  <c r="AR151" i="4" s="1"/>
  <c r="X79" i="4"/>
  <c r="Y79" i="4"/>
  <c r="AR79" i="4" s="1"/>
  <c r="AP427" i="5"/>
  <c r="AP404" i="5"/>
  <c r="AP447" i="5"/>
  <c r="AP187" i="5"/>
  <c r="AP166" i="5"/>
  <c r="AP177" i="5"/>
  <c r="AP12" i="5"/>
  <c r="AP97" i="5"/>
  <c r="AP37" i="5"/>
  <c r="AP327" i="5"/>
  <c r="AP276" i="5"/>
  <c r="AP422" i="5"/>
  <c r="AP349" i="5"/>
  <c r="AP120" i="5"/>
  <c r="AP102" i="5"/>
  <c r="AP337" i="5"/>
  <c r="AP316" i="5"/>
  <c r="AP115" i="5"/>
  <c r="AP22" i="5"/>
  <c r="AP328" i="5"/>
  <c r="AP396" i="5"/>
  <c r="AP377" i="5"/>
  <c r="AP280" i="5"/>
  <c r="AP494" i="5"/>
  <c r="AP61" i="5"/>
  <c r="AP79" i="5"/>
  <c r="AP188" i="5"/>
  <c r="AP107" i="5"/>
  <c r="AP392" i="5"/>
  <c r="AP125" i="5"/>
  <c r="AP441" i="5"/>
  <c r="AP45" i="5"/>
  <c r="AP505" i="5"/>
  <c r="AP76" i="5"/>
  <c r="AP308" i="5"/>
  <c r="AP142" i="5"/>
  <c r="AP347" i="5"/>
  <c r="AP258" i="5"/>
  <c r="AP523" i="5"/>
  <c r="AP94" i="5"/>
  <c r="AP300" i="5"/>
  <c r="AP113" i="5"/>
  <c r="AP264" i="5"/>
  <c r="AP225" i="5"/>
  <c r="AP531" i="5"/>
  <c r="AP514" i="5"/>
  <c r="AP25" i="5"/>
  <c r="AP530" i="5"/>
  <c r="AP329" i="5"/>
  <c r="AP7" i="5"/>
  <c r="AR7" i="5" s="1"/>
  <c r="AP383" i="5"/>
  <c r="AP322" i="5"/>
  <c r="AP410" i="5"/>
  <c r="AP47" i="5"/>
  <c r="AP409" i="5"/>
  <c r="AP457" i="5"/>
  <c r="AP204" i="5"/>
  <c r="AP369" i="5"/>
  <c r="AP294" i="5"/>
  <c r="AP91" i="5"/>
  <c r="AP384" i="5"/>
  <c r="AP211" i="5"/>
  <c r="AP348" i="5"/>
  <c r="AP547" i="5"/>
  <c r="AP46" i="5"/>
  <c r="AP242" i="5"/>
  <c r="AP295" i="5"/>
  <c r="AP430" i="5"/>
  <c r="AP366" i="5"/>
  <c r="AP205" i="5"/>
  <c r="AP360" i="5"/>
  <c r="AP56" i="5"/>
  <c r="AP71" i="5"/>
  <c r="AP324" i="5"/>
  <c r="AP340" i="5"/>
  <c r="AP248" i="5"/>
  <c r="AP144" i="5"/>
  <c r="AP552" i="5"/>
  <c r="AP413" i="5"/>
  <c r="AP165" i="5"/>
  <c r="AP484" i="5"/>
  <c r="AP75" i="5"/>
  <c r="AP271" i="5"/>
  <c r="AP353" i="5"/>
  <c r="AP262" i="5"/>
  <c r="AP491" i="5"/>
  <c r="AP60" i="5"/>
  <c r="AP390" i="5"/>
  <c r="AP553" i="5"/>
  <c r="AP28" i="5"/>
  <c r="AP320" i="5"/>
  <c r="AP503" i="5"/>
  <c r="AP161" i="5"/>
  <c r="AP429" i="5"/>
  <c r="AP558" i="5"/>
  <c r="AP314" i="5"/>
  <c r="AP334" i="5"/>
  <c r="AP540" i="5"/>
  <c r="AP123" i="5"/>
  <c r="AP325" i="5"/>
  <c r="AP555" i="5"/>
  <c r="AP401" i="5"/>
  <c r="AP542" i="5"/>
  <c r="AP255" i="5"/>
  <c r="AP89" i="5"/>
  <c r="AP55" i="5"/>
  <c r="AP495" i="5"/>
  <c r="AP513" i="5"/>
  <c r="AQ535" i="5"/>
  <c r="BI535" i="5"/>
  <c r="AR535" i="5"/>
  <c r="BI111" i="5"/>
  <c r="AQ111" i="5"/>
  <c r="AR111" i="5"/>
  <c r="AQ473" i="5"/>
  <c r="BI473" i="5"/>
  <c r="AR473" i="5"/>
  <c r="BI356" i="5"/>
  <c r="AR356" i="5"/>
  <c r="AQ356" i="5"/>
  <c r="BI38" i="5"/>
  <c r="AQ38" i="5"/>
  <c r="AR38" i="5"/>
  <c r="AQ162" i="5"/>
  <c r="BI162" i="5"/>
  <c r="AR162" i="5"/>
  <c r="AQ106" i="5"/>
  <c r="AR106" i="5"/>
  <c r="BI106" i="5"/>
  <c r="AR78" i="5"/>
  <c r="BI78" i="5"/>
  <c r="AQ78" i="5"/>
  <c r="AQ515" i="5"/>
  <c r="AR515" i="5"/>
  <c r="BI515" i="5"/>
  <c r="AR463" i="5"/>
  <c r="AQ463" i="5"/>
  <c r="BI463" i="5"/>
  <c r="AQ183" i="5"/>
  <c r="BI183" i="5"/>
  <c r="AR183" i="5"/>
  <c r="BI145" i="5"/>
  <c r="AR145" i="5"/>
  <c r="AQ145" i="5"/>
  <c r="BI274" i="5"/>
  <c r="AQ274" i="5"/>
  <c r="AR274" i="5"/>
  <c r="AR218" i="5"/>
  <c r="AQ218" i="5"/>
  <c r="BI218" i="5"/>
  <c r="AR299" i="5"/>
  <c r="AQ299" i="5"/>
  <c r="BI299" i="5"/>
  <c r="AR489" i="5"/>
  <c r="BI489" i="5"/>
  <c r="AQ489" i="5"/>
  <c r="AR229" i="5"/>
  <c r="BI229" i="5"/>
  <c r="AQ229" i="5"/>
  <c r="AQ437" i="5"/>
  <c r="BI437" i="5"/>
  <c r="AR437" i="5"/>
  <c r="AR179" i="5"/>
  <c r="BI179" i="5"/>
  <c r="AQ179" i="5"/>
  <c r="AQ317" i="5"/>
  <c r="AR317" i="5"/>
  <c r="BI317" i="5"/>
  <c r="AR472" i="5"/>
  <c r="BI472" i="5"/>
  <c r="AQ472" i="5"/>
  <c r="AR302" i="5"/>
  <c r="BI302" i="5"/>
  <c r="AQ302" i="5"/>
  <c r="BI448" i="5"/>
  <c r="AR448" i="5"/>
  <c r="AQ448" i="5"/>
  <c r="AQ185" i="5"/>
  <c r="AR185" i="5"/>
  <c r="BI185" i="5"/>
  <c r="BI124" i="5"/>
  <c r="AQ124" i="5"/>
  <c r="AR124" i="5"/>
  <c r="AQ387" i="5"/>
  <c r="BI387" i="5"/>
  <c r="AR387" i="5"/>
  <c r="AQ525" i="5"/>
  <c r="AR525" i="5"/>
  <c r="BI525" i="5"/>
  <c r="AR533" i="5"/>
  <c r="BI533" i="5"/>
  <c r="AQ533" i="5"/>
  <c r="AR282" i="5"/>
  <c r="BI282" i="5"/>
  <c r="AQ282" i="5"/>
  <c r="AQ333" i="5"/>
  <c r="BI333" i="5"/>
  <c r="AR333" i="5"/>
  <c r="AR178" i="5"/>
  <c r="BI178" i="5"/>
  <c r="AQ178" i="5"/>
  <c r="BI240" i="5"/>
  <c r="AQ240" i="5"/>
  <c r="AR240" i="5"/>
  <c r="AR554" i="5"/>
  <c r="BI554" i="5"/>
  <c r="AQ554" i="5"/>
  <c r="BI313" i="5"/>
  <c r="AR313" i="5"/>
  <c r="AQ313" i="5"/>
  <c r="BI58" i="5"/>
  <c r="AQ58" i="5"/>
  <c r="AR58" i="5"/>
  <c r="AQ546" i="5"/>
  <c r="BI546" i="5"/>
  <c r="AR546" i="5"/>
  <c r="AR99" i="5"/>
  <c r="BI99" i="5"/>
  <c r="AQ99" i="5"/>
  <c r="AQ8" i="5"/>
  <c r="AR8" i="5"/>
  <c r="BI8" i="5"/>
  <c r="BI538" i="5"/>
  <c r="AR538" i="5"/>
  <c r="AQ538" i="5"/>
  <c r="BI368" i="5"/>
  <c r="AQ368" i="5"/>
  <c r="AR368" i="5"/>
  <c r="AQ247" i="5"/>
  <c r="BI247" i="5"/>
  <c r="AR247" i="5"/>
  <c r="AQ459" i="5"/>
  <c r="AR459" i="5"/>
  <c r="BI459" i="5"/>
  <c r="AQ181" i="5"/>
  <c r="BI181" i="5"/>
  <c r="AR181" i="5"/>
  <c r="AR458" i="5"/>
  <c r="AQ458" i="5"/>
  <c r="BI458" i="5"/>
  <c r="AR527" i="5"/>
  <c r="BI527" i="5"/>
  <c r="AQ527" i="5"/>
  <c r="AN411" i="5"/>
  <c r="AO411" i="5"/>
  <c r="AO151" i="5"/>
  <c r="AN151" i="5"/>
  <c r="AO68" i="5"/>
  <c r="AN68" i="5"/>
  <c r="AO252" i="5"/>
  <c r="AN252" i="5"/>
  <c r="AO77" i="5"/>
  <c r="AN77" i="5"/>
  <c r="AO266" i="5"/>
  <c r="AN266" i="5"/>
  <c r="AO33" i="5"/>
  <c r="AN33" i="5"/>
  <c r="AN148" i="5"/>
  <c r="AO148" i="5"/>
  <c r="AO84" i="5"/>
  <c r="AN84" i="5"/>
  <c r="AO106" i="5"/>
  <c r="AN106" i="5"/>
  <c r="AN557" i="5"/>
  <c r="AO557" i="5"/>
  <c r="AN240" i="5"/>
  <c r="AO240" i="5"/>
  <c r="AN446" i="5"/>
  <c r="AO446" i="5"/>
  <c r="AN183" i="5"/>
  <c r="AO183" i="5"/>
  <c r="AO192" i="5"/>
  <c r="AN192" i="5"/>
  <c r="AO209" i="5"/>
  <c r="AN209" i="5"/>
  <c r="AN394" i="5"/>
  <c r="AO394" i="5"/>
  <c r="AO541" i="5"/>
  <c r="AN541" i="5"/>
  <c r="AN504" i="5"/>
  <c r="AO504" i="5"/>
  <c r="AN13" i="5"/>
  <c r="AO13" i="5"/>
  <c r="AO416" i="5"/>
  <c r="AN416" i="5"/>
  <c r="AN54" i="5"/>
  <c r="AO54" i="5"/>
  <c r="AN159" i="5"/>
  <c r="AO159" i="5"/>
  <c r="AO154" i="5"/>
  <c r="AN154" i="5"/>
  <c r="AO524" i="5"/>
  <c r="AN524" i="5"/>
  <c r="AN260" i="5"/>
  <c r="AO260" i="5"/>
  <c r="AO444" i="5"/>
  <c r="AN444" i="5"/>
  <c r="AN372" i="5"/>
  <c r="AO372" i="5"/>
  <c r="AN529" i="5"/>
  <c r="AO529" i="5"/>
  <c r="AN284" i="5"/>
  <c r="AO284" i="5"/>
  <c r="AO533" i="5"/>
  <c r="AN533" i="5"/>
  <c r="AO219" i="5"/>
  <c r="AN219" i="5"/>
  <c r="AO462" i="5"/>
  <c r="AN462" i="5"/>
  <c r="AN176" i="5"/>
  <c r="AO176" i="5"/>
  <c r="AO267" i="5"/>
  <c r="AN267" i="5"/>
  <c r="AN419" i="5"/>
  <c r="AO419" i="5"/>
  <c r="AO12" i="5"/>
  <c r="AN12" i="5"/>
  <c r="AO101" i="5"/>
  <c r="AN101" i="5"/>
  <c r="AO386" i="5"/>
  <c r="AN386" i="5"/>
  <c r="AO368" i="5"/>
  <c r="AN368" i="5"/>
  <c r="AO186" i="5"/>
  <c r="AN186" i="5"/>
  <c r="AO363" i="5"/>
  <c r="AN363" i="5"/>
  <c r="AO65" i="5"/>
  <c r="AN65" i="5"/>
  <c r="AO316" i="5"/>
  <c r="AN316" i="5"/>
  <c r="AO302" i="5"/>
  <c r="AN302" i="5"/>
  <c r="AO336" i="5"/>
  <c r="AN336" i="5"/>
  <c r="AN184" i="5"/>
  <c r="AO184" i="5"/>
  <c r="AN485" i="5"/>
  <c r="AO485" i="5"/>
  <c r="AO73" i="5"/>
  <c r="AN73" i="5"/>
  <c r="AO248" i="5"/>
  <c r="AN248" i="5"/>
  <c r="AH16" i="4"/>
  <c r="AE16" i="4"/>
  <c r="Z16" i="4"/>
  <c r="X16" i="4" s="1"/>
  <c r="AJ16" i="4" s="1"/>
  <c r="AH9" i="4"/>
  <c r="Z9" i="4"/>
  <c r="X9" i="4" s="1"/>
  <c r="AJ9" i="4" s="1"/>
  <c r="AE9" i="4"/>
  <c r="BI95" i="5"/>
  <c r="AQ95" i="5"/>
  <c r="AR95" i="5"/>
  <c r="AQ34" i="5"/>
  <c r="AR34" i="5"/>
  <c r="BI34" i="5"/>
  <c r="AR492" i="5"/>
  <c r="BI492" i="5"/>
  <c r="AQ492" i="5"/>
  <c r="AQ198" i="5"/>
  <c r="AR198" i="5"/>
  <c r="BI198" i="5"/>
  <c r="BI57" i="5"/>
  <c r="AQ57" i="5"/>
  <c r="AR57" i="5"/>
  <c r="AR286" i="5"/>
  <c r="AQ286" i="5"/>
  <c r="BI286" i="5"/>
  <c r="AQ254" i="5"/>
  <c r="AR254" i="5"/>
  <c r="BI254" i="5"/>
  <c r="BI304" i="5"/>
  <c r="AQ304" i="5"/>
  <c r="AR304" i="5"/>
  <c r="AQ362" i="5"/>
  <c r="AR362" i="5"/>
  <c r="BI362" i="5"/>
  <c r="AQ129" i="5"/>
  <c r="BI129" i="5"/>
  <c r="AR129" i="5"/>
  <c r="AR303" i="5"/>
  <c r="BI303" i="5"/>
  <c r="AQ303" i="5"/>
  <c r="AQ296" i="5"/>
  <c r="AR296" i="5"/>
  <c r="BI296" i="5"/>
  <c r="AQ213" i="5"/>
  <c r="BI213" i="5"/>
  <c r="AR213" i="5"/>
  <c r="AQ168" i="5"/>
  <c r="AR168" i="5"/>
  <c r="BI168" i="5"/>
  <c r="BI80" i="5"/>
  <c r="AQ80" i="5"/>
  <c r="AR80" i="5"/>
  <c r="AR170" i="5"/>
  <c r="BI170" i="5"/>
  <c r="AQ170" i="5"/>
  <c r="BI402" i="5"/>
  <c r="AR402" i="5"/>
  <c r="AQ402" i="5"/>
  <c r="BI335" i="5"/>
  <c r="AR335" i="5"/>
  <c r="AQ335" i="5"/>
  <c r="AR315" i="5"/>
  <c r="AQ315" i="5"/>
  <c r="BI315" i="5"/>
  <c r="AH80" i="4"/>
  <c r="AE80" i="4"/>
  <c r="Z80" i="4"/>
  <c r="AA80" i="4"/>
  <c r="AH138" i="4"/>
  <c r="AE138" i="4"/>
  <c r="Z138" i="4"/>
  <c r="AA138" i="4"/>
  <c r="AH10" i="4"/>
  <c r="AE10" i="4"/>
  <c r="Z10" i="4"/>
  <c r="X10" i="4" s="1"/>
  <c r="AJ10" i="4" s="1"/>
  <c r="AH35" i="4"/>
  <c r="AE35" i="4"/>
  <c r="Z35" i="4"/>
  <c r="AA35" i="4"/>
  <c r="AH97" i="4"/>
  <c r="AE97" i="4"/>
  <c r="AA27" i="4"/>
  <c r="AE27" i="4"/>
  <c r="AH27" i="4"/>
  <c r="Z27" i="4"/>
  <c r="AH47" i="4"/>
  <c r="AA47" i="4"/>
  <c r="AE47" i="4"/>
  <c r="Z47" i="4"/>
  <c r="AE78" i="4"/>
  <c r="AH78" i="4"/>
  <c r="AH82" i="4"/>
  <c r="AE82" i="4"/>
  <c r="AE63" i="4"/>
  <c r="AH63" i="4"/>
  <c r="AH25" i="4"/>
  <c r="AE25" i="4"/>
  <c r="Z25" i="4"/>
  <c r="X25" i="4" s="1"/>
  <c r="AJ25" i="4" s="1"/>
  <c r="AJ62" i="4"/>
  <c r="AE62" i="4"/>
  <c r="AH62" i="4"/>
  <c r="AE96" i="4"/>
  <c r="AH96" i="4"/>
  <c r="AH76" i="4"/>
  <c r="AA76" i="4"/>
  <c r="AJ76" i="4"/>
  <c r="AE76" i="4"/>
  <c r="AH87" i="4"/>
  <c r="AE87" i="4"/>
  <c r="AA87" i="4"/>
  <c r="Z87" i="4"/>
  <c r="AE89" i="4"/>
  <c r="AH89" i="4"/>
  <c r="AE29" i="4"/>
  <c r="AH29" i="4"/>
  <c r="AA29" i="4"/>
  <c r="Z29" i="4"/>
  <c r="AH65" i="4"/>
  <c r="AE65" i="4"/>
  <c r="AR301" i="5"/>
  <c r="BI301" i="5"/>
  <c r="AQ301" i="5"/>
  <c r="BI343" i="5"/>
  <c r="AQ343" i="5"/>
  <c r="AR343" i="5"/>
  <c r="AR105" i="5"/>
  <c r="AQ105" i="5"/>
  <c r="BI105" i="5"/>
  <c r="AQ512" i="5"/>
  <c r="AR512" i="5"/>
  <c r="BI512" i="5"/>
  <c r="BI534" i="5"/>
  <c r="AR534" i="5"/>
  <c r="AQ534" i="5"/>
  <c r="AR97" i="5"/>
  <c r="BI97" i="5"/>
  <c r="AQ97" i="5"/>
  <c r="AQ327" i="5"/>
  <c r="AR327" i="5"/>
  <c r="BI327" i="5"/>
  <c r="BI332" i="5"/>
  <c r="AQ332" i="5"/>
  <c r="AR332" i="5"/>
  <c r="AR422" i="5"/>
  <c r="BI422" i="5"/>
  <c r="AQ422" i="5"/>
  <c r="BI471" i="5"/>
  <c r="AR471" i="5"/>
  <c r="AQ471" i="5"/>
  <c r="AQ226" i="5"/>
  <c r="BI226" i="5"/>
  <c r="AR226" i="5"/>
  <c r="AR349" i="5"/>
  <c r="AQ349" i="5"/>
  <c r="BI349" i="5"/>
  <c r="AR10" i="5"/>
  <c r="AR120" i="5"/>
  <c r="BI120" i="5"/>
  <c r="AQ120" i="5"/>
  <c r="AR476" i="5"/>
  <c r="BI476" i="5"/>
  <c r="AQ476" i="5"/>
  <c r="BI102" i="5"/>
  <c r="AR102" i="5"/>
  <c r="AQ102" i="5"/>
  <c r="AQ337" i="5"/>
  <c r="BI337" i="5"/>
  <c r="AR337" i="5"/>
  <c r="AR83" i="5"/>
  <c r="AQ83" i="5"/>
  <c r="BI83" i="5"/>
  <c r="BI316" i="5"/>
  <c r="AQ316" i="5"/>
  <c r="AR316" i="5"/>
  <c r="AQ275" i="5"/>
  <c r="BI275" i="5"/>
  <c r="AR275" i="5"/>
  <c r="AR115" i="5"/>
  <c r="AQ115" i="5"/>
  <c r="BI115" i="5"/>
  <c r="AR331" i="5"/>
  <c r="BI331" i="5"/>
  <c r="AQ331" i="5"/>
  <c r="BI22" i="5"/>
  <c r="AQ22" i="5"/>
  <c r="AR22" i="5"/>
  <c r="AR365" i="5"/>
  <c r="AQ365" i="5"/>
  <c r="BI365" i="5"/>
  <c r="AQ90" i="5"/>
  <c r="BI90" i="5"/>
  <c r="AR90" i="5"/>
  <c r="AR519" i="5"/>
  <c r="BI519" i="5"/>
  <c r="AQ519" i="5"/>
  <c r="AQ40" i="5"/>
  <c r="BI40" i="5"/>
  <c r="AR40" i="5"/>
  <c r="AQ328" i="5"/>
  <c r="BI328" i="5"/>
  <c r="AR328" i="5"/>
  <c r="BI59" i="5"/>
  <c r="AQ59" i="5"/>
  <c r="AR59" i="5"/>
  <c r="AR396" i="5"/>
  <c r="AQ396" i="5"/>
  <c r="BI396" i="5"/>
  <c r="AQ377" i="5"/>
  <c r="BI377" i="5"/>
  <c r="AR377" i="5"/>
  <c r="AP68" i="5"/>
  <c r="AQ351" i="5"/>
  <c r="BI351" i="5"/>
  <c r="AR351" i="5"/>
  <c r="BI65" i="5"/>
  <c r="AQ65" i="5"/>
  <c r="AR65" i="5"/>
  <c r="BI101" i="5"/>
  <c r="AR101" i="5"/>
  <c r="AQ101" i="5"/>
  <c r="BI481" i="5"/>
  <c r="AQ481" i="5"/>
  <c r="AR481" i="5"/>
  <c r="AR280" i="5"/>
  <c r="BI280" i="5"/>
  <c r="AQ280" i="5"/>
  <c r="BI86" i="5"/>
  <c r="AR86" i="5"/>
  <c r="AQ86" i="5"/>
  <c r="BI195" i="5"/>
  <c r="AQ195" i="5"/>
  <c r="AR195" i="5"/>
  <c r="AQ72" i="5"/>
  <c r="AR72" i="5"/>
  <c r="BI72" i="5"/>
  <c r="BI494" i="5"/>
  <c r="AR494" i="5"/>
  <c r="AQ494" i="5"/>
  <c r="BI119" i="5"/>
  <c r="AR119" i="5"/>
  <c r="AQ119" i="5"/>
  <c r="AR221" i="5"/>
  <c r="AQ221" i="5"/>
  <c r="BI221" i="5"/>
  <c r="AQ61" i="5"/>
  <c r="BI61" i="5"/>
  <c r="AR61" i="5"/>
  <c r="AR397" i="5"/>
  <c r="AQ397" i="5"/>
  <c r="BI397" i="5"/>
  <c r="AQ400" i="5"/>
  <c r="BI400" i="5"/>
  <c r="AR400" i="5"/>
  <c r="AP159" i="5"/>
  <c r="AQ79" i="5"/>
  <c r="AR79" i="5"/>
  <c r="BI79" i="5"/>
  <c r="BI501" i="5"/>
  <c r="AQ501" i="5"/>
  <c r="AR501" i="5"/>
  <c r="AP446" i="5"/>
  <c r="AR188" i="5"/>
  <c r="AQ188" i="5"/>
  <c r="BI188" i="5"/>
  <c r="AP411" i="5"/>
  <c r="AQ199" i="5"/>
  <c r="AR199" i="5"/>
  <c r="BI199" i="5"/>
  <c r="AR251" i="5"/>
  <c r="AQ251" i="5"/>
  <c r="BI251" i="5"/>
  <c r="AQ261" i="5"/>
  <c r="BI261" i="5"/>
  <c r="AR261" i="5"/>
  <c r="AR483" i="5"/>
  <c r="BI483" i="5"/>
  <c r="AQ483" i="5"/>
  <c r="BI173" i="5"/>
  <c r="AR173" i="5"/>
  <c r="AQ173" i="5"/>
  <c r="AR141" i="5"/>
  <c r="AQ141" i="5"/>
  <c r="BI141" i="5"/>
  <c r="AP176" i="5"/>
  <c r="AQ235" i="5"/>
  <c r="BI235" i="5"/>
  <c r="AR235" i="5"/>
  <c r="AR109" i="5"/>
  <c r="AQ109" i="5"/>
  <c r="BI109" i="5"/>
  <c r="AP529" i="5"/>
  <c r="AR433" i="5"/>
  <c r="AQ433" i="5"/>
  <c r="BI433" i="5"/>
  <c r="AQ455" i="5"/>
  <c r="AR455" i="5"/>
  <c r="BI455" i="5"/>
  <c r="AQ107" i="5"/>
  <c r="AR107" i="5"/>
  <c r="BI107" i="5"/>
  <c r="AQ249" i="5"/>
  <c r="BI249" i="5"/>
  <c r="AR249" i="5"/>
  <c r="AQ41" i="5"/>
  <c r="AR41" i="5"/>
  <c r="BI41" i="5"/>
  <c r="BI307" i="5"/>
  <c r="AQ307" i="5"/>
  <c r="AR307" i="5"/>
  <c r="AP444" i="5"/>
  <c r="AR237" i="5"/>
  <c r="BI237" i="5"/>
  <c r="AQ237" i="5"/>
  <c r="BI522" i="5"/>
  <c r="AR522" i="5"/>
  <c r="AQ522" i="5"/>
  <c r="AQ108" i="5"/>
  <c r="AR108" i="5"/>
  <c r="BI108" i="5"/>
  <c r="BI392" i="5"/>
  <c r="AR392" i="5"/>
  <c r="AQ392" i="5"/>
  <c r="BI339" i="5"/>
  <c r="AQ339" i="5"/>
  <c r="AR339" i="5"/>
  <c r="BI469" i="5"/>
  <c r="AQ469" i="5"/>
  <c r="AR469" i="5"/>
  <c r="BI23" i="5"/>
  <c r="AQ23" i="5"/>
  <c r="AR23" i="5"/>
  <c r="AQ125" i="5"/>
  <c r="AR125" i="5"/>
  <c r="BI125" i="5"/>
  <c r="AP154" i="5"/>
  <c r="AQ350" i="5"/>
  <c r="BI350" i="5"/>
  <c r="AR350" i="5"/>
  <c r="BI31" i="5"/>
  <c r="AQ31" i="5"/>
  <c r="AR31" i="5"/>
  <c r="BI87" i="5"/>
  <c r="AQ87" i="5"/>
  <c r="AR87" i="5"/>
  <c r="AQ516" i="5"/>
  <c r="BI516" i="5"/>
  <c r="AR516" i="5"/>
  <c r="AQ66" i="5"/>
  <c r="BI66" i="5"/>
  <c r="AR66" i="5"/>
  <c r="AQ312" i="5"/>
  <c r="BI312" i="5"/>
  <c r="AR312" i="5"/>
  <c r="AQ441" i="5"/>
  <c r="BI441" i="5"/>
  <c r="AR441" i="5"/>
  <c r="AR290" i="5"/>
  <c r="AQ290" i="5"/>
  <c r="BI290" i="5"/>
  <c r="AR326" i="5"/>
  <c r="BI326" i="5"/>
  <c r="AQ326" i="5"/>
  <c r="BI26" i="5"/>
  <c r="AR26" i="5"/>
  <c r="AQ26" i="5"/>
  <c r="BI403" i="5"/>
  <c r="AQ403" i="5"/>
  <c r="AR403" i="5"/>
  <c r="AQ134" i="5"/>
  <c r="BI134" i="5"/>
  <c r="AR134" i="5"/>
  <c r="BI45" i="5"/>
  <c r="AR45" i="5"/>
  <c r="AQ45" i="5"/>
  <c r="AQ52" i="5"/>
  <c r="AR52" i="5"/>
  <c r="BI52" i="5"/>
  <c r="BI201" i="5"/>
  <c r="AQ201" i="5"/>
  <c r="AR201" i="5"/>
  <c r="AR505" i="5"/>
  <c r="BI505" i="5"/>
  <c r="AQ505" i="5"/>
  <c r="AR399" i="5"/>
  <c r="BI399" i="5"/>
  <c r="AQ399" i="5"/>
  <c r="AP260" i="5"/>
  <c r="BI156" i="5"/>
  <c r="AR156" i="5"/>
  <c r="AQ156" i="5"/>
  <c r="AQ291" i="5"/>
  <c r="AR291" i="5"/>
  <c r="BI291" i="5"/>
  <c r="AR507" i="5"/>
  <c r="AQ507" i="5"/>
  <c r="BI507" i="5"/>
  <c r="BI346" i="5"/>
  <c r="AQ346" i="5"/>
  <c r="AR346" i="5"/>
  <c r="BI490" i="5"/>
  <c r="AQ490" i="5"/>
  <c r="AR490" i="5"/>
  <c r="AR135" i="5"/>
  <c r="BI135" i="5"/>
  <c r="AQ135" i="5"/>
  <c r="AP394" i="5"/>
  <c r="AP252" i="5"/>
  <c r="AQ268" i="5"/>
  <c r="BI268" i="5"/>
  <c r="AR268" i="5"/>
  <c r="AR76" i="5"/>
  <c r="AQ76" i="5"/>
  <c r="BI76" i="5"/>
  <c r="BI408" i="5"/>
  <c r="AR408" i="5"/>
  <c r="AQ408" i="5"/>
  <c r="AR308" i="5"/>
  <c r="AQ308" i="5"/>
  <c r="BI308" i="5"/>
  <c r="AQ318" i="5"/>
  <c r="BI318" i="5"/>
  <c r="AR318" i="5"/>
  <c r="AR142" i="5"/>
  <c r="BI142" i="5"/>
  <c r="AQ142" i="5"/>
  <c r="AQ537" i="5"/>
  <c r="AR537" i="5"/>
  <c r="BI537" i="5"/>
  <c r="BI116" i="5"/>
  <c r="AR116" i="5"/>
  <c r="AQ116" i="5"/>
  <c r="AQ208" i="5"/>
  <c r="BI208" i="5"/>
  <c r="AR208" i="5"/>
  <c r="BI347" i="5"/>
  <c r="AR347" i="5"/>
  <c r="AQ347" i="5"/>
  <c r="BI278" i="5"/>
  <c r="AQ278" i="5"/>
  <c r="AR278" i="5"/>
  <c r="AR210" i="5"/>
  <c r="AQ210" i="5"/>
  <c r="BI210" i="5"/>
  <c r="AQ551" i="5"/>
  <c r="BI551" i="5"/>
  <c r="AR551" i="5"/>
  <c r="AQ288" i="5"/>
  <c r="AR288" i="5"/>
  <c r="BI288" i="5"/>
  <c r="BI412" i="5"/>
  <c r="AQ412" i="5"/>
  <c r="AR412" i="5"/>
  <c r="AR539" i="5"/>
  <c r="AQ539" i="5"/>
  <c r="BI539" i="5"/>
  <c r="BI454" i="5"/>
  <c r="AQ454" i="5"/>
  <c r="AR454" i="5"/>
  <c r="AR330" i="5"/>
  <c r="AQ330" i="5"/>
  <c r="BI330" i="5"/>
  <c r="AR164" i="5"/>
  <c r="AQ164" i="5"/>
  <c r="BI164" i="5"/>
  <c r="BI167" i="5"/>
  <c r="AQ167" i="5"/>
  <c r="AR167" i="5"/>
  <c r="AR232" i="5"/>
  <c r="BI232" i="5"/>
  <c r="AQ232" i="5"/>
  <c r="AQ496" i="5"/>
  <c r="BI496" i="5"/>
  <c r="AR496" i="5"/>
  <c r="BI245" i="5"/>
  <c r="AR245" i="5"/>
  <c r="AQ245" i="5"/>
  <c r="AR258" i="5"/>
  <c r="BI258" i="5"/>
  <c r="AQ258" i="5"/>
  <c r="AR523" i="5"/>
  <c r="AQ523" i="5"/>
  <c r="BI523" i="5"/>
  <c r="AQ94" i="5"/>
  <c r="BI94" i="5"/>
  <c r="AR94" i="5"/>
  <c r="AJ120" i="4"/>
  <c r="AE120" i="4"/>
  <c r="AA120" i="4"/>
  <c r="Z120" i="4"/>
  <c r="AH120" i="4"/>
  <c r="AK9" i="5"/>
  <c r="AL9" i="5"/>
  <c r="AI9" i="5"/>
  <c r="AH9" i="5"/>
  <c r="AE142" i="4"/>
  <c r="AH142" i="4"/>
  <c r="AQ184" i="5"/>
  <c r="AR184" i="5"/>
  <c r="BI184" i="5"/>
  <c r="AQ227" i="5"/>
  <c r="BI227" i="5"/>
  <c r="AR227" i="5"/>
  <c r="AQ27" i="5"/>
  <c r="BI27" i="5"/>
  <c r="AR27" i="5"/>
  <c r="AQ64" i="5"/>
  <c r="AR64" i="5"/>
  <c r="BI64" i="5"/>
  <c r="AQ311" i="5"/>
  <c r="BI311" i="5"/>
  <c r="AR311" i="5"/>
  <c r="AQ266" i="5"/>
  <c r="BI266" i="5"/>
  <c r="AR266" i="5"/>
  <c r="AR24" i="5"/>
  <c r="AQ24" i="5"/>
  <c r="BI24" i="5"/>
  <c r="AQ341" i="5"/>
  <c r="AR341" i="5"/>
  <c r="BI341" i="5"/>
  <c r="AR182" i="5"/>
  <c r="AQ182" i="5"/>
  <c r="BI182" i="5"/>
  <c r="AQ421" i="5"/>
  <c r="AR421" i="5"/>
  <c r="BI421" i="5"/>
  <c r="BI436" i="5"/>
  <c r="AQ436" i="5"/>
  <c r="AR436" i="5"/>
  <c r="AR536" i="5"/>
  <c r="BI536" i="5"/>
  <c r="AQ536" i="5"/>
  <c r="BI171" i="5"/>
  <c r="AQ171" i="5"/>
  <c r="AR171" i="5"/>
  <c r="AR244" i="5"/>
  <c r="BI244" i="5"/>
  <c r="AQ244" i="5"/>
  <c r="BI196" i="5"/>
  <c r="AQ196" i="5"/>
  <c r="AR196" i="5"/>
  <c r="AR336" i="5"/>
  <c r="BI336" i="5"/>
  <c r="AQ336" i="5"/>
  <c r="AQ543" i="5"/>
  <c r="BI543" i="5"/>
  <c r="AR543" i="5"/>
  <c r="AR359" i="5"/>
  <c r="BI359" i="5"/>
  <c r="AQ359" i="5"/>
  <c r="AE51" i="4"/>
  <c r="AH51" i="4"/>
  <c r="AA51" i="4"/>
  <c r="Z51" i="4"/>
  <c r="AJ118" i="4"/>
  <c r="AE118" i="4"/>
  <c r="AH118" i="4"/>
  <c r="AE114" i="4"/>
  <c r="AH114" i="4"/>
  <c r="AE69" i="4"/>
  <c r="AH69" i="4"/>
  <c r="AH104" i="4"/>
  <c r="Z104" i="4"/>
  <c r="AA104" i="4"/>
  <c r="AE104" i="4"/>
  <c r="AH139" i="4"/>
  <c r="AA139" i="4"/>
  <c r="Z139" i="4"/>
  <c r="AE139" i="4"/>
  <c r="AH100" i="4"/>
  <c r="AE100" i="4"/>
  <c r="AA100" i="4"/>
  <c r="Z100" i="4"/>
  <c r="P44" i="5"/>
  <c r="P46" i="5"/>
  <c r="P297" i="5"/>
  <c r="P541" i="5"/>
  <c r="P28" i="5"/>
  <c r="P348" i="5"/>
  <c r="P524" i="5"/>
  <c r="P29" i="5"/>
  <c r="P19" i="5"/>
  <c r="P256" i="5"/>
  <c r="P85" i="5"/>
  <c r="P282" i="5"/>
  <c r="P137" i="5"/>
  <c r="P468" i="5"/>
  <c r="P281" i="5"/>
  <c r="P76" i="5"/>
  <c r="P431" i="5"/>
  <c r="P405" i="5"/>
  <c r="P97" i="5"/>
  <c r="P21" i="5"/>
  <c r="P542" i="5"/>
  <c r="P37" i="5"/>
  <c r="P410" i="5"/>
  <c r="P70" i="5"/>
  <c r="P341" i="5"/>
  <c r="P77" i="5"/>
  <c r="P326" i="5"/>
  <c r="P258" i="5"/>
  <c r="P328" i="5"/>
  <c r="P560" i="5"/>
  <c r="P49" i="5"/>
  <c r="P166" i="5"/>
  <c r="P144" i="5"/>
  <c r="P62" i="5"/>
  <c r="P358" i="5"/>
  <c r="P210" i="5"/>
  <c r="P415" i="5"/>
  <c r="P559" i="5"/>
  <c r="P81" i="5"/>
  <c r="P522" i="5"/>
  <c r="P181" i="5"/>
  <c r="P514" i="5"/>
  <c r="P419" i="5"/>
  <c r="P558" i="5"/>
  <c r="P110" i="5"/>
  <c r="P272" i="5"/>
  <c r="P225" i="5"/>
  <c r="P507" i="5"/>
  <c r="P88" i="5"/>
  <c r="P466" i="5"/>
  <c r="P260" i="5"/>
  <c r="P437" i="5"/>
  <c r="P421" i="5"/>
  <c r="P299" i="5"/>
  <c r="P430" i="5"/>
  <c r="P309" i="5"/>
  <c r="P209" i="5"/>
  <c r="P242" i="5"/>
  <c r="P377" i="5"/>
  <c r="P187" i="5"/>
  <c r="P500" i="5"/>
  <c r="P119" i="5"/>
  <c r="P213" i="5"/>
  <c r="P51" i="5"/>
  <c r="P8" i="5"/>
  <c r="P34" i="5"/>
  <c r="P38" i="5"/>
  <c r="P372" i="5"/>
  <c r="P473" i="5"/>
  <c r="P180" i="5"/>
  <c r="P448" i="5"/>
  <c r="P316" i="5"/>
  <c r="P353" i="5"/>
  <c r="P504" i="5"/>
  <c r="P445" i="5"/>
  <c r="P234" i="5"/>
  <c r="P164" i="5"/>
  <c r="P373" i="5"/>
  <c r="P90" i="5"/>
  <c r="P83" i="5"/>
  <c r="P254" i="5"/>
  <c r="P149" i="5"/>
  <c r="P141" i="5"/>
  <c r="P549" i="5"/>
  <c r="P277" i="5"/>
  <c r="P27" i="5"/>
  <c r="P286" i="5"/>
  <c r="P551" i="5"/>
  <c r="P87" i="5"/>
  <c r="P115" i="5"/>
  <c r="P362" i="5"/>
  <c r="P352" i="5"/>
  <c r="P554" i="5"/>
  <c r="P369" i="5"/>
  <c r="P475" i="5"/>
  <c r="P236" i="5"/>
  <c r="P370" i="5"/>
  <c r="P350" i="5"/>
  <c r="P45" i="5"/>
  <c r="P150" i="5"/>
  <c r="P324" i="5"/>
  <c r="P447" i="5"/>
  <c r="P485" i="5"/>
  <c r="P331" i="5"/>
  <c r="P458" i="5"/>
  <c r="P521" i="5"/>
  <c r="P125" i="5"/>
  <c r="P393" i="5"/>
  <c r="P329" i="5"/>
  <c r="P537" i="5"/>
  <c r="P443" i="5"/>
  <c r="P93" i="5"/>
  <c r="P245" i="5"/>
  <c r="P123" i="5"/>
  <c r="P265" i="5"/>
  <c r="P279" i="5"/>
  <c r="P402" i="5"/>
  <c r="P64" i="5"/>
  <c r="P160" i="5"/>
  <c r="P41" i="5"/>
  <c r="P301" i="5"/>
  <c r="P42" i="5"/>
  <c r="P292" i="5"/>
  <c r="P424" i="5"/>
  <c r="P195" i="5"/>
  <c r="P462" i="5"/>
  <c r="P98" i="5"/>
  <c r="P474" i="5"/>
  <c r="P243" i="5"/>
  <c r="P442" i="5"/>
  <c r="P531" i="5"/>
  <c r="P207" i="5"/>
  <c r="P162" i="5"/>
  <c r="P69" i="5"/>
  <c r="P406" i="5"/>
  <c r="P381" i="5"/>
  <c r="P153" i="5"/>
  <c r="P300" i="5"/>
  <c r="P36" i="5"/>
  <c r="P322" i="5"/>
  <c r="P349" i="5"/>
  <c r="P319" i="5"/>
  <c r="P31" i="5"/>
  <c r="P191" i="5"/>
  <c r="P429" i="5"/>
  <c r="P13" i="5"/>
  <c r="P513" i="5"/>
  <c r="P11" i="5"/>
  <c r="P124" i="5"/>
  <c r="P364" i="5"/>
  <c r="P332" i="5"/>
  <c r="P220" i="5"/>
  <c r="P74" i="5"/>
  <c r="P109" i="5"/>
  <c r="P214" i="5"/>
  <c r="P453" i="5"/>
  <c r="P339" i="5"/>
  <c r="P416" i="5"/>
  <c r="P440" i="5"/>
  <c r="P203" i="5"/>
  <c r="P482" i="5"/>
  <c r="P438" i="5"/>
  <c r="P134" i="5"/>
  <c r="P128" i="5"/>
  <c r="P171" i="5"/>
  <c r="P91" i="5"/>
  <c r="P515" i="5"/>
  <c r="P487" i="5"/>
  <c r="P399" i="5"/>
  <c r="P56" i="5"/>
  <c r="P132" i="5"/>
  <c r="P488" i="5"/>
  <c r="P417" i="5"/>
  <c r="P441" i="5"/>
  <c r="P401" i="5"/>
  <c r="P486" i="5"/>
  <c r="P185" i="5"/>
  <c r="P451" i="5"/>
  <c r="P104" i="5"/>
  <c r="P544" i="5"/>
  <c r="P457" i="5"/>
  <c r="P384" i="5"/>
  <c r="P217" i="5"/>
  <c r="P289" i="5"/>
  <c r="P346" i="5"/>
  <c r="P528" i="5"/>
  <c r="P320" i="5"/>
  <c r="P120" i="5"/>
  <c r="P262" i="5"/>
  <c r="P175" i="5"/>
  <c r="P403" i="5"/>
  <c r="P95" i="5"/>
  <c r="P112" i="5"/>
  <c r="P276" i="5"/>
  <c r="P479" i="5"/>
  <c r="P287" i="5"/>
  <c r="P435" i="5"/>
  <c r="P518" i="5"/>
  <c r="P72" i="5"/>
  <c r="P271" i="5"/>
  <c r="P82" i="5"/>
  <c r="P116" i="5"/>
  <c r="P509" i="5"/>
  <c r="P450" i="5"/>
  <c r="P412" i="5"/>
  <c r="P408" i="5"/>
  <c r="P465" i="5"/>
  <c r="P333" i="5"/>
  <c r="P538" i="5"/>
  <c r="P379" i="5"/>
  <c r="P122" i="5"/>
  <c r="P432" i="5"/>
  <c r="P535" i="5"/>
  <c r="P172" i="5"/>
  <c r="P543" i="5"/>
  <c r="P425" i="5"/>
  <c r="P33" i="5"/>
  <c r="P40" i="5"/>
  <c r="P79" i="5"/>
  <c r="P47" i="5"/>
  <c r="P495" i="5"/>
  <c r="P337" i="5"/>
  <c r="P492" i="5"/>
  <c r="P545" i="5"/>
  <c r="P231" i="5"/>
  <c r="P30" i="5"/>
  <c r="P383" i="5"/>
  <c r="P253" i="5"/>
  <c r="P449" i="5"/>
  <c r="P101" i="5"/>
  <c r="P194" i="5"/>
  <c r="P65" i="5"/>
  <c r="P323" i="5"/>
  <c r="P360" i="5"/>
  <c r="P269" i="5"/>
  <c r="P539" i="5"/>
  <c r="P394" i="5"/>
  <c r="P43" i="5"/>
  <c r="P61" i="5"/>
  <c r="P378" i="5"/>
  <c r="P477" i="5"/>
  <c r="P489" i="5"/>
  <c r="P519" i="5"/>
  <c r="P295" i="5"/>
  <c r="P121" i="5"/>
  <c r="P391" i="5"/>
  <c r="P268" i="5"/>
  <c r="P68" i="5"/>
  <c r="P155" i="5"/>
  <c r="P107" i="5"/>
  <c r="P22" i="5"/>
  <c r="P314" i="5"/>
  <c r="P229" i="5"/>
  <c r="P148" i="5"/>
  <c r="P411" i="5"/>
  <c r="P67" i="5"/>
  <c r="P526" i="5"/>
  <c r="P113" i="5"/>
  <c r="P470" i="5"/>
  <c r="P452" i="5"/>
  <c r="P307" i="5"/>
  <c r="P409" i="5"/>
  <c r="P55" i="5"/>
  <c r="P343" i="5"/>
  <c r="P223" i="5"/>
  <c r="P298" i="5"/>
  <c r="P230" i="5"/>
  <c r="P303" i="5"/>
  <c r="P99" i="5"/>
  <c r="P499" i="5"/>
  <c r="P555" i="5"/>
  <c r="P275" i="5"/>
  <c r="P290" i="5"/>
  <c r="P380" i="5"/>
  <c r="P139" i="5"/>
  <c r="P512" i="5"/>
  <c r="P266" i="5"/>
  <c r="P385" i="5"/>
  <c r="P325" i="5"/>
  <c r="P156" i="5"/>
  <c r="P335" i="5"/>
  <c r="P498" i="5"/>
  <c r="P178" i="5"/>
  <c r="P264" i="5"/>
  <c r="P159" i="5"/>
  <c r="P294" i="5"/>
  <c r="P240" i="5"/>
  <c r="P151" i="5"/>
  <c r="P168" i="5"/>
  <c r="P84" i="5"/>
  <c r="P208" i="5"/>
  <c r="P53" i="5"/>
  <c r="P476" i="5"/>
  <c r="P197" i="5"/>
  <c r="P327" i="5"/>
  <c r="P100" i="5"/>
  <c r="P389" i="5"/>
  <c r="P184" i="5"/>
  <c r="P414" i="5"/>
  <c r="P505" i="5"/>
  <c r="P523" i="5"/>
  <c r="P422" i="5"/>
  <c r="P204" i="5"/>
  <c r="P483" i="5"/>
  <c r="P252" i="5"/>
  <c r="P108" i="5"/>
  <c r="P308" i="5"/>
  <c r="P388" i="5"/>
  <c r="P267" i="5"/>
  <c r="P183" i="5"/>
  <c r="P73" i="5"/>
  <c r="P130" i="5"/>
  <c r="P530" i="5"/>
  <c r="P387" i="5"/>
  <c r="P397" i="5"/>
  <c r="P427" i="5"/>
  <c r="P532" i="5"/>
  <c r="P376" i="5"/>
  <c r="P222" i="5"/>
  <c r="P25" i="5"/>
  <c r="P426" i="5"/>
  <c r="P463" i="5"/>
  <c r="P510" i="5"/>
  <c r="P288" i="5"/>
  <c r="P285" i="5"/>
  <c r="P478" i="5"/>
  <c r="P296" i="5"/>
  <c r="P497" i="5"/>
  <c r="P154" i="5"/>
  <c r="P464" i="5"/>
  <c r="P201" i="5"/>
  <c r="P105" i="5"/>
  <c r="P237" i="5"/>
  <c r="P278" i="5"/>
  <c r="P506" i="5"/>
  <c r="P433" i="5"/>
  <c r="P491" i="5"/>
  <c r="P80" i="5"/>
  <c r="P552" i="5"/>
  <c r="P351" i="5"/>
  <c r="P263" i="5"/>
  <c r="P368" i="5"/>
  <c r="P66" i="5"/>
  <c r="P480" i="5"/>
  <c r="P347" i="5"/>
  <c r="P202" i="5"/>
  <c r="P118" i="5"/>
  <c r="P374" i="5"/>
  <c r="P274" i="5"/>
  <c r="P165" i="5"/>
  <c r="P434" i="5"/>
  <c r="P199" i="5"/>
  <c r="P342" i="5"/>
  <c r="P550" i="5"/>
  <c r="P182" i="5"/>
  <c r="P547" i="5"/>
  <c r="P255" i="5"/>
  <c r="P436" i="5"/>
  <c r="P366" i="5"/>
  <c r="P291" i="5"/>
  <c r="P306" i="5"/>
  <c r="P158" i="5"/>
  <c r="P190" i="5"/>
  <c r="P177" i="5"/>
  <c r="P359" i="5"/>
  <c r="P446" i="5"/>
  <c r="P246" i="5"/>
  <c r="P472" i="5"/>
  <c r="P321" i="5"/>
  <c r="P226" i="5"/>
  <c r="P20" i="5"/>
  <c r="P493" i="5"/>
  <c r="P23" i="5"/>
  <c r="P26" i="5"/>
  <c r="P186" i="5"/>
  <c r="P490" i="5"/>
  <c r="P305" i="5"/>
  <c r="P467" i="5"/>
  <c r="P508" i="5"/>
  <c r="P57" i="5"/>
  <c r="P136" i="5"/>
  <c r="P221" i="5"/>
  <c r="P533" i="5"/>
  <c r="P211" i="5"/>
  <c r="P481" i="5"/>
  <c r="P338" i="5"/>
  <c r="P516" i="5"/>
  <c r="P428" i="5"/>
  <c r="P138" i="5"/>
  <c r="P52" i="5"/>
  <c r="P63" i="5"/>
  <c r="P143" i="5"/>
  <c r="P536" i="5"/>
  <c r="P102" i="5"/>
  <c r="P247" i="5"/>
  <c r="P89" i="5"/>
  <c r="P548" i="5"/>
  <c r="P553" i="5"/>
  <c r="P511" i="5"/>
  <c r="P471" i="5"/>
  <c r="P54" i="5"/>
  <c r="P390" i="5"/>
  <c r="P205" i="5"/>
  <c r="P48" i="5"/>
  <c r="P365" i="5"/>
  <c r="P361" i="5"/>
  <c r="P396" i="5"/>
  <c r="P420" i="5"/>
  <c r="P196" i="5"/>
  <c r="P502" i="5"/>
  <c r="P501" i="5"/>
  <c r="P407" i="5"/>
  <c r="P189" i="5"/>
  <c r="P357" i="5"/>
  <c r="P86" i="5"/>
  <c r="P241" i="5"/>
  <c r="P219" i="5"/>
  <c r="P375" i="5"/>
  <c r="P106" i="5"/>
  <c r="P117" i="5"/>
  <c r="P340" i="5"/>
  <c r="P103" i="5"/>
  <c r="P284" i="5"/>
  <c r="P251" i="5"/>
  <c r="P215" i="5"/>
  <c r="P400" i="5"/>
  <c r="P176" i="5"/>
  <c r="P395" i="5"/>
  <c r="P146" i="5"/>
  <c r="P540" i="5"/>
  <c r="P114" i="5"/>
  <c r="P469" i="5"/>
  <c r="P317" i="5"/>
  <c r="P131" i="5"/>
  <c r="P318" i="5"/>
  <c r="P173" i="5"/>
  <c r="P216" i="5"/>
  <c r="P140" i="5"/>
  <c r="P293" i="5"/>
  <c r="P152" i="5"/>
  <c r="P78" i="5"/>
  <c r="P147" i="5"/>
  <c r="P461" i="5"/>
  <c r="P198" i="5"/>
  <c r="P169" i="5"/>
  <c r="P273" i="5"/>
  <c r="P161" i="5"/>
  <c r="P174" i="5"/>
  <c r="P163" i="5"/>
  <c r="P257" i="5"/>
  <c r="P334" i="5"/>
  <c r="P228" i="5"/>
  <c r="P179" i="5"/>
  <c r="P206" i="5"/>
  <c r="P12" i="5"/>
  <c r="P336" i="5"/>
  <c r="P192" i="5"/>
  <c r="P312" i="5"/>
  <c r="P126" i="5"/>
  <c r="P460" i="5"/>
  <c r="P520" i="5"/>
  <c r="P71" i="5"/>
  <c r="P227" i="5"/>
  <c r="P484" i="5"/>
  <c r="P200" i="5"/>
  <c r="P24" i="5"/>
  <c r="P157" i="5"/>
  <c r="P94" i="5"/>
  <c r="P398" i="5"/>
  <c r="P261" i="5"/>
  <c r="P259" i="5"/>
  <c r="P557" i="5"/>
  <c r="P404" i="5"/>
  <c r="P439" i="5"/>
  <c r="P145" i="5"/>
  <c r="P371" i="5"/>
  <c r="P310" i="5"/>
  <c r="P111" i="5"/>
  <c r="P212" i="5"/>
  <c r="P546" i="5"/>
  <c r="P250" i="5"/>
  <c r="P224" i="5"/>
  <c r="P503" i="5"/>
  <c r="P456" i="5"/>
  <c r="P354" i="5"/>
  <c r="P142" i="5"/>
  <c r="P10" i="5"/>
  <c r="P283" i="5"/>
  <c r="P355" i="5"/>
  <c r="P135" i="5"/>
  <c r="P270" i="5"/>
  <c r="P356" i="5"/>
  <c r="P59" i="5"/>
  <c r="P423" i="5"/>
  <c r="P127" i="5"/>
  <c r="P244" i="5"/>
  <c r="P392" i="5"/>
  <c r="P313" i="5"/>
  <c r="P232" i="5"/>
  <c r="P413" i="5"/>
  <c r="P529" i="5"/>
  <c r="P50" i="5"/>
  <c r="P32" i="5"/>
  <c r="P280" i="5"/>
  <c r="P386" i="5"/>
  <c r="P330" i="5"/>
  <c r="P238" i="5"/>
  <c r="P193" i="5"/>
  <c r="P39" i="5"/>
  <c r="P58" i="5"/>
  <c r="P233" i="5"/>
  <c r="P75" i="5"/>
  <c r="P188" i="5"/>
  <c r="P363" i="5"/>
  <c r="P345" i="5"/>
  <c r="P92" i="5"/>
  <c r="P239" i="5"/>
  <c r="P459" i="5"/>
  <c r="P556" i="5"/>
  <c r="P454" i="5"/>
  <c r="P302" i="5"/>
  <c r="P534" i="5"/>
  <c r="P494" i="5"/>
  <c r="P133" i="5"/>
  <c r="P496" i="5"/>
  <c r="P311" i="5"/>
  <c r="P304" i="5"/>
  <c r="P315" i="5"/>
  <c r="P60" i="5"/>
  <c r="P382" i="5"/>
  <c r="P525" i="5"/>
  <c r="P527" i="5"/>
  <c r="P367" i="5"/>
  <c r="P96" i="5"/>
  <c r="P218" i="5"/>
  <c r="P170" i="5"/>
  <c r="P444" i="5"/>
  <c r="P344" i="5"/>
  <c r="P418" i="5"/>
  <c r="P167" i="5"/>
  <c r="P517" i="5"/>
  <c r="P455" i="5"/>
  <c r="P235" i="5"/>
  <c r="P249" i="5"/>
  <c r="P35" i="5"/>
  <c r="P9" i="5"/>
  <c r="P248" i="5"/>
  <c r="P129" i="5"/>
  <c r="AE95" i="4"/>
  <c r="AH95" i="4"/>
  <c r="AJ46" i="4"/>
  <c r="AE46" i="4"/>
  <c r="AH46" i="4"/>
  <c r="AA46" i="4"/>
  <c r="Z46" i="4"/>
  <c r="AA50" i="4"/>
  <c r="AE50" i="4"/>
  <c r="AH50" i="4"/>
  <c r="Z50" i="4"/>
  <c r="AA48" i="4"/>
  <c r="AH48" i="4"/>
  <c r="AE48" i="4"/>
  <c r="Z48" i="4"/>
  <c r="AH53" i="4"/>
  <c r="AE53" i="4"/>
  <c r="AA53" i="4"/>
  <c r="Z53" i="4"/>
  <c r="AJ91" i="4"/>
  <c r="AE91" i="4"/>
  <c r="AA91" i="4"/>
  <c r="AH91" i="4"/>
  <c r="Z91" i="4"/>
  <c r="AH122" i="4"/>
  <c r="AE122" i="4"/>
  <c r="AH99" i="4"/>
  <c r="AA99" i="4"/>
  <c r="AE99" i="4"/>
  <c r="Z99" i="4"/>
  <c r="B185" i="2"/>
  <c r="B219" i="2"/>
  <c r="H64" i="1" s="1"/>
  <c r="AQ217" i="5"/>
  <c r="AR217" i="5"/>
  <c r="BI217" i="5"/>
  <c r="BI273" i="5"/>
  <c r="AR273" i="5"/>
  <c r="AQ273" i="5"/>
  <c r="AQ12" i="5"/>
  <c r="BI12" i="5"/>
  <c r="AR12" i="5"/>
  <c r="AQ344" i="5"/>
  <c r="BI344" i="5"/>
  <c r="AR344" i="5"/>
  <c r="AR556" i="5"/>
  <c r="BI556" i="5"/>
  <c r="AQ556" i="5"/>
  <c r="AQ37" i="5"/>
  <c r="BI37" i="5"/>
  <c r="AR37" i="5"/>
  <c r="AQ276" i="5"/>
  <c r="AR276" i="5"/>
  <c r="BI276" i="5"/>
  <c r="AE7" i="5"/>
  <c r="BF7" i="5"/>
  <c r="AD7" i="5"/>
  <c r="B184" i="2" s="1"/>
  <c r="AE54" i="4"/>
  <c r="AH54" i="4"/>
  <c r="AH24" i="4"/>
  <c r="AE24" i="4"/>
  <c r="Z24" i="4"/>
  <c r="X24" i="4" s="1"/>
  <c r="AJ24" i="4" s="1"/>
  <c r="O11" i="5"/>
  <c r="Q408" i="5"/>
  <c r="Q53" i="5"/>
  <c r="Q154" i="5"/>
  <c r="Q150" i="5"/>
  <c r="Q287" i="5"/>
  <c r="Q385" i="5"/>
  <c r="Q464" i="5"/>
  <c r="Q459" i="5"/>
  <c r="Q418" i="5"/>
  <c r="Q424" i="5"/>
  <c r="Q402" i="5"/>
  <c r="Q495" i="5"/>
  <c r="Q177" i="5"/>
  <c r="Q404" i="5"/>
  <c r="Q45" i="5"/>
  <c r="Q504" i="5"/>
  <c r="Q392" i="5"/>
  <c r="Q325" i="5"/>
  <c r="Q292" i="5"/>
  <c r="Q416" i="5"/>
  <c r="Q471" i="5"/>
  <c r="Q339" i="5"/>
  <c r="Q131" i="5"/>
  <c r="Q400" i="5"/>
  <c r="Q48" i="5"/>
  <c r="Q79" i="5"/>
  <c r="Q488" i="5"/>
  <c r="Q69" i="5"/>
  <c r="Q421" i="5"/>
  <c r="Q455" i="5"/>
  <c r="Q233" i="5"/>
  <c r="Q137" i="5"/>
  <c r="Q366" i="5"/>
  <c r="Q214" i="5"/>
  <c r="Q281" i="5"/>
  <c r="Q168" i="5"/>
  <c r="Q143" i="5"/>
  <c r="Q285" i="5"/>
  <c r="Q442" i="5"/>
  <c r="B40" i="5"/>
  <c r="Q133" i="5"/>
  <c r="Q194" i="5"/>
  <c r="Q386" i="5"/>
  <c r="Q123" i="5"/>
  <c r="Q158" i="5"/>
  <c r="Q534" i="5"/>
  <c r="Q134" i="5"/>
  <c r="Q460" i="5"/>
  <c r="Q103" i="5"/>
  <c r="Q33" i="5"/>
  <c r="Q244" i="5"/>
  <c r="Q269" i="5"/>
  <c r="Q531" i="5"/>
  <c r="Q117" i="5"/>
  <c r="Q451" i="5"/>
  <c r="Q542" i="5"/>
  <c r="Q362" i="5"/>
  <c r="Q517" i="5"/>
  <c r="Q452" i="5"/>
  <c r="Q111" i="5"/>
  <c r="Q540" i="5"/>
  <c r="Q173" i="5"/>
  <c r="Q363" i="5"/>
  <c r="Q350" i="5"/>
  <c r="Q55" i="5"/>
  <c r="Q286" i="5"/>
  <c r="Q81" i="5"/>
  <c r="Q529" i="5"/>
  <c r="Q119" i="5"/>
  <c r="Q317" i="5"/>
  <c r="Q156" i="5"/>
  <c r="Q389" i="5"/>
  <c r="Q274" i="5"/>
  <c r="Q458" i="5"/>
  <c r="Q466" i="5"/>
  <c r="Q72" i="5"/>
  <c r="Q465" i="5"/>
  <c r="Q89" i="5"/>
  <c r="Q12" i="5"/>
  <c r="Q461" i="5"/>
  <c r="Q144" i="5"/>
  <c r="Q70" i="5"/>
  <c r="Q113" i="5"/>
  <c r="Q434" i="5"/>
  <c r="Q503" i="5"/>
  <c r="Q322" i="5"/>
  <c r="Q390" i="5"/>
  <c r="Q66" i="5"/>
  <c r="Q124" i="5"/>
  <c r="Q547" i="5"/>
  <c r="Q24" i="5"/>
  <c r="Q412" i="5"/>
  <c r="Q361" i="5"/>
  <c r="Q161" i="5"/>
  <c r="Q283" i="5"/>
  <c r="Q506" i="5"/>
  <c r="Q146" i="5"/>
  <c r="Q217" i="5"/>
  <c r="Q246" i="5"/>
  <c r="Q187" i="5"/>
  <c r="Q108" i="5"/>
  <c r="Q513" i="5"/>
  <c r="Q238" i="5"/>
  <c r="Q204" i="5"/>
  <c r="Q97" i="5"/>
  <c r="Q96" i="5"/>
  <c r="Q273" i="5"/>
  <c r="Q149" i="5"/>
  <c r="Q104" i="5"/>
  <c r="Q272" i="5"/>
  <c r="Q212" i="5"/>
  <c r="Q393" i="5"/>
  <c r="Q52" i="5"/>
  <c r="Q215" i="5"/>
  <c r="Q301" i="5"/>
  <c r="Q346" i="5"/>
  <c r="Q224" i="5"/>
  <c r="Q327" i="5"/>
  <c r="Q99" i="5"/>
  <c r="Q296" i="5"/>
  <c r="Q388" i="5"/>
  <c r="Q321" i="5"/>
  <c r="Q356" i="5"/>
  <c r="Q535" i="5"/>
  <c r="Q23" i="5"/>
  <c r="Q62" i="5"/>
  <c r="Q110" i="5"/>
  <c r="Q315" i="5"/>
  <c r="Q448" i="5"/>
  <c r="Q132" i="5"/>
  <c r="Q39" i="5"/>
  <c r="Q82" i="5"/>
  <c r="Q328" i="5"/>
  <c r="Q336" i="5"/>
  <c r="Q359" i="5"/>
  <c r="Q19" i="5"/>
  <c r="Q348" i="5"/>
  <c r="Q207" i="5"/>
  <c r="Q538" i="5"/>
  <c r="Q197" i="5"/>
  <c r="Q184" i="5"/>
  <c r="Q463" i="5"/>
  <c r="Q333" i="5"/>
  <c r="Q349" i="5"/>
  <c r="Q58" i="5"/>
  <c r="Q326" i="5"/>
  <c r="Q530" i="5"/>
  <c r="Q172" i="5"/>
  <c r="Q26" i="5"/>
  <c r="Q293" i="5"/>
  <c r="Q266" i="5"/>
  <c r="Q320" i="5"/>
  <c r="Q304" i="5"/>
  <c r="Q518" i="5"/>
  <c r="Q29" i="5"/>
  <c r="Q163" i="5"/>
  <c r="Q211" i="5"/>
  <c r="Q438" i="5"/>
  <c r="Q515" i="5"/>
  <c r="Q261" i="5"/>
  <c r="Q27" i="5"/>
  <c r="Q382" i="5"/>
  <c r="Q505" i="5"/>
  <c r="Q248" i="5"/>
  <c r="Q409" i="5"/>
  <c r="Q114" i="5"/>
  <c r="Q64" i="5"/>
  <c r="Q74" i="5"/>
  <c r="Q484" i="5"/>
  <c r="Q543" i="5"/>
  <c r="Q351" i="5"/>
  <c r="Q473" i="5"/>
  <c r="Q199" i="5"/>
  <c r="Q428" i="5"/>
  <c r="Q279" i="5"/>
  <c r="Q427" i="5"/>
  <c r="Q73" i="5"/>
  <c r="Q387" i="5"/>
  <c r="Q480" i="5"/>
  <c r="Q414" i="5"/>
  <c r="Q501" i="5"/>
  <c r="Q541" i="5"/>
  <c r="Q157" i="5"/>
  <c r="Q467" i="5"/>
  <c r="Q213" i="5"/>
  <c r="Q8" i="5"/>
  <c r="Q396" i="5"/>
  <c r="Q140" i="5"/>
  <c r="Q411" i="5"/>
  <c r="Q78" i="5"/>
  <c r="Q46" i="5"/>
  <c r="Q552" i="5"/>
  <c r="Q477" i="5"/>
  <c r="Q344" i="5"/>
  <c r="Q61" i="5"/>
  <c r="Q370" i="5"/>
  <c r="Q528" i="5"/>
  <c r="Q288" i="5"/>
  <c r="Q202" i="5"/>
  <c r="Q164" i="5"/>
  <c r="Q250" i="5"/>
  <c r="Q300" i="5"/>
  <c r="Q334" i="5"/>
  <c r="Q228" i="5"/>
  <c r="Q364" i="5"/>
  <c r="Q219" i="5"/>
  <c r="Q309" i="5"/>
  <c r="Q200" i="5"/>
  <c r="Q38" i="5"/>
  <c r="Q28" i="5"/>
  <c r="Q44" i="5"/>
  <c r="Q379" i="5"/>
  <c r="Q377" i="5"/>
  <c r="Q499" i="5"/>
  <c r="Q453" i="5"/>
  <c r="Q446" i="5"/>
  <c r="Q329" i="5"/>
  <c r="Q88" i="5"/>
  <c r="Q40" i="5"/>
  <c r="Q553" i="5"/>
  <c r="Q399" i="5"/>
  <c r="Q263" i="5"/>
  <c r="Q368" i="5"/>
  <c r="Q429" i="5"/>
  <c r="Q456" i="5"/>
  <c r="Q185" i="5"/>
  <c r="Q278" i="5"/>
  <c r="Q431" i="5"/>
  <c r="Q130" i="5"/>
  <c r="Q159" i="5"/>
  <c r="Q496" i="5"/>
  <c r="Q494" i="5"/>
  <c r="Q338" i="5"/>
  <c r="Q291" i="5"/>
  <c r="Q155" i="5"/>
  <c r="Q106" i="5"/>
  <c r="Q492" i="5"/>
  <c r="Q176" i="5"/>
  <c r="Q384" i="5"/>
  <c r="Q433" i="5"/>
  <c r="Q472" i="5"/>
  <c r="Q347" i="5"/>
  <c r="Q255" i="5"/>
  <c r="Q230" i="5"/>
  <c r="Q243" i="5"/>
  <c r="Q332" i="5"/>
  <c r="Q95" i="5"/>
  <c r="Q31" i="5"/>
  <c r="Q251" i="5"/>
  <c r="Q167" i="5"/>
  <c r="Q372" i="5"/>
  <c r="Q171" i="5"/>
  <c r="Q175" i="5"/>
  <c r="Q277" i="5"/>
  <c r="Q479" i="5"/>
  <c r="Q239" i="5"/>
  <c r="Q440" i="5"/>
  <c r="Q397" i="5"/>
  <c r="Q549" i="5"/>
  <c r="Q258" i="5"/>
  <c r="Q422" i="5"/>
  <c r="Q236" i="5"/>
  <c r="Q229" i="5"/>
  <c r="Q189" i="5"/>
  <c r="Q548" i="5"/>
  <c r="Q136" i="5"/>
  <c r="Q474" i="5"/>
  <c r="Q312" i="5"/>
  <c r="Q10" i="5"/>
  <c r="Q554" i="5"/>
  <c r="Q523" i="5"/>
  <c r="Q525" i="5"/>
  <c r="Q51" i="5"/>
  <c r="Q470" i="5"/>
  <c r="Q483" i="5"/>
  <c r="Q437" i="5"/>
  <c r="Q352" i="5"/>
  <c r="Q245" i="5"/>
  <c r="Q75" i="5"/>
  <c r="Q100" i="5"/>
  <c r="Q498" i="5"/>
  <c r="Q275" i="5"/>
  <c r="Q371" i="5"/>
  <c r="Q307" i="5"/>
  <c r="Q305" i="5"/>
  <c r="Q524" i="5"/>
  <c r="Q330" i="5"/>
  <c r="Q160" i="5"/>
  <c r="Q545" i="5"/>
  <c r="Q139" i="5"/>
  <c r="Q345" i="5"/>
  <c r="Q262" i="5"/>
  <c r="Q101" i="5"/>
  <c r="Q43" i="5"/>
  <c r="Q558" i="5"/>
  <c r="Q198" i="5"/>
  <c r="Q166" i="5"/>
  <c r="Q208" i="5"/>
  <c r="Q247" i="5"/>
  <c r="Q358" i="5"/>
  <c r="Q254" i="5"/>
  <c r="Q365" i="5"/>
  <c r="Q487" i="5"/>
  <c r="Q77" i="5"/>
  <c r="Q314" i="5"/>
  <c r="Q92" i="5"/>
  <c r="Q290" i="5"/>
  <c r="Q403" i="5"/>
  <c r="Q308" i="5"/>
  <c r="Q54" i="5"/>
  <c r="Q374" i="5"/>
  <c r="Q511" i="5"/>
  <c r="Q417" i="5"/>
  <c r="Q485" i="5"/>
  <c r="Q341" i="5"/>
  <c r="Q84" i="5"/>
  <c r="Q32" i="5"/>
  <c r="Q449" i="5"/>
  <c r="Q115" i="5"/>
  <c r="Q216" i="5"/>
  <c r="Q220" i="5"/>
  <c r="Q551" i="5"/>
  <c r="Q445" i="5"/>
  <c r="Q153" i="5"/>
  <c r="Q192" i="5"/>
  <c r="Q30" i="5"/>
  <c r="Q76" i="5"/>
  <c r="Q297" i="5"/>
  <c r="Q122" i="5"/>
  <c r="Q284" i="5"/>
  <c r="Q482" i="5"/>
  <c r="Q469" i="5"/>
  <c r="Q354" i="5"/>
  <c r="Q170" i="5"/>
  <c r="Q174" i="5"/>
  <c r="Q380" i="5"/>
  <c r="Q430" i="5"/>
  <c r="Q294" i="5"/>
  <c r="Q475" i="5"/>
  <c r="Q340" i="5"/>
  <c r="Q410" i="5"/>
  <c r="Q165" i="5"/>
  <c r="Q426" i="5"/>
  <c r="Q491" i="5"/>
  <c r="Q241" i="5"/>
  <c r="Q186" i="5"/>
  <c r="Q468" i="5"/>
  <c r="Q205" i="5"/>
  <c r="Q502" i="5"/>
  <c r="Q436" i="5"/>
  <c r="Q337" i="5"/>
  <c r="Q196" i="5"/>
  <c r="Q260" i="5"/>
  <c r="Q42" i="5"/>
  <c r="Q276" i="5"/>
  <c r="Q83" i="5"/>
  <c r="Q87" i="5"/>
  <c r="Q405" i="5"/>
  <c r="Q268" i="5"/>
  <c r="Q519" i="5"/>
  <c r="Q478" i="5"/>
  <c r="Q407" i="5"/>
  <c r="Q532" i="5"/>
  <c r="Q49" i="5"/>
  <c r="Q86" i="5"/>
  <c r="Q526" i="5"/>
  <c r="Q450" i="5"/>
  <c r="Q270" i="5"/>
  <c r="Q310" i="5"/>
  <c r="Q360" i="5"/>
  <c r="Q490" i="5"/>
  <c r="Q406" i="5"/>
  <c r="Q316" i="5"/>
  <c r="Q447" i="5"/>
  <c r="Q521" i="5"/>
  <c r="Q41" i="5"/>
  <c r="Q353" i="5"/>
  <c r="Q90" i="5"/>
  <c r="Q313" i="5"/>
  <c r="Q420" i="5"/>
  <c r="Q493" i="5"/>
  <c r="Q148" i="5"/>
  <c r="Q152" i="5"/>
  <c r="Q162" i="5"/>
  <c r="Q112" i="5"/>
  <c r="Q395" i="5"/>
  <c r="Q127" i="5"/>
  <c r="Q232" i="5"/>
  <c r="Q94" i="5"/>
  <c r="Q439" i="5"/>
  <c r="Q271" i="5"/>
  <c r="Q147" i="5"/>
  <c r="Q226" i="5"/>
  <c r="Q227" i="5"/>
  <c r="Q355" i="5"/>
  <c r="Q203" i="5"/>
  <c r="Q235" i="5"/>
  <c r="Q221" i="5"/>
  <c r="Q510" i="5"/>
  <c r="Q59" i="5"/>
  <c r="Q383" i="5"/>
  <c r="Q481" i="5"/>
  <c r="Q22" i="5"/>
  <c r="Q546" i="5"/>
  <c r="Q67" i="5"/>
  <c r="Q457" i="5"/>
  <c r="Q280" i="5"/>
  <c r="Q556" i="5"/>
  <c r="Q188" i="5"/>
  <c r="Q516" i="5"/>
  <c r="Q335" i="5"/>
  <c r="Q85" i="5"/>
  <c r="Q252" i="5"/>
  <c r="Q169" i="5"/>
  <c r="Q145" i="5"/>
  <c r="Q126" i="5"/>
  <c r="Q50" i="5"/>
  <c r="Q142" i="5"/>
  <c r="Q560" i="5"/>
  <c r="Q178" i="5"/>
  <c r="Q376" i="5"/>
  <c r="Q295" i="5"/>
  <c r="Q544" i="5"/>
  <c r="Q195" i="5"/>
  <c r="Q539" i="5"/>
  <c r="Q193" i="5"/>
  <c r="Q425" i="5"/>
  <c r="Q486" i="5"/>
  <c r="Q218" i="5"/>
  <c r="Q319" i="5"/>
  <c r="Q98" i="5"/>
  <c r="Q20" i="5"/>
  <c r="Q342" i="5"/>
  <c r="Q500" i="5"/>
  <c r="Q21" i="5"/>
  <c r="Q259" i="5"/>
  <c r="Q231" i="5"/>
  <c r="Q537" i="5"/>
  <c r="Q559" i="5"/>
  <c r="Q289" i="5"/>
  <c r="Q391" i="5"/>
  <c r="Q190" i="5"/>
  <c r="Q138" i="5"/>
  <c r="Q444" i="5"/>
  <c r="Q206" i="5"/>
  <c r="Q225" i="5"/>
  <c r="Q398" i="5"/>
  <c r="Q508" i="5"/>
  <c r="Q306" i="5"/>
  <c r="Q514" i="5"/>
  <c r="Q181" i="5"/>
  <c r="Q324" i="5"/>
  <c r="Q462" i="5"/>
  <c r="Q68" i="5"/>
  <c r="Q413" i="5"/>
  <c r="Q489" i="5"/>
  <c r="Q476" i="5"/>
  <c r="Q415" i="5"/>
  <c r="Q57" i="5"/>
  <c r="Q536" i="5"/>
  <c r="Q65" i="5"/>
  <c r="Q441" i="5"/>
  <c r="Q234" i="5"/>
  <c r="Q401" i="5"/>
  <c r="Q120" i="5"/>
  <c r="Q201" i="5"/>
  <c r="Q507" i="5"/>
  <c r="Q37" i="5"/>
  <c r="Q71" i="5"/>
  <c r="Q209" i="5"/>
  <c r="Q520" i="5"/>
  <c r="Q343" i="5"/>
  <c r="Q249" i="5"/>
  <c r="Q435" i="5"/>
  <c r="Q299" i="5"/>
  <c r="Q533" i="5"/>
  <c r="Q116" i="5"/>
  <c r="Q357" i="5"/>
  <c r="Q102" i="5"/>
  <c r="Q419" i="5"/>
  <c r="Q180" i="5"/>
  <c r="Q512" i="5"/>
  <c r="Q47" i="5"/>
  <c r="Q253" i="5"/>
  <c r="Q60" i="5"/>
  <c r="Q105" i="5"/>
  <c r="Q36" i="5"/>
  <c r="Q128" i="5"/>
  <c r="Q527" i="5"/>
  <c r="Q557" i="5"/>
  <c r="Q25" i="5"/>
  <c r="Q125" i="5"/>
  <c r="Q93" i="5"/>
  <c r="Q267" i="5"/>
  <c r="Q121" i="5"/>
  <c r="Q223" i="5"/>
  <c r="Q237" i="5"/>
  <c r="Q331" i="5"/>
  <c r="Q80" i="5"/>
  <c r="Q378" i="5"/>
  <c r="Q91" i="5"/>
  <c r="Q394" i="5"/>
  <c r="Q141" i="5"/>
  <c r="Q257" i="5"/>
  <c r="Q191" i="5"/>
  <c r="Q555" i="5"/>
  <c r="Q56" i="5"/>
  <c r="Q454" i="5"/>
  <c r="Q497" i="5"/>
  <c r="Q182" i="5"/>
  <c r="Q109" i="5"/>
  <c r="Q34" i="5"/>
  <c r="Q298" i="5"/>
  <c r="Q256" i="5"/>
  <c r="Q373" i="5"/>
  <c r="Q240" i="5"/>
  <c r="Q509" i="5"/>
  <c r="Q423" i="5"/>
  <c r="Q369" i="5"/>
  <c r="Q107" i="5"/>
  <c r="Q210" i="5"/>
  <c r="Q118" i="5"/>
  <c r="Q323" i="5"/>
  <c r="Q222" i="5"/>
  <c r="Q443" i="5"/>
  <c r="Q367" i="5"/>
  <c r="Q265" i="5"/>
  <c r="Q129" i="5"/>
  <c r="Q303" i="5"/>
  <c r="Q242" i="5"/>
  <c r="Q264" i="5"/>
  <c r="Q151" i="5"/>
  <c r="Q318" i="5"/>
  <c r="Q302" i="5"/>
  <c r="Q375" i="5"/>
  <c r="Q381" i="5"/>
  <c r="Q522" i="5"/>
  <c r="Q13" i="5"/>
  <c r="Q550" i="5"/>
  <c r="Q432" i="5"/>
  <c r="Q282" i="5"/>
  <c r="Q183" i="5"/>
  <c r="Q35" i="5"/>
  <c r="Q135" i="5"/>
  <c r="Q63" i="5"/>
  <c r="Q311" i="5"/>
  <c r="Q179" i="5"/>
  <c r="Q9" i="5"/>
  <c r="AQ376" i="5"/>
  <c r="AR376" i="5"/>
  <c r="BI376" i="5"/>
  <c r="AQ300" i="5"/>
  <c r="AR300" i="5"/>
  <c r="BI300" i="5"/>
  <c r="AQ382" i="5"/>
  <c r="BI382" i="5"/>
  <c r="AR382" i="5"/>
  <c r="BI233" i="5"/>
  <c r="AQ233" i="5"/>
  <c r="AR233" i="5"/>
  <c r="AR432" i="5"/>
  <c r="AQ432" i="5"/>
  <c r="BI432" i="5"/>
  <c r="BI149" i="5"/>
  <c r="AQ149" i="5"/>
  <c r="AR149" i="5"/>
  <c r="BI113" i="5"/>
  <c r="AR113" i="5"/>
  <c r="AQ113" i="5"/>
  <c r="AQ545" i="5"/>
  <c r="BI545" i="5"/>
  <c r="AR545" i="5"/>
  <c r="AR71" i="5"/>
  <c r="AQ71" i="5"/>
  <c r="BI71" i="5"/>
  <c r="AQ49" i="5"/>
  <c r="BI49" i="5"/>
  <c r="AR49" i="5"/>
  <c r="AQ228" i="5"/>
  <c r="AR228" i="5"/>
  <c r="BI228" i="5"/>
  <c r="AR264" i="5"/>
  <c r="BI264" i="5"/>
  <c r="AQ264" i="5"/>
  <c r="AR225" i="5"/>
  <c r="BI225" i="5"/>
  <c r="AQ225" i="5"/>
  <c r="AQ358" i="5"/>
  <c r="AR358" i="5"/>
  <c r="BI358" i="5"/>
  <c r="AR378" i="5"/>
  <c r="AQ378" i="5"/>
  <c r="BI378" i="5"/>
  <c r="AQ531" i="5"/>
  <c r="BI531" i="5"/>
  <c r="AR531" i="5"/>
  <c r="AP84" i="5"/>
  <c r="AQ514" i="5"/>
  <c r="AR514" i="5"/>
  <c r="BI514" i="5"/>
  <c r="BI407" i="5"/>
  <c r="AR407" i="5"/>
  <c r="AQ407" i="5"/>
  <c r="AR352" i="5"/>
  <c r="AQ352" i="5"/>
  <c r="BI352" i="5"/>
  <c r="AR293" i="5"/>
  <c r="BI293" i="5"/>
  <c r="AQ293" i="5"/>
  <c r="AP386" i="5"/>
  <c r="AQ25" i="5"/>
  <c r="BI25" i="5"/>
  <c r="AR25" i="5"/>
  <c r="AR272" i="5"/>
  <c r="BI272" i="5"/>
  <c r="AQ272" i="5"/>
  <c r="BI81" i="5"/>
  <c r="AR81" i="5"/>
  <c r="AQ81" i="5"/>
  <c r="BI530" i="5"/>
  <c r="AR530" i="5"/>
  <c r="AQ530" i="5"/>
  <c r="AQ508" i="5"/>
  <c r="AR508" i="5"/>
  <c r="BI508" i="5"/>
  <c r="AQ96" i="5"/>
  <c r="BI96" i="5"/>
  <c r="AR96" i="5"/>
  <c r="AQ449" i="5"/>
  <c r="BI449" i="5"/>
  <c r="AR449" i="5"/>
  <c r="BI373" i="5"/>
  <c r="AQ373" i="5"/>
  <c r="AR373" i="5"/>
  <c r="AR468" i="5"/>
  <c r="BI468" i="5"/>
  <c r="AQ468" i="5"/>
  <c r="AR44" i="5"/>
  <c r="AQ44" i="5"/>
  <c r="BI44" i="5"/>
  <c r="AQ329" i="5"/>
  <c r="BI329" i="5"/>
  <c r="AR329" i="5"/>
  <c r="AQ466" i="5"/>
  <c r="BI466" i="5"/>
  <c r="AR466" i="5"/>
  <c r="BI289" i="5"/>
  <c r="AQ289" i="5"/>
  <c r="AR289" i="5"/>
  <c r="BI7" i="5"/>
  <c r="AR418" i="5"/>
  <c r="BI418" i="5"/>
  <c r="AQ418" i="5"/>
  <c r="AP219" i="5"/>
  <c r="AR306" i="5"/>
  <c r="AQ306" i="5"/>
  <c r="BI306" i="5"/>
  <c r="AQ157" i="5"/>
  <c r="AR157" i="5"/>
  <c r="BI157" i="5"/>
  <c r="BI383" i="5"/>
  <c r="AQ383" i="5"/>
  <c r="AR383" i="5"/>
  <c r="BI456" i="5"/>
  <c r="AQ456" i="5"/>
  <c r="AR456" i="5"/>
  <c r="AQ130" i="5"/>
  <c r="AR130" i="5"/>
  <c r="BI130" i="5"/>
  <c r="AR528" i="5"/>
  <c r="AQ528" i="5"/>
  <c r="BI528" i="5"/>
  <c r="AQ259" i="5"/>
  <c r="BI259" i="5"/>
  <c r="AR259" i="5"/>
  <c r="BI406" i="5"/>
  <c r="AQ406" i="5"/>
  <c r="AR406" i="5"/>
  <c r="AQ322" i="5"/>
  <c r="AR322" i="5"/>
  <c r="BI322" i="5"/>
  <c r="BI137" i="5"/>
  <c r="AR137" i="5"/>
  <c r="AQ137" i="5"/>
  <c r="AP485" i="5"/>
  <c r="AQ67" i="5"/>
  <c r="BI67" i="5"/>
  <c r="AR67" i="5"/>
  <c r="AR410" i="5"/>
  <c r="BI410" i="5"/>
  <c r="AQ410" i="5"/>
  <c r="BI47" i="5"/>
  <c r="AQ47" i="5"/>
  <c r="AR47" i="5"/>
  <c r="AR442" i="5"/>
  <c r="AQ442" i="5"/>
  <c r="BI442" i="5"/>
  <c r="AR464" i="5"/>
  <c r="AQ464" i="5"/>
  <c r="BI464" i="5"/>
  <c r="AQ287" i="5"/>
  <c r="BI287" i="5"/>
  <c r="AR287" i="5"/>
  <c r="AR502" i="5"/>
  <c r="BI502" i="5"/>
  <c r="AQ502" i="5"/>
  <c r="BI338" i="5"/>
  <c r="AQ338" i="5"/>
  <c r="AR338" i="5"/>
  <c r="AQ470" i="5"/>
  <c r="BI470" i="5"/>
  <c r="AR470" i="5"/>
  <c r="BI220" i="5"/>
  <c r="AR220" i="5"/>
  <c r="AQ220" i="5"/>
  <c r="AR409" i="5"/>
  <c r="BI409" i="5"/>
  <c r="AQ409" i="5"/>
  <c r="AR457" i="5"/>
  <c r="BI457" i="5"/>
  <c r="AQ457" i="5"/>
  <c r="BI423" i="5"/>
  <c r="AR423" i="5"/>
  <c r="AQ423" i="5"/>
  <c r="BI103" i="5"/>
  <c r="AQ103" i="5"/>
  <c r="AR103" i="5"/>
  <c r="AQ367" i="5"/>
  <c r="BI367" i="5"/>
  <c r="AR367" i="5"/>
  <c r="BI204" i="5"/>
  <c r="AQ204" i="5"/>
  <c r="AR204" i="5"/>
  <c r="AQ369" i="5"/>
  <c r="BI369" i="5"/>
  <c r="AR369" i="5"/>
  <c r="BI121" i="5"/>
  <c r="AQ121" i="5"/>
  <c r="AR121" i="5"/>
  <c r="AR294" i="5"/>
  <c r="AQ294" i="5"/>
  <c r="BI294" i="5"/>
  <c r="AR91" i="5"/>
  <c r="BI91" i="5"/>
  <c r="AQ91" i="5"/>
  <c r="BI114" i="5"/>
  <c r="AQ114" i="5"/>
  <c r="AR114" i="5"/>
  <c r="BI384" i="5"/>
  <c r="AR384" i="5"/>
  <c r="AQ384" i="5"/>
  <c r="BI211" i="5"/>
  <c r="AQ211" i="5"/>
  <c r="AR211" i="5"/>
  <c r="BI143" i="5"/>
  <c r="AR143" i="5"/>
  <c r="AQ143" i="5"/>
  <c r="AQ191" i="5"/>
  <c r="BI191" i="5"/>
  <c r="AR191" i="5"/>
  <c r="AQ236" i="5"/>
  <c r="AR236" i="5"/>
  <c r="BI236" i="5"/>
  <c r="AQ214" i="5"/>
  <c r="AR214" i="5"/>
  <c r="BI214" i="5"/>
  <c r="AR70" i="5"/>
  <c r="AQ70" i="5"/>
  <c r="BI70" i="5"/>
  <c r="AP151" i="5"/>
  <c r="BI439" i="5"/>
  <c r="AQ439" i="5"/>
  <c r="AR439" i="5"/>
  <c r="AQ428" i="5"/>
  <c r="BI428" i="5"/>
  <c r="AR428" i="5"/>
  <c r="AR158" i="5"/>
  <c r="AQ158" i="5"/>
  <c r="BI158" i="5"/>
  <c r="AR42" i="5"/>
  <c r="AQ42" i="5"/>
  <c r="BI42" i="5"/>
  <c r="AR348" i="5"/>
  <c r="BI348" i="5"/>
  <c r="AQ348" i="5"/>
  <c r="BI126" i="5"/>
  <c r="AR126" i="5"/>
  <c r="AQ126" i="5"/>
  <c r="BI175" i="5"/>
  <c r="AR175" i="5"/>
  <c r="AQ175" i="5"/>
  <c r="AR404" i="5"/>
  <c r="BI404" i="5"/>
  <c r="AQ404" i="5"/>
  <c r="BI453" i="5"/>
  <c r="AR453" i="5"/>
  <c r="AQ453" i="5"/>
  <c r="BI283" i="5"/>
  <c r="AR283" i="5"/>
  <c r="AQ283" i="5"/>
  <c r="AQ447" i="5"/>
  <c r="AR447" i="5"/>
  <c r="BI447" i="5"/>
  <c r="BI417" i="5"/>
  <c r="AQ417" i="5"/>
  <c r="AR417" i="5"/>
  <c r="AR187" i="5"/>
  <c r="AQ187" i="5"/>
  <c r="BI187" i="5"/>
  <c r="BI547" i="5"/>
  <c r="AQ547" i="5"/>
  <c r="AR547" i="5"/>
  <c r="BI207" i="5"/>
  <c r="AQ207" i="5"/>
  <c r="AR207" i="5"/>
  <c r="AQ374" i="5"/>
  <c r="BI374" i="5"/>
  <c r="AR374" i="5"/>
  <c r="AQ166" i="5"/>
  <c r="AR166" i="5"/>
  <c r="BI166" i="5"/>
  <c r="AP73" i="5"/>
  <c r="BI46" i="5"/>
  <c r="AQ46" i="5"/>
  <c r="AR46" i="5"/>
  <c r="AQ190" i="5"/>
  <c r="AR190" i="5"/>
  <c r="BI190" i="5"/>
  <c r="AP372" i="5"/>
  <c r="AR36" i="5"/>
  <c r="BI36" i="5"/>
  <c r="AQ36" i="5"/>
  <c r="AQ480" i="5"/>
  <c r="BI480" i="5"/>
  <c r="AR480" i="5"/>
  <c r="AQ242" i="5"/>
  <c r="AR242" i="5"/>
  <c r="BI242" i="5"/>
  <c r="AQ477" i="5"/>
  <c r="AR477" i="5"/>
  <c r="BI477" i="5"/>
  <c r="AQ389" i="5"/>
  <c r="AR389" i="5"/>
  <c r="BI389" i="5"/>
  <c r="AE108" i="4"/>
  <c r="AJ108" i="4"/>
  <c r="AH108" i="4"/>
  <c r="BI475" i="5"/>
  <c r="AQ475" i="5"/>
  <c r="AR475" i="5"/>
  <c r="AR155" i="5"/>
  <c r="AQ155" i="5"/>
  <c r="BI155" i="5"/>
  <c r="AQ375" i="5"/>
  <c r="BI375" i="5"/>
  <c r="AR375" i="5"/>
  <c r="AQ193" i="5"/>
  <c r="BI193" i="5"/>
  <c r="AR193" i="5"/>
  <c r="AR498" i="5"/>
  <c r="AQ498" i="5"/>
  <c r="BI498" i="5"/>
  <c r="AQ560" i="5"/>
  <c r="AR560" i="5"/>
  <c r="BI560" i="5"/>
  <c r="AQ405" i="5"/>
  <c r="AR405" i="5"/>
  <c r="BI405" i="5"/>
  <c r="BI263" i="5"/>
  <c r="AR263" i="5"/>
  <c r="AQ263" i="5"/>
  <c r="AR253" i="5"/>
  <c r="AQ253" i="5"/>
  <c r="BI253" i="5"/>
  <c r="AR438" i="5"/>
  <c r="BI438" i="5"/>
  <c r="AQ438" i="5"/>
  <c r="BI169" i="5"/>
  <c r="AQ169" i="5"/>
  <c r="AR169" i="5"/>
  <c r="BI381" i="5"/>
  <c r="AR381" i="5"/>
  <c r="AQ381" i="5"/>
  <c r="AQ197" i="5"/>
  <c r="AR197" i="5"/>
  <c r="BI197" i="5"/>
  <c r="AQ431" i="5"/>
  <c r="AR431" i="5"/>
  <c r="BI431" i="5"/>
  <c r="AR345" i="5"/>
  <c r="BI345" i="5"/>
  <c r="AQ345" i="5"/>
  <c r="AR150" i="5"/>
  <c r="BI150" i="5"/>
  <c r="AQ150" i="5"/>
  <c r="BI309" i="5"/>
  <c r="AQ309" i="5"/>
  <c r="AR309" i="5"/>
  <c r="AR39" i="5"/>
  <c r="BI39" i="5"/>
  <c r="AQ39" i="5"/>
  <c r="BI206" i="5"/>
  <c r="AQ206" i="5"/>
  <c r="AR206" i="5"/>
  <c r="BI200" i="5"/>
  <c r="AR200" i="5"/>
  <c r="AQ200" i="5"/>
  <c r="AE150" i="4"/>
  <c r="AH150" i="4"/>
  <c r="Z150" i="4"/>
  <c r="AA150" i="4"/>
  <c r="AE57" i="4"/>
  <c r="AH57" i="4"/>
  <c r="AJ70" i="4"/>
  <c r="AA70" i="4"/>
  <c r="Z70" i="4"/>
  <c r="AE70" i="4"/>
  <c r="AH70" i="4"/>
  <c r="Z148" i="4"/>
  <c r="AH148" i="4"/>
  <c r="AE148" i="4"/>
  <c r="AA84" i="4"/>
  <c r="AH84" i="4"/>
  <c r="AE84" i="4"/>
  <c r="Z84" i="4"/>
  <c r="AH144" i="4"/>
  <c r="AE144" i="4"/>
  <c r="AE128" i="4"/>
  <c r="AH128" i="4"/>
  <c r="AH106" i="4"/>
  <c r="AJ106" i="4"/>
  <c r="AE106" i="4"/>
  <c r="AE88" i="4"/>
  <c r="AA88" i="4"/>
  <c r="Z88" i="4"/>
  <c r="AH88" i="4"/>
  <c r="AH140" i="4"/>
  <c r="AJ140" i="4"/>
  <c r="AE140" i="4"/>
  <c r="AH20" i="4"/>
  <c r="Z20" i="4"/>
  <c r="X20" i="4" s="1"/>
  <c r="AJ20" i="4" s="1"/>
  <c r="AE20" i="4"/>
  <c r="AE135" i="4"/>
  <c r="AH135" i="4"/>
  <c r="AH55" i="4"/>
  <c r="AE55" i="4"/>
  <c r="AE105" i="4"/>
  <c r="AH105" i="4"/>
  <c r="Z130" i="4"/>
  <c r="AE130" i="4"/>
  <c r="AA130" i="4"/>
  <c r="AH130" i="4"/>
  <c r="AE43" i="4"/>
  <c r="AA43" i="4"/>
  <c r="AH43" i="4"/>
  <c r="Z43" i="4"/>
  <c r="AA119" i="4"/>
  <c r="AH119" i="4"/>
  <c r="Z119" i="4"/>
  <c r="AE119" i="4"/>
  <c r="AH39" i="4"/>
  <c r="AE39" i="4"/>
  <c r="Z39" i="4"/>
  <c r="AA39" i="4"/>
  <c r="AJ39" i="4"/>
  <c r="AH102" i="4"/>
  <c r="AJ102" i="4"/>
  <c r="AE102" i="4"/>
  <c r="AE56" i="4"/>
  <c r="AH56" i="4"/>
  <c r="Z56" i="4"/>
  <c r="AA56" i="4"/>
  <c r="AJ68" i="4"/>
  <c r="Z68" i="4"/>
  <c r="AH68" i="4"/>
  <c r="AE68" i="4"/>
  <c r="AA68" i="4"/>
  <c r="AJ37" i="4"/>
  <c r="AE37" i="4"/>
  <c r="AH37" i="4"/>
  <c r="AA37" i="4"/>
  <c r="Z37" i="4"/>
  <c r="AA41" i="4"/>
  <c r="AH41" i="4"/>
  <c r="AE41" i="4"/>
  <c r="Z41" i="4"/>
  <c r="AE34" i="4"/>
  <c r="AH34" i="4"/>
  <c r="AA34" i="4"/>
  <c r="Z34" i="4"/>
  <c r="AH113" i="4"/>
  <c r="AE113" i="4"/>
  <c r="AE109" i="4"/>
  <c r="AH109" i="4"/>
  <c r="Z109" i="4"/>
  <c r="AH136" i="4"/>
  <c r="AE136" i="4"/>
  <c r="AE129" i="4"/>
  <c r="AH129" i="4"/>
  <c r="AE98" i="4"/>
  <c r="AH98" i="4"/>
  <c r="AH64" i="4"/>
  <c r="AE64" i="4"/>
  <c r="AA64" i="4"/>
  <c r="Z64" i="4"/>
  <c r="AE146" i="4"/>
  <c r="AJ146" i="4"/>
  <c r="Z146" i="4"/>
  <c r="AA146" i="4"/>
  <c r="AH146" i="4"/>
  <c r="AE85" i="4"/>
  <c r="AH85" i="4"/>
  <c r="AR487" i="5"/>
  <c r="AQ487" i="5"/>
  <c r="BI487" i="5"/>
  <c r="BI420" i="5"/>
  <c r="AQ420" i="5"/>
  <c r="AR420" i="5"/>
  <c r="AQ202" i="5"/>
  <c r="BI202" i="5"/>
  <c r="AR202" i="5"/>
  <c r="AR324" i="5"/>
  <c r="BI324" i="5"/>
  <c r="AQ324" i="5"/>
  <c r="AR21" i="5"/>
  <c r="AQ21" i="5"/>
  <c r="BI21" i="5"/>
  <c r="AQ493" i="5"/>
  <c r="AR493" i="5"/>
  <c r="BI493" i="5"/>
  <c r="AR285" i="5"/>
  <c r="BI285" i="5"/>
  <c r="AQ285" i="5"/>
  <c r="AR340" i="5"/>
  <c r="AQ340" i="5"/>
  <c r="BI340" i="5"/>
  <c r="BI559" i="5"/>
  <c r="AQ559" i="5"/>
  <c r="AR559" i="5"/>
  <c r="AR248" i="5"/>
  <c r="AQ248" i="5"/>
  <c r="BI248" i="5"/>
  <c r="AR379" i="5"/>
  <c r="BI379" i="5"/>
  <c r="AQ379" i="5"/>
  <c r="AR144" i="5"/>
  <c r="AQ144" i="5"/>
  <c r="BI144" i="5"/>
  <c r="BI482" i="5"/>
  <c r="AQ482" i="5"/>
  <c r="AR482" i="5"/>
  <c r="BI509" i="5"/>
  <c r="AQ509" i="5"/>
  <c r="AR509" i="5"/>
  <c r="AQ355" i="5"/>
  <c r="BI355" i="5"/>
  <c r="AR355" i="5"/>
  <c r="AR35" i="5"/>
  <c r="AQ35" i="5"/>
  <c r="BI35" i="5"/>
  <c r="AQ518" i="5"/>
  <c r="BI518" i="5"/>
  <c r="AR518" i="5"/>
  <c r="AR238" i="5"/>
  <c r="AQ238" i="5"/>
  <c r="BI238" i="5"/>
  <c r="AQ192" i="5"/>
  <c r="BI192" i="5"/>
  <c r="AR192" i="5"/>
  <c r="AQ557" i="5"/>
  <c r="BI557" i="5"/>
  <c r="AR557" i="5"/>
  <c r="AQ74" i="5"/>
  <c r="AR74" i="5"/>
  <c r="BI74" i="5"/>
  <c r="BI541" i="5"/>
  <c r="AQ541" i="5"/>
  <c r="AR541" i="5"/>
  <c r="AR224" i="5"/>
  <c r="AQ224" i="5"/>
  <c r="BI224" i="5"/>
  <c r="AQ298" i="5"/>
  <c r="AR298" i="5"/>
  <c r="BI298" i="5"/>
  <c r="BI215" i="5"/>
  <c r="AR215" i="5"/>
  <c r="AQ215" i="5"/>
  <c r="AR270" i="5"/>
  <c r="BI270" i="5"/>
  <c r="AQ270" i="5"/>
  <c r="AR552" i="5"/>
  <c r="BI552" i="5"/>
  <c r="AQ552" i="5"/>
  <c r="AR413" i="5"/>
  <c r="AQ413" i="5"/>
  <c r="BI413" i="5"/>
  <c r="AR69" i="5"/>
  <c r="BI69" i="5"/>
  <c r="AQ69" i="5"/>
  <c r="BI165" i="5"/>
  <c r="AR165" i="5"/>
  <c r="AQ165" i="5"/>
  <c r="AR297" i="5"/>
  <c r="BI297" i="5"/>
  <c r="AQ297" i="5"/>
  <c r="AQ380" i="5"/>
  <c r="BI380" i="5"/>
  <c r="AR380" i="5"/>
  <c r="AR363" i="5"/>
  <c r="AQ363" i="5"/>
  <c r="BI363" i="5"/>
  <c r="AR230" i="5"/>
  <c r="BI230" i="5"/>
  <c r="AQ230" i="5"/>
  <c r="AR484" i="5"/>
  <c r="BI484" i="5"/>
  <c r="AQ484" i="5"/>
  <c r="AR174" i="5"/>
  <c r="BI174" i="5"/>
  <c r="AQ174" i="5"/>
  <c r="AR152" i="5"/>
  <c r="BI152" i="5"/>
  <c r="AQ152" i="5"/>
  <c r="AR354" i="5"/>
  <c r="BI354" i="5"/>
  <c r="AQ354" i="5"/>
  <c r="AR521" i="5"/>
  <c r="BI521" i="5"/>
  <c r="AQ521" i="5"/>
  <c r="AQ75" i="5"/>
  <c r="AR75" i="5"/>
  <c r="BI75" i="5"/>
  <c r="AQ147" i="5"/>
  <c r="BI147" i="5"/>
  <c r="AR147" i="5"/>
  <c r="AQ450" i="5"/>
  <c r="AR450" i="5"/>
  <c r="BI450" i="5"/>
  <c r="AQ398" i="5"/>
  <c r="AR398" i="5"/>
  <c r="BI398" i="5"/>
  <c r="AP186" i="5"/>
  <c r="BI271" i="5"/>
  <c r="AR271" i="5"/>
  <c r="AQ271" i="5"/>
  <c r="AQ353" i="5"/>
  <c r="BI353" i="5"/>
  <c r="AR353" i="5"/>
  <c r="BI92" i="5"/>
  <c r="AR92" i="5"/>
  <c r="AQ92" i="5"/>
  <c r="AQ50" i="5"/>
  <c r="AR50" i="5"/>
  <c r="BI50" i="5"/>
  <c r="AR53" i="5"/>
  <c r="BI53" i="5"/>
  <c r="AQ53" i="5"/>
  <c r="BI269" i="5"/>
  <c r="AR269" i="5"/>
  <c r="AQ269" i="5"/>
  <c r="AQ82" i="5"/>
  <c r="BI82" i="5"/>
  <c r="AR82" i="5"/>
  <c r="BI262" i="5"/>
  <c r="AR262" i="5"/>
  <c r="AQ262" i="5"/>
  <c r="AQ491" i="5"/>
  <c r="BI491" i="5"/>
  <c r="AR491" i="5"/>
  <c r="AP284" i="5"/>
  <c r="AP54" i="5"/>
  <c r="AR60" i="5"/>
  <c r="BI60" i="5"/>
  <c r="AQ60" i="5"/>
  <c r="AQ390" i="5"/>
  <c r="AR390" i="5"/>
  <c r="BI390" i="5"/>
  <c r="AQ553" i="5"/>
  <c r="BI553" i="5"/>
  <c r="AR553" i="5"/>
  <c r="AQ28" i="5"/>
  <c r="AR28" i="5"/>
  <c r="BI28" i="5"/>
  <c r="AP13" i="5"/>
  <c r="AQ239" i="5"/>
  <c r="AR239" i="5"/>
  <c r="BI239" i="5"/>
  <c r="AP209" i="5"/>
  <c r="AQ180" i="5"/>
  <c r="AR180" i="5"/>
  <c r="BI180" i="5"/>
  <c r="AQ88" i="5"/>
  <c r="BI88" i="5"/>
  <c r="AR88" i="5"/>
  <c r="AQ51" i="5"/>
  <c r="AR51" i="5"/>
  <c r="BI51" i="5"/>
  <c r="BI223" i="5"/>
  <c r="AR223" i="5"/>
  <c r="AQ223" i="5"/>
  <c r="AP416" i="5"/>
  <c r="AQ426" i="5"/>
  <c r="BI426" i="5"/>
  <c r="AR426" i="5"/>
  <c r="AR117" i="5"/>
  <c r="BI117" i="5"/>
  <c r="AQ117" i="5"/>
  <c r="AR520" i="5"/>
  <c r="BI520" i="5"/>
  <c r="AQ520" i="5"/>
  <c r="AQ246" i="5"/>
  <c r="BI246" i="5"/>
  <c r="AR246" i="5"/>
  <c r="AP462" i="5"/>
  <c r="AQ388" i="5"/>
  <c r="BI388" i="5"/>
  <c r="AR388" i="5"/>
  <c r="BI320" i="5"/>
  <c r="AR320" i="5"/>
  <c r="AQ320" i="5"/>
  <c r="AR479" i="5"/>
  <c r="AQ479" i="5"/>
  <c r="BI479" i="5"/>
  <c r="AR503" i="5"/>
  <c r="AQ503" i="5"/>
  <c r="BI503" i="5"/>
  <c r="BI160" i="5"/>
  <c r="AQ160" i="5"/>
  <c r="AR160" i="5"/>
  <c r="BI549" i="5"/>
  <c r="AQ549" i="5"/>
  <c r="AR549" i="5"/>
  <c r="BI20" i="5"/>
  <c r="AR20" i="5"/>
  <c r="AQ20" i="5"/>
  <c r="BI474" i="5"/>
  <c r="AQ474" i="5"/>
  <c r="AR474" i="5"/>
  <c r="BI222" i="5"/>
  <c r="AQ222" i="5"/>
  <c r="AR222" i="5"/>
  <c r="AP419" i="5"/>
  <c r="BI161" i="5"/>
  <c r="AQ161" i="5"/>
  <c r="AR161" i="5"/>
  <c r="AP504" i="5"/>
  <c r="AQ434" i="5"/>
  <c r="BI434" i="5"/>
  <c r="AR434" i="5"/>
  <c r="BI429" i="5"/>
  <c r="AQ429" i="5"/>
  <c r="AR429" i="5"/>
  <c r="AQ216" i="5"/>
  <c r="BI216" i="5"/>
  <c r="AR216" i="5"/>
  <c r="BI558" i="5"/>
  <c r="AR558" i="5"/>
  <c r="AQ558" i="5"/>
  <c r="BI323" i="5"/>
  <c r="AQ323" i="5"/>
  <c r="AR323" i="5"/>
  <c r="AR385" i="5"/>
  <c r="BI385" i="5"/>
  <c r="AQ385" i="5"/>
  <c r="AQ314" i="5"/>
  <c r="BI314" i="5"/>
  <c r="AR314" i="5"/>
  <c r="AQ110" i="5"/>
  <c r="BI110" i="5"/>
  <c r="AR110" i="5"/>
  <c r="BI334" i="5"/>
  <c r="AQ334" i="5"/>
  <c r="AR334" i="5"/>
  <c r="AR526" i="5"/>
  <c r="BI526" i="5"/>
  <c r="AQ526" i="5"/>
  <c r="AR540" i="5"/>
  <c r="AQ540" i="5"/>
  <c r="BI540" i="5"/>
  <c r="BI48" i="5"/>
  <c r="AQ48" i="5"/>
  <c r="AR48" i="5"/>
  <c r="AR123" i="5"/>
  <c r="AQ123" i="5"/>
  <c r="BI123" i="5"/>
  <c r="AR279" i="5"/>
  <c r="BI279" i="5"/>
  <c r="AQ279" i="5"/>
  <c r="AR132" i="5"/>
  <c r="AQ132" i="5"/>
  <c r="BI132" i="5"/>
  <c r="AR361" i="5"/>
  <c r="BI361" i="5"/>
  <c r="AQ361" i="5"/>
  <c r="AR478" i="5"/>
  <c r="BI478" i="5"/>
  <c r="AQ478" i="5"/>
  <c r="AR63" i="5"/>
  <c r="BI63" i="5"/>
  <c r="AQ63" i="5"/>
  <c r="AQ325" i="5"/>
  <c r="AR325" i="5"/>
  <c r="BI325" i="5"/>
  <c r="AR424" i="5"/>
  <c r="AQ424" i="5"/>
  <c r="BI424" i="5"/>
  <c r="BI555" i="5"/>
  <c r="AR555" i="5"/>
  <c r="AQ555" i="5"/>
  <c r="AQ319" i="5"/>
  <c r="AR319" i="5"/>
  <c r="BI319" i="5"/>
  <c r="AR241" i="5"/>
  <c r="AQ241" i="5"/>
  <c r="BI241" i="5"/>
  <c r="BI435" i="5"/>
  <c r="AQ435" i="5"/>
  <c r="AR435" i="5"/>
  <c r="AQ510" i="5"/>
  <c r="BI510" i="5"/>
  <c r="AR510" i="5"/>
  <c r="BI19" i="5"/>
  <c r="AQ19" i="5"/>
  <c r="AR19" i="5"/>
  <c r="BI506" i="5"/>
  <c r="AQ506" i="5"/>
  <c r="AR506" i="5"/>
  <c r="AQ401" i="5"/>
  <c r="BI401" i="5"/>
  <c r="AR401" i="5"/>
  <c r="AR443" i="5"/>
  <c r="BI443" i="5"/>
  <c r="AQ443" i="5"/>
  <c r="BI122" i="5"/>
  <c r="AQ122" i="5"/>
  <c r="AR122" i="5"/>
  <c r="BI467" i="5"/>
  <c r="AR467" i="5"/>
  <c r="AQ467" i="5"/>
  <c r="AR542" i="5"/>
  <c r="AQ542" i="5"/>
  <c r="BI542" i="5"/>
  <c r="AQ138" i="5"/>
  <c r="BI138" i="5"/>
  <c r="AR138" i="5"/>
  <c r="AQ310" i="5"/>
  <c r="AR310" i="5"/>
  <c r="BI310" i="5"/>
  <c r="AR415" i="5"/>
  <c r="AQ415" i="5"/>
  <c r="BI415" i="5"/>
  <c r="AQ255" i="5"/>
  <c r="AR255" i="5"/>
  <c r="BI255" i="5"/>
  <c r="AR89" i="5"/>
  <c r="AQ89" i="5"/>
  <c r="BI89" i="5"/>
  <c r="AR393" i="5"/>
  <c r="AQ393" i="5"/>
  <c r="BI393" i="5"/>
  <c r="AQ243" i="5"/>
  <c r="AR243" i="5"/>
  <c r="BI243" i="5"/>
  <c r="AQ104" i="5"/>
  <c r="BI104" i="5"/>
  <c r="AR104" i="5"/>
  <c r="BI112" i="5"/>
  <c r="AR112" i="5"/>
  <c r="AQ112" i="5"/>
  <c r="AR305" i="5"/>
  <c r="BI305" i="5"/>
  <c r="AQ305" i="5"/>
  <c r="BI55" i="5"/>
  <c r="AR55" i="5"/>
  <c r="AQ55" i="5"/>
  <c r="AR495" i="5"/>
  <c r="AQ495" i="5"/>
  <c r="BI495" i="5"/>
  <c r="AQ364" i="5"/>
  <c r="BI364" i="5"/>
  <c r="AR364" i="5"/>
  <c r="AR281" i="5"/>
  <c r="AQ281" i="5"/>
  <c r="BI281" i="5"/>
  <c r="AP77" i="5"/>
  <c r="AR511" i="5"/>
  <c r="BI511" i="5"/>
  <c r="AQ511" i="5"/>
  <c r="BI513" i="5"/>
  <c r="AR513" i="5"/>
  <c r="AQ513" i="5"/>
  <c r="BI517" i="5"/>
  <c r="AQ517" i="5"/>
  <c r="AR517" i="5"/>
  <c r="AR414" i="5"/>
  <c r="BI414" i="5"/>
  <c r="AQ414" i="5"/>
  <c r="BI499" i="5"/>
  <c r="AQ499" i="5"/>
  <c r="AR499" i="5"/>
  <c r="AR391" i="5"/>
  <c r="AQ391" i="5"/>
  <c r="BI391" i="5"/>
  <c r="AE117" i="4"/>
  <c r="AJ117" i="4"/>
  <c r="AH117" i="4"/>
  <c r="AE81" i="4"/>
  <c r="AH81" i="4"/>
  <c r="AO537" i="5"/>
  <c r="AN537" i="5"/>
  <c r="AO509" i="5"/>
  <c r="AN509" i="5"/>
  <c r="AN213" i="5"/>
  <c r="AO213" i="5"/>
  <c r="AN259" i="5"/>
  <c r="AO259" i="5"/>
  <c r="AN95" i="5"/>
  <c r="AO95" i="5"/>
  <c r="AO135" i="5"/>
  <c r="AN135" i="5"/>
  <c r="AO393" i="5"/>
  <c r="AN393" i="5"/>
  <c r="AN482" i="5"/>
  <c r="AO482" i="5"/>
  <c r="AN149" i="5"/>
  <c r="AO149" i="5"/>
  <c r="AN129" i="5"/>
  <c r="AO129" i="5"/>
  <c r="AO333" i="5"/>
  <c r="AN333" i="5"/>
  <c r="AO365" i="5"/>
  <c r="AN365" i="5"/>
  <c r="AO497" i="5"/>
  <c r="AN497" i="5"/>
  <c r="AN61" i="5"/>
  <c r="AO61" i="5"/>
  <c r="AO463" i="5"/>
  <c r="AN463" i="5"/>
  <c r="AO408" i="5"/>
  <c r="AN408" i="5"/>
  <c r="AN273" i="5"/>
  <c r="AO273" i="5"/>
  <c r="AO526" i="5"/>
  <c r="AN526" i="5"/>
  <c r="AN291" i="5"/>
  <c r="AO291" i="5"/>
  <c r="AN127" i="5"/>
  <c r="AO127" i="5"/>
  <c r="AO293" i="5"/>
  <c r="AN293" i="5"/>
  <c r="AN220" i="5"/>
  <c r="AO220" i="5"/>
  <c r="AO453" i="5"/>
  <c r="AN453" i="5"/>
  <c r="AN442" i="5"/>
  <c r="AO442" i="5"/>
  <c r="AN138" i="5"/>
  <c r="AO138" i="5"/>
  <c r="AO500" i="5"/>
  <c r="AN500" i="5"/>
  <c r="AO495" i="5"/>
  <c r="AN495" i="5"/>
  <c r="AN294" i="5"/>
  <c r="AO294" i="5"/>
  <c r="AO310" i="5"/>
  <c r="AN310" i="5"/>
  <c r="AO477" i="5"/>
  <c r="AN477" i="5"/>
  <c r="AO137" i="5"/>
  <c r="AN137" i="5"/>
  <c r="AO173" i="5"/>
  <c r="AN173" i="5"/>
  <c r="AO401" i="5"/>
  <c r="AN401" i="5"/>
  <c r="AO49" i="5"/>
  <c r="AN49" i="5"/>
  <c r="AN150" i="5"/>
  <c r="AO150" i="5"/>
  <c r="AO59" i="5"/>
  <c r="AN59" i="5"/>
  <c r="AO347" i="5"/>
  <c r="AN347" i="5"/>
  <c r="AN227" i="5"/>
  <c r="AO227" i="5"/>
  <c r="AN458" i="5"/>
  <c r="AO458" i="5"/>
  <c r="AN480" i="5"/>
  <c r="AO480" i="5"/>
  <c r="AN428" i="5"/>
  <c r="AO428" i="5"/>
  <c r="AN476" i="5"/>
  <c r="AO476" i="5"/>
  <c r="AN361" i="5"/>
  <c r="AO361" i="5"/>
  <c r="AN270" i="5"/>
  <c r="AO270" i="5"/>
  <c r="AN250" i="5"/>
  <c r="AO250" i="5"/>
  <c r="AN207" i="5"/>
  <c r="AO207" i="5"/>
  <c r="AN254" i="5"/>
  <c r="AO254" i="5"/>
  <c r="AO553" i="5"/>
  <c r="AN553" i="5"/>
  <c r="AN25" i="5"/>
  <c r="AO25" i="5"/>
  <c r="AN231" i="5"/>
  <c r="AO231" i="5"/>
  <c r="AO371" i="5"/>
  <c r="AN371" i="5"/>
  <c r="AO172" i="5"/>
  <c r="AN172" i="5"/>
  <c r="AN214" i="5"/>
  <c r="AO214" i="5"/>
  <c r="AO128" i="5"/>
  <c r="AN128" i="5"/>
  <c r="AN141" i="5"/>
  <c r="AO141" i="5"/>
  <c r="AN550" i="5"/>
  <c r="AO550" i="5"/>
  <c r="AN314" i="5"/>
  <c r="AO314" i="5"/>
  <c r="AN79" i="5"/>
  <c r="AO79" i="5"/>
  <c r="AO378" i="5"/>
  <c r="AN378" i="5"/>
  <c r="AO490" i="5"/>
  <c r="AN490" i="5"/>
  <c r="AO385" i="5"/>
  <c r="AN385" i="5"/>
  <c r="AO406" i="5"/>
  <c r="AN406" i="5"/>
  <c r="AN118" i="5"/>
  <c r="AO118" i="5"/>
  <c r="AO521" i="5"/>
  <c r="AN521" i="5"/>
  <c r="AO531" i="5"/>
  <c r="AN531" i="5"/>
  <c r="AO483" i="5"/>
  <c r="AN483" i="5"/>
  <c r="AO132" i="5"/>
  <c r="AN132" i="5"/>
  <c r="AO211" i="5"/>
  <c r="AN211" i="5"/>
  <c r="AN478" i="5"/>
  <c r="AO478" i="5"/>
  <c r="AO63" i="5"/>
  <c r="AN63" i="5"/>
  <c r="AN351" i="5"/>
  <c r="AO351" i="5"/>
  <c r="AN246" i="5"/>
  <c r="AO246" i="5"/>
  <c r="AN409" i="5"/>
  <c r="AO409" i="5"/>
  <c r="AO390" i="5"/>
  <c r="AN390" i="5"/>
  <c r="AO391" i="5"/>
  <c r="AN391" i="5"/>
  <c r="AO345" i="5"/>
  <c r="AN345" i="5"/>
  <c r="AN272" i="5"/>
  <c r="AO272" i="5"/>
  <c r="AO87" i="5"/>
  <c r="AN87" i="5"/>
  <c r="AN525" i="5"/>
  <c r="AO525" i="5"/>
  <c r="AO514" i="5"/>
  <c r="AN514" i="5"/>
  <c r="AO21" i="5"/>
  <c r="AN21" i="5"/>
  <c r="AO489" i="5"/>
  <c r="AN489" i="5"/>
  <c r="AO424" i="5"/>
  <c r="AN424" i="5"/>
  <c r="AN157" i="5"/>
  <c r="AO157" i="5"/>
  <c r="AN257" i="5"/>
  <c r="AO257" i="5"/>
  <c r="AO175" i="5"/>
  <c r="AN175" i="5"/>
  <c r="AO417" i="5"/>
  <c r="AN417" i="5"/>
  <c r="AH264" i="5"/>
  <c r="AI264" i="5"/>
  <c r="AI513" i="5"/>
  <c r="AH513" i="5"/>
  <c r="AI524" i="5"/>
  <c r="AH524" i="5"/>
  <c r="AI194" i="5"/>
  <c r="AH194" i="5"/>
  <c r="AI546" i="5"/>
  <c r="AH546" i="5"/>
  <c r="AI460" i="5"/>
  <c r="AH460" i="5"/>
  <c r="AH375" i="5"/>
  <c r="AI375" i="5"/>
  <c r="AH484" i="5"/>
  <c r="AI484" i="5"/>
  <c r="AH401" i="5"/>
  <c r="AI401" i="5"/>
  <c r="AI229" i="5"/>
  <c r="AH229" i="5"/>
  <c r="AH536" i="5"/>
  <c r="AI536" i="5"/>
  <c r="AI280" i="5"/>
  <c r="AH280" i="5"/>
  <c r="AH384" i="5"/>
  <c r="AI384" i="5"/>
  <c r="AH328" i="5"/>
  <c r="AI328" i="5"/>
  <c r="AI254" i="5"/>
  <c r="AH254" i="5"/>
  <c r="AI248" i="5"/>
  <c r="AH248" i="5"/>
  <c r="AH368" i="5"/>
  <c r="AI368" i="5"/>
  <c r="AI427" i="5"/>
  <c r="AH427" i="5"/>
  <c r="AH409" i="5"/>
  <c r="AI409" i="5"/>
  <c r="AH204" i="5"/>
  <c r="AI204" i="5"/>
  <c r="AI113" i="5"/>
  <c r="AH113" i="5"/>
  <c r="AH558" i="5"/>
  <c r="AI558" i="5"/>
  <c r="AI308" i="5"/>
  <c r="AH308" i="5"/>
  <c r="AI28" i="5"/>
  <c r="AH28" i="5"/>
  <c r="AI342" i="5"/>
  <c r="AH342" i="5"/>
  <c r="AI225" i="5"/>
  <c r="AH225" i="5"/>
  <c r="AI56" i="5"/>
  <c r="AH56" i="5"/>
  <c r="AI77" i="5"/>
  <c r="AH77" i="5"/>
  <c r="AI250" i="5"/>
  <c r="AH250" i="5"/>
  <c r="AH91" i="5"/>
  <c r="AI91" i="5"/>
  <c r="AH161" i="5"/>
  <c r="AI161" i="5"/>
  <c r="AH125" i="5"/>
  <c r="AI125" i="5"/>
  <c r="AH7" i="5"/>
  <c r="AI7" i="5"/>
  <c r="AI413" i="5"/>
  <c r="AH413" i="5"/>
  <c r="AH356" i="5"/>
  <c r="AI356" i="5"/>
  <c r="AI316" i="5"/>
  <c r="AH316" i="5"/>
  <c r="AH347" i="5"/>
  <c r="AI347" i="5"/>
  <c r="AI255" i="5"/>
  <c r="AH255" i="5"/>
  <c r="AH327" i="5"/>
  <c r="AI327" i="5"/>
  <c r="AH242" i="5"/>
  <c r="AI242" i="5"/>
  <c r="AI57" i="5"/>
  <c r="AH57" i="5"/>
  <c r="AH523" i="5"/>
  <c r="AI523" i="5"/>
  <c r="AI294" i="5"/>
  <c r="AH294" i="5"/>
  <c r="AH381" i="5"/>
  <c r="AI381" i="5"/>
  <c r="AH102" i="5"/>
  <c r="AI102" i="5"/>
  <c r="AI123" i="5"/>
  <c r="AH123" i="5"/>
  <c r="AH300" i="5"/>
  <c r="AI300" i="5"/>
  <c r="AH320" i="5"/>
  <c r="AI320" i="5"/>
  <c r="AI392" i="5"/>
  <c r="AH392" i="5"/>
  <c r="AI337" i="5"/>
  <c r="AH337" i="5"/>
  <c r="AH60" i="5"/>
  <c r="AI60" i="5"/>
  <c r="AI429" i="5"/>
  <c r="AH429" i="5"/>
  <c r="AH37" i="5"/>
  <c r="AI37" i="5"/>
  <c r="AH553" i="5"/>
  <c r="AI553" i="5"/>
  <c r="AI457" i="5"/>
  <c r="AH457" i="5"/>
  <c r="AH543" i="5"/>
  <c r="AI543" i="5"/>
  <c r="AI314" i="5"/>
  <c r="AH314" i="5"/>
  <c r="AH430" i="5"/>
  <c r="AI430" i="5"/>
  <c r="AH45" i="5"/>
  <c r="AI45" i="5"/>
  <c r="AI410" i="5"/>
  <c r="AH410" i="5"/>
  <c r="AH495" i="5"/>
  <c r="AI495" i="5"/>
  <c r="AH494" i="5"/>
  <c r="AI494" i="5"/>
  <c r="AI422" i="5"/>
  <c r="AH422" i="5"/>
  <c r="AI61" i="5"/>
  <c r="AH61" i="5"/>
  <c r="AH540" i="5"/>
  <c r="AI540" i="5"/>
  <c r="AH120" i="5"/>
  <c r="AI120" i="5"/>
  <c r="AI33" i="5"/>
  <c r="AH33" i="5"/>
  <c r="AH396" i="5"/>
  <c r="AI396" i="5"/>
  <c r="AI262" i="5"/>
  <c r="AH262" i="5"/>
  <c r="AI55" i="5"/>
  <c r="AH55" i="5"/>
  <c r="AI527" i="5"/>
  <c r="AH527" i="5"/>
  <c r="AI271" i="5"/>
  <c r="AH271" i="5"/>
  <c r="AH366" i="5"/>
  <c r="AI366" i="5"/>
  <c r="AI334" i="5"/>
  <c r="AH334" i="5"/>
  <c r="AH188" i="5"/>
  <c r="AI188" i="5"/>
  <c r="AH12" i="5"/>
  <c r="AI12" i="5"/>
  <c r="AH79" i="5"/>
  <c r="AI79" i="5"/>
  <c r="AH107" i="5"/>
  <c r="AI107" i="5"/>
  <c r="AI349" i="5"/>
  <c r="AH349" i="5"/>
  <c r="AH171" i="5"/>
  <c r="AI171" i="5"/>
  <c r="AH329" i="5"/>
  <c r="AI329" i="5"/>
  <c r="AI505" i="5"/>
  <c r="AH505" i="5"/>
  <c r="AI258" i="5"/>
  <c r="AH258" i="5"/>
  <c r="AH322" i="5"/>
  <c r="AI322" i="5"/>
  <c r="AI530" i="5"/>
  <c r="AH530" i="5"/>
  <c r="AI154" i="5"/>
  <c r="AH154" i="5"/>
  <c r="AI276" i="5"/>
  <c r="AH276" i="5"/>
  <c r="AI340" i="5"/>
  <c r="AH340" i="5"/>
  <c r="AI76" i="5"/>
  <c r="AH76" i="5"/>
  <c r="AI395" i="5"/>
  <c r="AH395" i="5"/>
  <c r="AI514" i="5"/>
  <c r="AH514" i="5"/>
  <c r="AH369" i="5"/>
  <c r="AI369" i="5"/>
  <c r="AH25" i="5"/>
  <c r="AI25" i="5"/>
  <c r="AH491" i="5"/>
  <c r="AI491" i="5"/>
  <c r="AH353" i="5"/>
  <c r="AI353" i="5"/>
  <c r="AH531" i="5"/>
  <c r="AI531" i="5"/>
  <c r="AH115" i="5"/>
  <c r="AI115" i="5"/>
  <c r="AI93" i="5"/>
  <c r="AH93" i="5"/>
  <c r="AH552" i="5"/>
  <c r="AI552" i="5"/>
  <c r="AI345" i="5"/>
  <c r="AH345" i="5"/>
  <c r="AI111" i="5"/>
  <c r="AH111" i="5"/>
  <c r="AI503" i="5"/>
  <c r="AH503" i="5"/>
  <c r="AH295" i="5"/>
  <c r="AI295" i="5"/>
  <c r="AH211" i="5"/>
  <c r="AI211" i="5"/>
  <c r="AH97" i="5"/>
  <c r="AI97" i="5"/>
  <c r="AH325" i="5"/>
  <c r="AI325" i="5"/>
  <c r="AI390" i="5"/>
  <c r="AH390" i="5"/>
  <c r="AH436" i="5"/>
  <c r="AI436" i="5"/>
  <c r="AH547" i="5"/>
  <c r="AI547" i="5"/>
  <c r="AI75" i="5"/>
  <c r="AH75" i="5"/>
  <c r="AI142" i="5"/>
  <c r="AH142" i="5"/>
  <c r="AH47" i="5"/>
  <c r="AI47" i="5"/>
  <c r="AH205" i="5"/>
  <c r="AI205" i="5"/>
  <c r="AI542" i="5"/>
  <c r="AH542" i="5"/>
  <c r="AI73" i="5"/>
  <c r="AH73" i="5"/>
  <c r="AI555" i="5"/>
  <c r="AH555" i="5"/>
  <c r="AH348" i="5"/>
  <c r="AI348" i="5"/>
  <c r="AH144" i="5"/>
  <c r="AI144" i="5"/>
  <c r="AI441" i="5"/>
  <c r="AH441" i="5"/>
  <c r="AI71" i="5"/>
  <c r="AH71" i="5"/>
  <c r="AI46" i="5"/>
  <c r="AH46" i="5"/>
  <c r="AH383" i="5"/>
  <c r="AI383" i="5"/>
  <c r="AH266" i="5"/>
  <c r="AI266" i="5"/>
  <c r="AI360" i="5"/>
  <c r="AH360" i="5"/>
  <c r="AI219" i="5"/>
  <c r="AH219" i="5"/>
  <c r="AH377" i="5"/>
  <c r="AI377" i="5"/>
  <c r="AH22" i="5"/>
  <c r="AI22" i="5"/>
  <c r="AH170" i="5"/>
  <c r="AI170" i="5"/>
  <c r="AH94" i="5"/>
  <c r="AI94" i="5"/>
  <c r="AI89" i="5"/>
  <c r="AH89" i="5"/>
  <c r="AI84" i="5"/>
  <c r="AH84" i="5"/>
  <c r="AH29" i="5"/>
  <c r="AI29" i="5"/>
  <c r="AI165" i="5"/>
  <c r="AH165" i="5"/>
  <c r="AH463" i="5"/>
  <c r="AI463" i="5"/>
  <c r="AH324" i="5"/>
  <c r="AI324" i="5"/>
  <c r="AI181" i="5"/>
  <c r="AH181" i="5"/>
  <c r="AH12" i="4"/>
  <c r="AE12" i="4"/>
  <c r="Z12" i="4"/>
  <c r="X12" i="4" s="1"/>
  <c r="AJ12" i="4" s="1"/>
  <c r="AH71" i="4"/>
  <c r="AJ71" i="4"/>
  <c r="Z71" i="4"/>
  <c r="AE71" i="4"/>
  <c r="AA71" i="4"/>
  <c r="AJ49" i="4"/>
  <c r="AA49" i="4"/>
  <c r="AE49" i="4"/>
  <c r="Z49" i="4"/>
  <c r="AH49" i="4"/>
  <c r="Z157" i="4"/>
  <c r="AH157" i="4"/>
  <c r="AE157" i="4"/>
  <c r="AA157" i="4"/>
  <c r="AH155" i="4"/>
  <c r="AE155" i="4"/>
  <c r="AH73" i="4"/>
  <c r="AE73" i="4"/>
  <c r="AA73" i="4"/>
  <c r="Z73" i="4"/>
  <c r="AH152" i="4"/>
  <c r="AJ152" i="4"/>
  <c r="AE152" i="4"/>
  <c r="AE124" i="4"/>
  <c r="AH124" i="4"/>
  <c r="AA26" i="4"/>
  <c r="AH26" i="4"/>
  <c r="AE26" i="4"/>
  <c r="Z26" i="4"/>
  <c r="AE110" i="4"/>
  <c r="AH110" i="4"/>
  <c r="AJ110" i="4"/>
  <c r="AH123" i="4"/>
  <c r="Z123" i="4"/>
  <c r="AE123" i="4"/>
  <c r="AA123" i="4"/>
  <c r="AE60" i="4"/>
  <c r="AJ60" i="4"/>
  <c r="AH60" i="4"/>
  <c r="AE58" i="4"/>
  <c r="AH58" i="4"/>
  <c r="AA58" i="4"/>
  <c r="AJ58" i="4"/>
  <c r="Z58" i="4"/>
  <c r="AE153" i="4"/>
  <c r="AJ153" i="4"/>
  <c r="AA153" i="4"/>
  <c r="Z153" i="4"/>
  <c r="AH153" i="4"/>
  <c r="AJ149" i="4"/>
  <c r="AE149" i="4"/>
  <c r="AH149" i="4"/>
  <c r="AH66" i="4"/>
  <c r="AE66" i="4"/>
  <c r="AH23" i="4"/>
  <c r="AE23" i="4"/>
  <c r="Z23" i="4"/>
  <c r="X23" i="4" s="1"/>
  <c r="AJ23" i="4" s="1"/>
  <c r="AE112" i="4"/>
  <c r="AJ112" i="4"/>
  <c r="AH112" i="4"/>
  <c r="AH131" i="4"/>
  <c r="AE131" i="4"/>
  <c r="Z131" i="4"/>
  <c r="AA131" i="4"/>
  <c r="AJ36" i="4"/>
  <c r="AE36" i="4"/>
  <c r="AA36" i="4"/>
  <c r="Z36" i="4"/>
  <c r="AH36" i="4"/>
  <c r="AH14" i="4"/>
  <c r="AE14" i="4"/>
  <c r="Z14" i="4"/>
  <c r="X14" i="4" s="1"/>
  <c r="AJ14" i="4" s="1"/>
  <c r="AE42" i="4"/>
  <c r="AA42" i="4"/>
  <c r="AH42" i="4"/>
  <c r="Z42" i="4"/>
  <c r="AE32" i="4"/>
  <c r="AJ32" i="4"/>
  <c r="AA32" i="4"/>
  <c r="Z32" i="4"/>
  <c r="AH32" i="4"/>
  <c r="AE72" i="4"/>
  <c r="AJ72" i="4"/>
  <c r="AH72" i="4"/>
  <c r="Z72" i="4"/>
  <c r="AA72" i="4"/>
  <c r="AH116" i="4"/>
  <c r="AE116" i="4"/>
  <c r="AQ128" i="5"/>
  <c r="AR128" i="5"/>
  <c r="BI128" i="5"/>
  <c r="AR140" i="5"/>
  <c r="AQ140" i="5"/>
  <c r="BI140" i="5"/>
  <c r="AP267" i="5"/>
  <c r="AQ231" i="5"/>
  <c r="BI231" i="5"/>
  <c r="AR231" i="5"/>
  <c r="AQ212" i="5"/>
  <c r="AR212" i="5"/>
  <c r="BI212" i="5"/>
  <c r="AR486" i="5"/>
  <c r="AQ486" i="5"/>
  <c r="BI486" i="5"/>
  <c r="AQ295" i="5"/>
  <c r="AR295" i="5"/>
  <c r="BI295" i="5"/>
  <c r="BI257" i="5"/>
  <c r="AR257" i="5"/>
  <c r="AQ257" i="5"/>
  <c r="AR203" i="5"/>
  <c r="BI203" i="5"/>
  <c r="AQ203" i="5"/>
  <c r="AQ451" i="5"/>
  <c r="AR451" i="5"/>
  <c r="BI451" i="5"/>
  <c r="AR370" i="5"/>
  <c r="BI370" i="5"/>
  <c r="AQ370" i="5"/>
  <c r="AQ548" i="5"/>
  <c r="BI548" i="5"/>
  <c r="AR548" i="5"/>
  <c r="BI430" i="5"/>
  <c r="AR430" i="5"/>
  <c r="AQ430" i="5"/>
  <c r="AR100" i="5"/>
  <c r="AQ100" i="5"/>
  <c r="BI100" i="5"/>
  <c r="BI234" i="5"/>
  <c r="AR234" i="5"/>
  <c r="AQ234" i="5"/>
  <c r="BI153" i="5"/>
  <c r="AR153" i="5"/>
  <c r="AQ153" i="5"/>
  <c r="AQ366" i="5"/>
  <c r="BI366" i="5"/>
  <c r="AR366" i="5"/>
  <c r="BI205" i="5"/>
  <c r="AR205" i="5"/>
  <c r="AQ205" i="5"/>
  <c r="AR177" i="5"/>
  <c r="BI177" i="5"/>
  <c r="AQ177" i="5"/>
  <c r="AR189" i="5"/>
  <c r="BI189" i="5"/>
  <c r="AQ189" i="5"/>
  <c r="AQ146" i="5"/>
  <c r="AR146" i="5"/>
  <c r="BI146" i="5"/>
  <c r="AR360" i="5"/>
  <c r="BI360" i="5"/>
  <c r="AQ360" i="5"/>
  <c r="BI98" i="5"/>
  <c r="AR98" i="5"/>
  <c r="AQ98" i="5"/>
  <c r="AP148" i="5"/>
  <c r="AQ292" i="5"/>
  <c r="BI292" i="5"/>
  <c r="AR292" i="5"/>
  <c r="AQ440" i="5"/>
  <c r="BI440" i="5"/>
  <c r="AR440" i="5"/>
  <c r="AQ321" i="5"/>
  <c r="BI321" i="5"/>
  <c r="AR321" i="5"/>
  <c r="AQ461" i="5"/>
  <c r="BI461" i="5"/>
  <c r="AR461" i="5"/>
  <c r="AP452" i="5"/>
  <c r="AP33" i="5"/>
  <c r="BI56" i="5"/>
  <c r="AR56" i="5"/>
  <c r="AQ56" i="5"/>
  <c r="AP497" i="5"/>
  <c r="AP9" i="5"/>
  <c r="AJ67" i="4"/>
  <c r="AH67" i="4"/>
  <c r="AE67" i="4"/>
  <c r="AH31" i="4"/>
  <c r="AA31" i="4"/>
  <c r="Z31" i="4"/>
  <c r="AE31" i="4"/>
  <c r="AA145" i="4"/>
  <c r="AH145" i="4"/>
  <c r="Z145" i="4"/>
  <c r="AE145" i="4"/>
  <c r="AE93" i="4"/>
  <c r="AH93" i="4"/>
  <c r="AJ93" i="4"/>
  <c r="AH59" i="4"/>
  <c r="AJ59" i="4"/>
  <c r="AE59" i="4"/>
  <c r="AJ94" i="4"/>
  <c r="AE94" i="4"/>
  <c r="AH94" i="4"/>
  <c r="AH121" i="4"/>
  <c r="AE121" i="4"/>
  <c r="AA126" i="4"/>
  <c r="AE126" i="4"/>
  <c r="Z126" i="4"/>
  <c r="AH126" i="4"/>
  <c r="AE74" i="4"/>
  <c r="AJ74" i="4"/>
  <c r="AH74" i="4"/>
  <c r="AE83" i="4"/>
  <c r="Z83" i="4"/>
  <c r="AA83" i="4"/>
  <c r="AH83" i="4"/>
  <c r="AH79" i="4"/>
  <c r="AJ79" i="4"/>
  <c r="AE79" i="4"/>
  <c r="AX9" i="5"/>
  <c r="AY9" i="5"/>
  <c r="AO560" i="5"/>
  <c r="AN560" i="5"/>
  <c r="AO451" i="5"/>
  <c r="AN451" i="5"/>
  <c r="AN274" i="5"/>
  <c r="AO274" i="5"/>
  <c r="AO190" i="5"/>
  <c r="AN190" i="5"/>
  <c r="AO377" i="5"/>
  <c r="AN377" i="5"/>
  <c r="AO308" i="5"/>
  <c r="AN308" i="5"/>
  <c r="AN222" i="5"/>
  <c r="AO222" i="5"/>
  <c r="AO412" i="5"/>
  <c r="AN412" i="5"/>
  <c r="AO375" i="5"/>
  <c r="AN375" i="5"/>
  <c r="AN494" i="5"/>
  <c r="AO494" i="5"/>
  <c r="AO140" i="5"/>
  <c r="AN140" i="5"/>
  <c r="AO329" i="5"/>
  <c r="AN329" i="5"/>
  <c r="AO241" i="5"/>
  <c r="AN241" i="5"/>
  <c r="AO474" i="5"/>
  <c r="AN474" i="5"/>
  <c r="AO38" i="5"/>
  <c r="AN38" i="5"/>
  <c r="AN28" i="5"/>
  <c r="AO28" i="5"/>
  <c r="AN295" i="5"/>
  <c r="AO295" i="5"/>
  <c r="AO450" i="5"/>
  <c r="AN450" i="5"/>
  <c r="AO193" i="5"/>
  <c r="AN193" i="5"/>
  <c r="AN275" i="5"/>
  <c r="AO275" i="5"/>
  <c r="AN160" i="5"/>
  <c r="AO160" i="5"/>
  <c r="AO353" i="5"/>
  <c r="AN353" i="5"/>
  <c r="AN178" i="5"/>
  <c r="AO178" i="5"/>
  <c r="AO454" i="5"/>
  <c r="AN454" i="5"/>
  <c r="AO432" i="5"/>
  <c r="AN432" i="5"/>
  <c r="AN153" i="5"/>
  <c r="AO153" i="5"/>
  <c r="AO225" i="5"/>
  <c r="AN225" i="5"/>
  <c r="AN189" i="5"/>
  <c r="AO189" i="5"/>
  <c r="AO535" i="5"/>
  <c r="AN535" i="5"/>
  <c r="AN438" i="5"/>
  <c r="AO438" i="5"/>
  <c r="AO358" i="5"/>
  <c r="AN358" i="5"/>
  <c r="AO515" i="5"/>
  <c r="AN515" i="5"/>
  <c r="AN413" i="5"/>
  <c r="AO413" i="5"/>
  <c r="AO244" i="5"/>
  <c r="AN244" i="5"/>
  <c r="AN196" i="5"/>
  <c r="AO196" i="5"/>
  <c r="AN170" i="5"/>
  <c r="AO170" i="5"/>
  <c r="AO108" i="5"/>
  <c r="AN108" i="5"/>
  <c r="AO144" i="5"/>
  <c r="AN144" i="5"/>
  <c r="AO325" i="5"/>
  <c r="AN325" i="5"/>
  <c r="AO536" i="5"/>
  <c r="AN536" i="5"/>
  <c r="AN107" i="5"/>
  <c r="AO107" i="5"/>
  <c r="AO383" i="5"/>
  <c r="AN383" i="5"/>
  <c r="AO387" i="5"/>
  <c r="AN387" i="5"/>
  <c r="AN327" i="5"/>
  <c r="AO327" i="5"/>
  <c r="AN105" i="5"/>
  <c r="AO105" i="5"/>
  <c r="AO26" i="5"/>
  <c r="AN26" i="5"/>
  <c r="AN517" i="5"/>
  <c r="AO517" i="5"/>
  <c r="AO236" i="5"/>
  <c r="AN236" i="5"/>
  <c r="AO548" i="5"/>
  <c r="AN548" i="5"/>
  <c r="AN81" i="5"/>
  <c r="AO81" i="5"/>
  <c r="AN39" i="5"/>
  <c r="AO39" i="5"/>
  <c r="AO243" i="5"/>
  <c r="AN243" i="5"/>
  <c r="AO287" i="5"/>
  <c r="AN287" i="5"/>
  <c r="AN348" i="5"/>
  <c r="AO348" i="5"/>
  <c r="AO194" i="5"/>
  <c r="AN194" i="5"/>
  <c r="AO459" i="5"/>
  <c r="AN459" i="5"/>
  <c r="AO337" i="5"/>
  <c r="AN337" i="5"/>
  <c r="AO366" i="5"/>
  <c r="AN366" i="5"/>
  <c r="AN354" i="5"/>
  <c r="AO354" i="5"/>
  <c r="AO426" i="5"/>
  <c r="AN426" i="5"/>
  <c r="AO82" i="5"/>
  <c r="AN82" i="5"/>
  <c r="AO42" i="5"/>
  <c r="AN42" i="5"/>
  <c r="AO120" i="5"/>
  <c r="AN120" i="5"/>
  <c r="AN230" i="5"/>
  <c r="AO230" i="5"/>
  <c r="AO469" i="5"/>
  <c r="AN469" i="5"/>
  <c r="AO309" i="5"/>
  <c r="AN309" i="5"/>
  <c r="AO292" i="5"/>
  <c r="AN292" i="5"/>
  <c r="AN382" i="5"/>
  <c r="AO382" i="5"/>
  <c r="AO27" i="5"/>
  <c r="AN27" i="5"/>
  <c r="AO163" i="5"/>
  <c r="AN163" i="5"/>
  <c r="AO389" i="5"/>
  <c r="AN389" i="5"/>
  <c r="AN356" i="5"/>
  <c r="AO356" i="5"/>
  <c r="AN115" i="5"/>
  <c r="AO115" i="5"/>
  <c r="AN559" i="5"/>
  <c r="AO559" i="5"/>
  <c r="AN229" i="5"/>
  <c r="AO229" i="5"/>
  <c r="AO461" i="5"/>
  <c r="AN461" i="5"/>
  <c r="AN45" i="5"/>
  <c r="AO45" i="5"/>
  <c r="AN113" i="5"/>
  <c r="AO113" i="5"/>
  <c r="AO403" i="5"/>
  <c r="AN403" i="5"/>
  <c r="AN496" i="5"/>
  <c r="AO496" i="5"/>
  <c r="AO399" i="5"/>
  <c r="AN399" i="5"/>
  <c r="AO234" i="5"/>
  <c r="AN234" i="5"/>
  <c r="AO472" i="5"/>
  <c r="AN472" i="5"/>
  <c r="AN44" i="5"/>
  <c r="AO44" i="5"/>
  <c r="AN367" i="5"/>
  <c r="AO367" i="5"/>
  <c r="AN506" i="5"/>
  <c r="AO506" i="5"/>
  <c r="AN208" i="5"/>
  <c r="AO208" i="5"/>
  <c r="AN465" i="5"/>
  <c r="AO465" i="5"/>
  <c r="AO511" i="5"/>
  <c r="AN511" i="5"/>
  <c r="AO256" i="5"/>
  <c r="AN256" i="5"/>
  <c r="AN197" i="5"/>
  <c r="AO197" i="5"/>
  <c r="AO122" i="5"/>
  <c r="AN122" i="5"/>
  <c r="AN436" i="5"/>
  <c r="AO436" i="5"/>
  <c r="AO167" i="5"/>
  <c r="AN167" i="5"/>
  <c r="AN76" i="5"/>
  <c r="AO76" i="5"/>
  <c r="AO341" i="5"/>
  <c r="AN341" i="5"/>
  <c r="AN86" i="5"/>
  <c r="AO86" i="5"/>
  <c r="AO210" i="5"/>
  <c r="AN210" i="5"/>
  <c r="AN305" i="5"/>
  <c r="AO305" i="5"/>
  <c r="AO57" i="5"/>
  <c r="AN57" i="5"/>
  <c r="AN83" i="5"/>
  <c r="AO83" i="5"/>
  <c r="AO268" i="5"/>
  <c r="AN268" i="5"/>
  <c r="AO117" i="5"/>
  <c r="AN117" i="5"/>
  <c r="AN156" i="5"/>
  <c r="AO156" i="5"/>
  <c r="AN285" i="5"/>
  <c r="AO285" i="5"/>
  <c r="AN414" i="5"/>
  <c r="AO414" i="5"/>
  <c r="AO518" i="5"/>
  <c r="AN518" i="5"/>
  <c r="AN74" i="5"/>
  <c r="AO74" i="5"/>
  <c r="AN443" i="5"/>
  <c r="AO443" i="5"/>
  <c r="AN242" i="5"/>
  <c r="AO242" i="5"/>
  <c r="AO507" i="5"/>
  <c r="AN507" i="5"/>
  <c r="AO71" i="5"/>
  <c r="AN71" i="5"/>
  <c r="AN282" i="5"/>
  <c r="AO282" i="5"/>
  <c r="AO201" i="5"/>
  <c r="AN201" i="5"/>
  <c r="AN445" i="5"/>
  <c r="AO445" i="5"/>
  <c r="AN277" i="5"/>
  <c r="AO277" i="5"/>
  <c r="AN133" i="5"/>
  <c r="AO133" i="5"/>
  <c r="AO31" i="5"/>
  <c r="AN31" i="5"/>
  <c r="AO171" i="5"/>
  <c r="AN171" i="5"/>
  <c r="AN48" i="5"/>
  <c r="AO48" i="5"/>
  <c r="AN539" i="5"/>
  <c r="AO539" i="5"/>
  <c r="AO224" i="5"/>
  <c r="AN224" i="5"/>
  <c r="AN124" i="5"/>
  <c r="AO124" i="5"/>
  <c r="AN374" i="5"/>
  <c r="AO374" i="5"/>
  <c r="AO380" i="5"/>
  <c r="AN380" i="5"/>
  <c r="AO182" i="5"/>
  <c r="AN182" i="5"/>
  <c r="AN418" i="5"/>
  <c r="AO418" i="5"/>
  <c r="AN226" i="5"/>
  <c r="AO226" i="5"/>
  <c r="AO376" i="5"/>
  <c r="AN376" i="5"/>
  <c r="AN288" i="5"/>
  <c r="AO288" i="5"/>
  <c r="AN546" i="5"/>
  <c r="AO546" i="5"/>
  <c r="AN322" i="5"/>
  <c r="AO322" i="5"/>
  <c r="AN429" i="5"/>
  <c r="AO429" i="5"/>
  <c r="AN139" i="5"/>
  <c r="AO139" i="5"/>
  <c r="AN373" i="5"/>
  <c r="AO373" i="5"/>
  <c r="AO467" i="5"/>
  <c r="AN467" i="5"/>
  <c r="AO430" i="5"/>
  <c r="AN430" i="5"/>
  <c r="AH216" i="5"/>
  <c r="AI216" i="5"/>
  <c r="AH424" i="5"/>
  <c r="AI424" i="5"/>
  <c r="AH51" i="5"/>
  <c r="AI51" i="5"/>
  <c r="AH286" i="5"/>
  <c r="AI286" i="5"/>
  <c r="AI417" i="5"/>
  <c r="AH417" i="5"/>
  <c r="AI421" i="5"/>
  <c r="AH421" i="5"/>
  <c r="AH414" i="5"/>
  <c r="AI414" i="5"/>
  <c r="AH550" i="5"/>
  <c r="AI550" i="5"/>
  <c r="AI464" i="5"/>
  <c r="AH464" i="5"/>
  <c r="AH406" i="5"/>
  <c r="AI406" i="5"/>
  <c r="AH198" i="5"/>
  <c r="AI198" i="5"/>
  <c r="AI31" i="5"/>
  <c r="AH31" i="5"/>
  <c r="AH74" i="5"/>
  <c r="AI74" i="5"/>
  <c r="AI549" i="5"/>
  <c r="AH549" i="5"/>
  <c r="AI385" i="5"/>
  <c r="AH385" i="5"/>
  <c r="AI23" i="5"/>
  <c r="AH23" i="5"/>
  <c r="AI265" i="5"/>
  <c r="AH265" i="5"/>
  <c r="AH296" i="5"/>
  <c r="AI296" i="5"/>
  <c r="AH548" i="5"/>
  <c r="AI548" i="5"/>
  <c r="AH358" i="5"/>
  <c r="AI358" i="5"/>
  <c r="AH212" i="5"/>
  <c r="AI212" i="5"/>
  <c r="AI103" i="5"/>
  <c r="AH103" i="5"/>
  <c r="AH268" i="5"/>
  <c r="AI268" i="5"/>
  <c r="AH152" i="5"/>
  <c r="AI152" i="5"/>
  <c r="AH518" i="5"/>
  <c r="AI518" i="5"/>
  <c r="AI178" i="5"/>
  <c r="AH178" i="5"/>
  <c r="AH78" i="5"/>
  <c r="AI78" i="5"/>
  <c r="AI291" i="5"/>
  <c r="AH291" i="5"/>
  <c r="AH389" i="5"/>
  <c r="AI389" i="5"/>
  <c r="AH69" i="5"/>
  <c r="AI69" i="5"/>
  <c r="AH283" i="5"/>
  <c r="AI283" i="5"/>
  <c r="AI50" i="5"/>
  <c r="AH50" i="5"/>
  <c r="AI174" i="5"/>
  <c r="AH174" i="5"/>
  <c r="AH146" i="5"/>
  <c r="AI146" i="5"/>
  <c r="AI499" i="5"/>
  <c r="AH499" i="5"/>
  <c r="AI382" i="5"/>
  <c r="AH382" i="5"/>
  <c r="AI63" i="5"/>
  <c r="AH63" i="5"/>
  <c r="AH319" i="5"/>
  <c r="AI319" i="5"/>
  <c r="AI59" i="5"/>
  <c r="AH59" i="5"/>
  <c r="AH10" i="5"/>
  <c r="AI10" i="5"/>
  <c r="AI253" i="5"/>
  <c r="AH253" i="5"/>
  <c r="AI317" i="5"/>
  <c r="AH317" i="5"/>
  <c r="AI462" i="5"/>
  <c r="AH462" i="5"/>
  <c r="AI425" i="5"/>
  <c r="AH425" i="5"/>
  <c r="AI87" i="5"/>
  <c r="AH87" i="5"/>
  <c r="AI447" i="5"/>
  <c r="AH447" i="5"/>
  <c r="AI21" i="5"/>
  <c r="AH21" i="5"/>
  <c r="AH493" i="5"/>
  <c r="AI493" i="5"/>
  <c r="AH519" i="5"/>
  <c r="AI519" i="5"/>
  <c r="AI43" i="5"/>
  <c r="AH43" i="5"/>
  <c r="AH36" i="5"/>
  <c r="AI36" i="5"/>
  <c r="AI239" i="5"/>
  <c r="AH239" i="5"/>
  <c r="AI233" i="5"/>
  <c r="AH233" i="5"/>
  <c r="AH405" i="5"/>
  <c r="AI405" i="5"/>
  <c r="AH48" i="5"/>
  <c r="AI48" i="5"/>
  <c r="AH136" i="5"/>
  <c r="AI136" i="5"/>
  <c r="AH208" i="5"/>
  <c r="AI208" i="5"/>
  <c r="AH82" i="5"/>
  <c r="AI82" i="5"/>
  <c r="AH354" i="5"/>
  <c r="AI354" i="5"/>
  <c r="AH259" i="5"/>
  <c r="AI259" i="5"/>
  <c r="AH34" i="5"/>
  <c r="AI34" i="5"/>
  <c r="AH292" i="5"/>
  <c r="AI292" i="5"/>
  <c r="AH439" i="5"/>
  <c r="AI439" i="5"/>
  <c r="AH189" i="5"/>
  <c r="AI189" i="5"/>
  <c r="AI560" i="5"/>
  <c r="AH560" i="5"/>
  <c r="AI230" i="5"/>
  <c r="AH230" i="5"/>
  <c r="AH121" i="5"/>
  <c r="AI121" i="5"/>
  <c r="AH541" i="5"/>
  <c r="AI541" i="5"/>
  <c r="AI408" i="5"/>
  <c r="AH408" i="5"/>
  <c r="AH330" i="5"/>
  <c r="AI330" i="5"/>
  <c r="AH41" i="5"/>
  <c r="AI41" i="5"/>
  <c r="AI391" i="5"/>
  <c r="AH391" i="5"/>
  <c r="AH244" i="5"/>
  <c r="AI244" i="5"/>
  <c r="AI166" i="5"/>
  <c r="AH166" i="5"/>
  <c r="AI282" i="5"/>
  <c r="AH282" i="5"/>
  <c r="AI100" i="5"/>
  <c r="AH100" i="5"/>
  <c r="AI221" i="5"/>
  <c r="AH221" i="5"/>
  <c r="AH433" i="5"/>
  <c r="AI433" i="5"/>
  <c r="AI273" i="5"/>
  <c r="AH273" i="5"/>
  <c r="AH278" i="5"/>
  <c r="AI278" i="5"/>
  <c r="AI177" i="5"/>
  <c r="AH177" i="5"/>
  <c r="AI285" i="5"/>
  <c r="AH285" i="5"/>
  <c r="AI465" i="5"/>
  <c r="AH465" i="5"/>
  <c r="AH306" i="5"/>
  <c r="AI306" i="5"/>
  <c r="AI372" i="5"/>
  <c r="AH372" i="5"/>
  <c r="AI399" i="5"/>
  <c r="AH399" i="5"/>
  <c r="AH318" i="5"/>
  <c r="AI318" i="5"/>
  <c r="AH106" i="5"/>
  <c r="AI106" i="5"/>
  <c r="AH478" i="5"/>
  <c r="AI478" i="5"/>
  <c r="AH466" i="5"/>
  <c r="AI466" i="5"/>
  <c r="AH434" i="5"/>
  <c r="AI434" i="5"/>
  <c r="AH556" i="5"/>
  <c r="AI556" i="5"/>
  <c r="AI394" i="5"/>
  <c r="AH394" i="5"/>
  <c r="AI235" i="5"/>
  <c r="AH235" i="5"/>
  <c r="AH445" i="5"/>
  <c r="AI445" i="5"/>
  <c r="AH476" i="5"/>
  <c r="AI476" i="5"/>
  <c r="AI80" i="5"/>
  <c r="AH80" i="5"/>
  <c r="AH498" i="5"/>
  <c r="AI498" i="5"/>
  <c r="AI105" i="5"/>
  <c r="AH105" i="5"/>
  <c r="AI241" i="5"/>
  <c r="AH241" i="5"/>
  <c r="AI131" i="5"/>
  <c r="AH131" i="5"/>
  <c r="AI42" i="5"/>
  <c r="AH42" i="5"/>
  <c r="AI412" i="5"/>
  <c r="AH412" i="5"/>
  <c r="AI303" i="5"/>
  <c r="AH303" i="5"/>
  <c r="AI453" i="5"/>
  <c r="AH453" i="5"/>
  <c r="AI365" i="5"/>
  <c r="AH365" i="5"/>
  <c r="AH336" i="5"/>
  <c r="AI336" i="5"/>
  <c r="AI437" i="5"/>
  <c r="AH437" i="5"/>
  <c r="AH224" i="5"/>
  <c r="AI224" i="5"/>
  <c r="AH187" i="5"/>
  <c r="AI187" i="5"/>
  <c r="AH361" i="5"/>
  <c r="AI361" i="5"/>
  <c r="AI290" i="5"/>
  <c r="AH290" i="5"/>
  <c r="AI467" i="5"/>
  <c r="AH467" i="5"/>
  <c r="AH504" i="5"/>
  <c r="AI504" i="5"/>
  <c r="AH521" i="5"/>
  <c r="AI521" i="5"/>
  <c r="AI344" i="5"/>
  <c r="AH344" i="5"/>
  <c r="AH407" i="5"/>
  <c r="AI407" i="5"/>
  <c r="AH506" i="5"/>
  <c r="AI506" i="5"/>
  <c r="AH331" i="5"/>
  <c r="AI331" i="5"/>
  <c r="AH81" i="5"/>
  <c r="AI81" i="5"/>
  <c r="AH510" i="5"/>
  <c r="AI510" i="5"/>
  <c r="AH364" i="5"/>
  <c r="AI364" i="5"/>
  <c r="AI269" i="5"/>
  <c r="AH269" i="5"/>
  <c r="AH143" i="5"/>
  <c r="AI143" i="5"/>
  <c r="AI355" i="5"/>
  <c r="AH355" i="5"/>
  <c r="AH66" i="5"/>
  <c r="AI66" i="5"/>
  <c r="AI378" i="5"/>
  <c r="AH378" i="5"/>
  <c r="AH321" i="5"/>
  <c r="AI321" i="5"/>
  <c r="AI483" i="5"/>
  <c r="AH483" i="5"/>
  <c r="AH274" i="5"/>
  <c r="AI274" i="5"/>
  <c r="AI213" i="5"/>
  <c r="AH213" i="5"/>
  <c r="AI298" i="5"/>
  <c r="AH298" i="5"/>
  <c r="AI192" i="5"/>
  <c r="AH192" i="5"/>
  <c r="AH164" i="5"/>
  <c r="AI164" i="5"/>
  <c r="AI158" i="5"/>
  <c r="AH158" i="5"/>
  <c r="AH367" i="5"/>
  <c r="AI367" i="5"/>
  <c r="AI393" i="5"/>
  <c r="AH393" i="5"/>
  <c r="AE101" i="4"/>
  <c r="AH101" i="4"/>
  <c r="AH7" i="4"/>
  <c r="AE7" i="4"/>
  <c r="Z7" i="4"/>
  <c r="X7" i="4" s="1"/>
  <c r="AJ7" i="4" s="1"/>
  <c r="AO9" i="5"/>
  <c r="AN9" i="5"/>
  <c r="AA9" i="5"/>
  <c r="AB9" i="5"/>
  <c r="U9" i="5"/>
  <c r="V9" i="5"/>
  <c r="AO78" i="5"/>
  <c r="AN78" i="5"/>
  <c r="AO551" i="5"/>
  <c r="AN551" i="5"/>
  <c r="AN251" i="5"/>
  <c r="AO251" i="5"/>
  <c r="AN104" i="5"/>
  <c r="AO104" i="5"/>
  <c r="AN355" i="5"/>
  <c r="AO355" i="5"/>
  <c r="AO162" i="5"/>
  <c r="AN162" i="5"/>
  <c r="AO200" i="5"/>
  <c r="AN200" i="5"/>
  <c r="AN30" i="5"/>
  <c r="AO30" i="5"/>
  <c r="AO62" i="5"/>
  <c r="AN62" i="5"/>
  <c r="AO41" i="5"/>
  <c r="AN41" i="5"/>
  <c r="AO452" i="5"/>
  <c r="AN452" i="5"/>
  <c r="AO265" i="5"/>
  <c r="AN265" i="5"/>
  <c r="AN143" i="5"/>
  <c r="AO143" i="5"/>
  <c r="AO72" i="5"/>
  <c r="AN72" i="5"/>
  <c r="AO164" i="5"/>
  <c r="AN164" i="5"/>
  <c r="AO152" i="5"/>
  <c r="AN152" i="5"/>
  <c r="AO312" i="5"/>
  <c r="AN312" i="5"/>
  <c r="AO448" i="5"/>
  <c r="AN448" i="5"/>
  <c r="AN479" i="5"/>
  <c r="AO479" i="5"/>
  <c r="AN276" i="5"/>
  <c r="AO276" i="5"/>
  <c r="AN425" i="5"/>
  <c r="AO425" i="5"/>
  <c r="AO313" i="5"/>
  <c r="AN313" i="5"/>
  <c r="AO195" i="5"/>
  <c r="AN195" i="5"/>
  <c r="AO69" i="5"/>
  <c r="AN69" i="5"/>
  <c r="AN281" i="5"/>
  <c r="AO281" i="5"/>
  <c r="AO326" i="5"/>
  <c r="AN326" i="5"/>
  <c r="AN301" i="5"/>
  <c r="AO301" i="5"/>
  <c r="AO98" i="5"/>
  <c r="AN98" i="5"/>
  <c r="AN311" i="5"/>
  <c r="AO311" i="5"/>
  <c r="AN547" i="5"/>
  <c r="AO547" i="5"/>
  <c r="AO402" i="5"/>
  <c r="AN402" i="5"/>
  <c r="AN334" i="5"/>
  <c r="AO334" i="5"/>
  <c r="AN318" i="5"/>
  <c r="AO318" i="5"/>
  <c r="AO290" i="5"/>
  <c r="AN290" i="5"/>
  <c r="AN552" i="5"/>
  <c r="AO552" i="5"/>
  <c r="AO249" i="5"/>
  <c r="AN249" i="5"/>
  <c r="AO530" i="5"/>
  <c r="AN530" i="5"/>
  <c r="AO362" i="5"/>
  <c r="AN362" i="5"/>
  <c r="AN439" i="5"/>
  <c r="AO439" i="5"/>
  <c r="AO36" i="5"/>
  <c r="AN36" i="5"/>
  <c r="AN169" i="5"/>
  <c r="AO169" i="5"/>
  <c r="AN145" i="5"/>
  <c r="AO145" i="5"/>
  <c r="AN556" i="5"/>
  <c r="AO556" i="5"/>
  <c r="AN264" i="5"/>
  <c r="AO264" i="5"/>
  <c r="AO297" i="5"/>
  <c r="AN297" i="5"/>
  <c r="AO85" i="5"/>
  <c r="AN85" i="5"/>
  <c r="AO456" i="5"/>
  <c r="AN456" i="5"/>
  <c r="AO434" i="5"/>
  <c r="AN434" i="5"/>
  <c r="AO342" i="5"/>
  <c r="AN342" i="5"/>
  <c r="AO437" i="5"/>
  <c r="AN437" i="5"/>
  <c r="AO110" i="5"/>
  <c r="AN110" i="5"/>
  <c r="AO369" i="5"/>
  <c r="AN369" i="5"/>
  <c r="AO299" i="5"/>
  <c r="AN299" i="5"/>
  <c r="AO228" i="5"/>
  <c r="AN228" i="5"/>
  <c r="AO324" i="5"/>
  <c r="AN324" i="5"/>
  <c r="AN32" i="5"/>
  <c r="AO32" i="5"/>
  <c r="AO155" i="5"/>
  <c r="AN155" i="5"/>
  <c r="AN116" i="5"/>
  <c r="AO116" i="5"/>
  <c r="AN125" i="5"/>
  <c r="AO125" i="5"/>
  <c r="AO56" i="5"/>
  <c r="AN56" i="5"/>
  <c r="AN146" i="5"/>
  <c r="AO146" i="5"/>
  <c r="AN136" i="5"/>
  <c r="AO136" i="5"/>
  <c r="AN179" i="5"/>
  <c r="AO179" i="5"/>
  <c r="AO340" i="5"/>
  <c r="AN340" i="5"/>
  <c r="AN66" i="5"/>
  <c r="AO66" i="5"/>
  <c r="AN455" i="5"/>
  <c r="AO455" i="5"/>
  <c r="AN283" i="5"/>
  <c r="AO283" i="5"/>
  <c r="AO320" i="5"/>
  <c r="AN320" i="5"/>
  <c r="AN343" i="5"/>
  <c r="AO343" i="5"/>
  <c r="AN335" i="5"/>
  <c r="AO335" i="5"/>
  <c r="AN90" i="5"/>
  <c r="AO90" i="5"/>
  <c r="AO510" i="5"/>
  <c r="AN510" i="5"/>
  <c r="AO158" i="5"/>
  <c r="AN158" i="5"/>
  <c r="AN352" i="5"/>
  <c r="AO352" i="5"/>
  <c r="AN554" i="5"/>
  <c r="AO554" i="5"/>
  <c r="AN338" i="5"/>
  <c r="AO338" i="5"/>
  <c r="AO475" i="5"/>
  <c r="AN475" i="5"/>
  <c r="AO247" i="5"/>
  <c r="AN247" i="5"/>
  <c r="AO505" i="5"/>
  <c r="AN505" i="5"/>
  <c r="AO203" i="5"/>
  <c r="AN203" i="5"/>
  <c r="AN460" i="5"/>
  <c r="AO460" i="5"/>
  <c r="AO384" i="5"/>
  <c r="AN384" i="5"/>
  <c r="AN468" i="5"/>
  <c r="AO468" i="5"/>
  <c r="AO492" i="5"/>
  <c r="AN492" i="5"/>
  <c r="AN470" i="5"/>
  <c r="AO470" i="5"/>
  <c r="AN300" i="5"/>
  <c r="AO300" i="5"/>
  <c r="AN532" i="5"/>
  <c r="AO532" i="5"/>
  <c r="AN498" i="5"/>
  <c r="AO498" i="5"/>
  <c r="AN527" i="5"/>
  <c r="AO527" i="5"/>
  <c r="AN360" i="5"/>
  <c r="AO360" i="5"/>
  <c r="AO185" i="5"/>
  <c r="AN185" i="5"/>
  <c r="AO180" i="5"/>
  <c r="AN180" i="5"/>
  <c r="AO422" i="5"/>
  <c r="AN422" i="5"/>
  <c r="AN103" i="5"/>
  <c r="AO103" i="5"/>
  <c r="AO331" i="5"/>
  <c r="AN331" i="5"/>
  <c r="AO93" i="5"/>
  <c r="AN93" i="5"/>
  <c r="AN199" i="5"/>
  <c r="AO199" i="5"/>
  <c r="AN407" i="5"/>
  <c r="AO407" i="5"/>
  <c r="AO435" i="5"/>
  <c r="AN435" i="5"/>
  <c r="AN24" i="5"/>
  <c r="AO24" i="5"/>
  <c r="AN520" i="5"/>
  <c r="AO520" i="5"/>
  <c r="AN218" i="5"/>
  <c r="AO218" i="5"/>
  <c r="AN323" i="5"/>
  <c r="AO323" i="5"/>
  <c r="AN388" i="5"/>
  <c r="AO388" i="5"/>
  <c r="AO392" i="5"/>
  <c r="AN392" i="5"/>
  <c r="AN168" i="5"/>
  <c r="AO168" i="5"/>
  <c r="AO549" i="5"/>
  <c r="AN549" i="5"/>
  <c r="AO466" i="5"/>
  <c r="AN466" i="5"/>
  <c r="AO205" i="5"/>
  <c r="AN205" i="5"/>
  <c r="AO501" i="5"/>
  <c r="AN501" i="5"/>
  <c r="AN70" i="5"/>
  <c r="AO70" i="5"/>
  <c r="AO126" i="5"/>
  <c r="AN126" i="5"/>
  <c r="AN296" i="5"/>
  <c r="AO296" i="5"/>
  <c r="AN381" i="5"/>
  <c r="AO381" i="5"/>
  <c r="AO315" i="5"/>
  <c r="AN315" i="5"/>
  <c r="AO191" i="5"/>
  <c r="AN191" i="5"/>
  <c r="AN96" i="5"/>
  <c r="AO96" i="5"/>
  <c r="AO147" i="5"/>
  <c r="AN147" i="5"/>
  <c r="AN204" i="5"/>
  <c r="AO204" i="5"/>
  <c r="AN142" i="5"/>
  <c r="AO142" i="5"/>
  <c r="AN269" i="5"/>
  <c r="AO269" i="5"/>
  <c r="AO487" i="5"/>
  <c r="AN487" i="5"/>
  <c r="AN350" i="5"/>
  <c r="AO350" i="5"/>
  <c r="AO405" i="5"/>
  <c r="AN405" i="5"/>
  <c r="AN278" i="5"/>
  <c r="AO278" i="5"/>
  <c r="AO51" i="5"/>
  <c r="AN51" i="5"/>
  <c r="AO364" i="5"/>
  <c r="AN364" i="5"/>
  <c r="AN307" i="5"/>
  <c r="AO307" i="5"/>
  <c r="AN321" i="5"/>
  <c r="AO321" i="5"/>
  <c r="AO298" i="5"/>
  <c r="AN298" i="5"/>
  <c r="AO221" i="5"/>
  <c r="AN221" i="5"/>
  <c r="AO212" i="5"/>
  <c r="AN212" i="5"/>
  <c r="AN40" i="5"/>
  <c r="AO40" i="5"/>
  <c r="AO235" i="5"/>
  <c r="AN235" i="5"/>
  <c r="AN280" i="5"/>
  <c r="AO280" i="5"/>
  <c r="AN232" i="5"/>
  <c r="AO232" i="5"/>
  <c r="AH218" i="5"/>
  <c r="AI218" i="5"/>
  <c r="AI343" i="5"/>
  <c r="AH343" i="5"/>
  <c r="AI299" i="5"/>
  <c r="AH299" i="5"/>
  <c r="AH398" i="5"/>
  <c r="AI398" i="5"/>
  <c r="AI423" i="5"/>
  <c r="AH423" i="5"/>
  <c r="AI480" i="5"/>
  <c r="AH480" i="5"/>
  <c r="AI288" i="5"/>
  <c r="AH288" i="5"/>
  <c r="AI326" i="5"/>
  <c r="AH326" i="5"/>
  <c r="AH376" i="5"/>
  <c r="AI376" i="5"/>
  <c r="AI551" i="5"/>
  <c r="AH551" i="5"/>
  <c r="AI454" i="5"/>
  <c r="AH454" i="5"/>
  <c r="AI479" i="5"/>
  <c r="AH479" i="5"/>
  <c r="AH83" i="5"/>
  <c r="AI83" i="5"/>
  <c r="AH210" i="5"/>
  <c r="AI210" i="5"/>
  <c r="AI297" i="5"/>
  <c r="AH297" i="5"/>
  <c r="AI217" i="5"/>
  <c r="AH217" i="5"/>
  <c r="AH38" i="5"/>
  <c r="AI38" i="5"/>
  <c r="AI127" i="5"/>
  <c r="AH127" i="5"/>
  <c r="AI522" i="5"/>
  <c r="AH522" i="5"/>
  <c r="AI234" i="5"/>
  <c r="AH234" i="5"/>
  <c r="AI488" i="5"/>
  <c r="AH488" i="5"/>
  <c r="AI323" i="5"/>
  <c r="AH323" i="5"/>
  <c r="AH118" i="5"/>
  <c r="AI118" i="5"/>
  <c r="AH153" i="5"/>
  <c r="AI153" i="5"/>
  <c r="AI539" i="5"/>
  <c r="AH539" i="5"/>
  <c r="AI200" i="5"/>
  <c r="AH200" i="5"/>
  <c r="AI167" i="5"/>
  <c r="AH167" i="5"/>
  <c r="AI222" i="5"/>
  <c r="AH222" i="5"/>
  <c r="AI333" i="5"/>
  <c r="AH333" i="5"/>
  <c r="AI156" i="5"/>
  <c r="AH156" i="5"/>
  <c r="AH231" i="5"/>
  <c r="AI231" i="5"/>
  <c r="AH473" i="5"/>
  <c r="AI473" i="5"/>
  <c r="AI443" i="5"/>
  <c r="AH443" i="5"/>
  <c r="AI313" i="5"/>
  <c r="AH313" i="5"/>
  <c r="AH312" i="5"/>
  <c r="AI312" i="5"/>
  <c r="AI151" i="5"/>
  <c r="AH151" i="5"/>
  <c r="AH419" i="5"/>
  <c r="AI419" i="5"/>
  <c r="AH175" i="5"/>
  <c r="AI175" i="5"/>
  <c r="AH209" i="5"/>
  <c r="AI209" i="5"/>
  <c r="AH141" i="5"/>
  <c r="AI141" i="5"/>
  <c r="AI486" i="5"/>
  <c r="AH486" i="5"/>
  <c r="AH128" i="5"/>
  <c r="AI128" i="5"/>
  <c r="AH557" i="5"/>
  <c r="AI557" i="5"/>
  <c r="AI359" i="5"/>
  <c r="AH359" i="5"/>
  <c r="AH520" i="5"/>
  <c r="AI520" i="5"/>
  <c r="AI240" i="5"/>
  <c r="AH240" i="5"/>
  <c r="AI435" i="5"/>
  <c r="AH435" i="5"/>
  <c r="AI490" i="5"/>
  <c r="AH490" i="5"/>
  <c r="AH469" i="5"/>
  <c r="AI469" i="5"/>
  <c r="AI432" i="5"/>
  <c r="AH432" i="5"/>
  <c r="AI92" i="5"/>
  <c r="AH92" i="5"/>
  <c r="AH67" i="5"/>
  <c r="AI67" i="5"/>
  <c r="AH58" i="5"/>
  <c r="AI58" i="5"/>
  <c r="AH257" i="5"/>
  <c r="AI257" i="5"/>
  <c r="AI62" i="5"/>
  <c r="AH62" i="5"/>
  <c r="AI272" i="5"/>
  <c r="AH272" i="5"/>
  <c r="AI456" i="5"/>
  <c r="AH456" i="5"/>
  <c r="AI307" i="5"/>
  <c r="AH307" i="5"/>
  <c r="AH26" i="5"/>
  <c r="AI26" i="5"/>
  <c r="AI339" i="5"/>
  <c r="AH339" i="5"/>
  <c r="AI397" i="5"/>
  <c r="AH397" i="5"/>
  <c r="AI119" i="5"/>
  <c r="AH119" i="5"/>
  <c r="AI380" i="5"/>
  <c r="AH380" i="5"/>
  <c r="AI293" i="5"/>
  <c r="AH293" i="5"/>
  <c r="AH287" i="5"/>
  <c r="AI287" i="5"/>
  <c r="AI289" i="5"/>
  <c r="AH289" i="5"/>
  <c r="AH64" i="5"/>
  <c r="AI64" i="5"/>
  <c r="AH554" i="5"/>
  <c r="AI554" i="5"/>
  <c r="AH470" i="5"/>
  <c r="AI470" i="5"/>
  <c r="AH206" i="5"/>
  <c r="AI206" i="5"/>
  <c r="AI132" i="5"/>
  <c r="AH132" i="5"/>
  <c r="AI196" i="5"/>
  <c r="AH196" i="5"/>
  <c r="AH114" i="5"/>
  <c r="AI114" i="5"/>
  <c r="AH203" i="5"/>
  <c r="AI203" i="5"/>
  <c r="AI426" i="5"/>
  <c r="AH426" i="5"/>
  <c r="AH228" i="5"/>
  <c r="AI228" i="5"/>
  <c r="AI370" i="5"/>
  <c r="AH370" i="5"/>
  <c r="AH53" i="5"/>
  <c r="AI53" i="5"/>
  <c r="AI507" i="5"/>
  <c r="AH507" i="5"/>
  <c r="AI438" i="5"/>
  <c r="AH438" i="5"/>
  <c r="AI440" i="5"/>
  <c r="AH440" i="5"/>
  <c r="AI535" i="5"/>
  <c r="AH535" i="5"/>
  <c r="AI147" i="5"/>
  <c r="AH147" i="5"/>
  <c r="AI310" i="5"/>
  <c r="AH310" i="5"/>
  <c r="AH20" i="5"/>
  <c r="AI20" i="5"/>
  <c r="AH138" i="5"/>
  <c r="AI138" i="5"/>
  <c r="AH379" i="5"/>
  <c r="AI379" i="5"/>
  <c r="AI404" i="5"/>
  <c r="AH404" i="5"/>
  <c r="AH350" i="5"/>
  <c r="AI350" i="5"/>
  <c r="AH140" i="5"/>
  <c r="AI140" i="5"/>
  <c r="AI160" i="5"/>
  <c r="AH160" i="5"/>
  <c r="AH388" i="5"/>
  <c r="AI388" i="5"/>
  <c r="AH315" i="5"/>
  <c r="AI315" i="5"/>
  <c r="AH517" i="5"/>
  <c r="AI517" i="5"/>
  <c r="AI39" i="5"/>
  <c r="AH39" i="5"/>
  <c r="AH512" i="5"/>
  <c r="AI512" i="5"/>
  <c r="AH442" i="5"/>
  <c r="AI442" i="5"/>
  <c r="AI27" i="5"/>
  <c r="AH27" i="5"/>
  <c r="AH371" i="5"/>
  <c r="AI371" i="5"/>
  <c r="AI444" i="5"/>
  <c r="AH444" i="5"/>
  <c r="AH341" i="5"/>
  <c r="AI341" i="5"/>
  <c r="AH85" i="5"/>
  <c r="AI85" i="5"/>
  <c r="AI402" i="5"/>
  <c r="AH402" i="5"/>
  <c r="AI215" i="5"/>
  <c r="AH215" i="5"/>
  <c r="AI515" i="5"/>
  <c r="AH515" i="5"/>
  <c r="AI526" i="5"/>
  <c r="AH526" i="5"/>
  <c r="AH534" i="5"/>
  <c r="AI534" i="5"/>
  <c r="AH40" i="5"/>
  <c r="AI40" i="5"/>
  <c r="AI173" i="5"/>
  <c r="AH173" i="5"/>
  <c r="AH52" i="5"/>
  <c r="AI52" i="5"/>
  <c r="AI226" i="5"/>
  <c r="AH226" i="5"/>
  <c r="AH267" i="5"/>
  <c r="AI267" i="5"/>
  <c r="AI420" i="5"/>
  <c r="AH420" i="5"/>
  <c r="AH502" i="5"/>
  <c r="AI502" i="5"/>
  <c r="AI163" i="5"/>
  <c r="AH163" i="5"/>
  <c r="AI54" i="5"/>
  <c r="AH54" i="5"/>
  <c r="AI415" i="5"/>
  <c r="AH415" i="5"/>
  <c r="AH261" i="5"/>
  <c r="AI261" i="5"/>
  <c r="AI458" i="5"/>
  <c r="AH458" i="5"/>
  <c r="AI459" i="5"/>
  <c r="AH459" i="5"/>
  <c r="AH199" i="5"/>
  <c r="AI199" i="5"/>
  <c r="AH496" i="5"/>
  <c r="AI496" i="5"/>
  <c r="AH451" i="5"/>
  <c r="AI451" i="5"/>
  <c r="AI468" i="5"/>
  <c r="AH468" i="5"/>
  <c r="AH35" i="5"/>
  <c r="AI35" i="5"/>
  <c r="AH195" i="5"/>
  <c r="AI195" i="5"/>
  <c r="AI116" i="5"/>
  <c r="AH116" i="5"/>
  <c r="AI416" i="5"/>
  <c r="AH416" i="5"/>
  <c r="AH236" i="5"/>
  <c r="AI236" i="5"/>
  <c r="AH448" i="5"/>
  <c r="AI448" i="5"/>
  <c r="AI186" i="5"/>
  <c r="AH186" i="5"/>
  <c r="AI112" i="5"/>
  <c r="AH112" i="5"/>
  <c r="AI411" i="5"/>
  <c r="AH411" i="5"/>
  <c r="AH134" i="5"/>
  <c r="AI134" i="5"/>
  <c r="AI247" i="5"/>
  <c r="AH247" i="5"/>
  <c r="AI220" i="5"/>
  <c r="AH220" i="5"/>
  <c r="AI96" i="5"/>
  <c r="AH96" i="5"/>
  <c r="AH21" i="4"/>
  <c r="AE21" i="4"/>
  <c r="Z21" i="4"/>
  <c r="X21" i="4" s="1"/>
  <c r="AJ21" i="4" s="1"/>
  <c r="AH19" i="4"/>
  <c r="AE19" i="4"/>
  <c r="Z19" i="4"/>
  <c r="X19" i="4" s="1"/>
  <c r="AJ19" i="4" s="1"/>
  <c r="AJ111" i="4"/>
  <c r="AH111" i="4"/>
  <c r="AE111" i="4"/>
  <c r="AH13" i="4"/>
  <c r="Z13" i="4"/>
  <c r="X13" i="4" s="1"/>
  <c r="AJ13" i="4" s="1"/>
  <c r="AE13" i="4"/>
  <c r="AH92" i="4"/>
  <c r="AJ92" i="4"/>
  <c r="Z92" i="4"/>
  <c r="AE92" i="4"/>
  <c r="AH133" i="4"/>
  <c r="AJ133" i="4"/>
  <c r="AE133" i="4"/>
  <c r="AH38" i="4"/>
  <c r="AE38" i="4"/>
  <c r="Z38" i="4"/>
  <c r="AJ38" i="4"/>
  <c r="AA38" i="4"/>
  <c r="Z127" i="4"/>
  <c r="AE127" i="4"/>
  <c r="AH127" i="4"/>
  <c r="AA127" i="4"/>
  <c r="AE18" i="4"/>
  <c r="AH18" i="4"/>
  <c r="Z18" i="4"/>
  <c r="X18" i="4" s="1"/>
  <c r="AJ18" i="4" s="1"/>
  <c r="AE156" i="4"/>
  <c r="AJ156" i="4"/>
  <c r="AH156" i="4"/>
  <c r="AH77" i="4"/>
  <c r="AE77" i="4"/>
  <c r="AJ77" i="4"/>
  <c r="AH40" i="4"/>
  <c r="AE40" i="4"/>
  <c r="Z40" i="4"/>
  <c r="AJ40" i="4"/>
  <c r="AA40" i="4"/>
  <c r="AE22" i="4"/>
  <c r="AH22" i="4"/>
  <c r="Z22" i="4"/>
  <c r="X22" i="4" s="1"/>
  <c r="AJ22" i="4" s="1"/>
  <c r="AH125" i="4"/>
  <c r="AE125" i="4"/>
  <c r="AA125" i="4"/>
  <c r="AJ125" i="4"/>
  <c r="AE115" i="4"/>
  <c r="AH115" i="4"/>
  <c r="AA115" i="4"/>
  <c r="Z115" i="4"/>
  <c r="AJ134" i="4"/>
  <c r="AH134" i="4"/>
  <c r="AE134" i="4"/>
  <c r="AE11" i="4"/>
  <c r="AH11" i="4"/>
  <c r="Z11" i="4"/>
  <c r="X11" i="4" s="1"/>
  <c r="AJ11" i="4" s="1"/>
  <c r="AH154" i="4"/>
  <c r="AE154" i="4"/>
  <c r="Z154" i="4"/>
  <c r="AA154" i="4"/>
  <c r="AH143" i="4"/>
  <c r="AE143" i="4"/>
  <c r="AJ143" i="4"/>
  <c r="AA52" i="4"/>
  <c r="AJ52" i="4"/>
  <c r="AE52" i="4"/>
  <c r="AH52" i="4"/>
  <c r="Z52" i="4"/>
  <c r="AH17" i="4"/>
  <c r="Z17" i="4"/>
  <c r="X17" i="4" s="1"/>
  <c r="AA17" i="4" s="1"/>
  <c r="AE17" i="4"/>
  <c r="AH132" i="4"/>
  <c r="AJ132" i="4"/>
  <c r="Z132" i="4"/>
  <c r="AE132" i="4"/>
  <c r="AA132" i="4"/>
  <c r="AH86" i="4"/>
  <c r="Z86" i="4"/>
  <c r="AA86" i="4"/>
  <c r="AE86" i="4"/>
  <c r="AH90" i="4"/>
  <c r="AE90" i="4"/>
  <c r="AJ90" i="4"/>
  <c r="AH45" i="4"/>
  <c r="Z45" i="4"/>
  <c r="AA45" i="4"/>
  <c r="AE45" i="4"/>
  <c r="AH107" i="4"/>
  <c r="AA107" i="4"/>
  <c r="Z107" i="4"/>
  <c r="AE107" i="4"/>
  <c r="AR194" i="5"/>
  <c r="AQ194" i="5"/>
  <c r="BI194" i="5"/>
  <c r="AR133" i="5"/>
  <c r="AQ133" i="5"/>
  <c r="BI133" i="5"/>
  <c r="AQ32" i="5"/>
  <c r="BI32" i="5"/>
  <c r="AR32" i="5"/>
  <c r="AR62" i="5"/>
  <c r="AQ62" i="5"/>
  <c r="BI62" i="5"/>
  <c r="AQ265" i="5"/>
  <c r="AR265" i="5"/>
  <c r="BI265" i="5"/>
  <c r="AR93" i="5"/>
  <c r="AQ93" i="5"/>
  <c r="BI93" i="5"/>
  <c r="AR488" i="5"/>
  <c r="BI488" i="5"/>
  <c r="AQ488" i="5"/>
  <c r="AQ425" i="5"/>
  <c r="BI425" i="5"/>
  <c r="AR425" i="5"/>
  <c r="AQ550" i="5"/>
  <c r="BI550" i="5"/>
  <c r="AR550" i="5"/>
  <c r="AQ30" i="5"/>
  <c r="BI30" i="5"/>
  <c r="AR30" i="5"/>
  <c r="AQ118" i="5"/>
  <c r="BI118" i="5"/>
  <c r="AR118" i="5"/>
  <c r="AQ163" i="5"/>
  <c r="AR163" i="5"/>
  <c r="BI163" i="5"/>
  <c r="AQ465" i="5"/>
  <c r="AR465" i="5"/>
  <c r="BI465" i="5"/>
  <c r="AQ85" i="5"/>
  <c r="AR85" i="5"/>
  <c r="BI85" i="5"/>
  <c r="AR357" i="5"/>
  <c r="AQ357" i="5"/>
  <c r="BI357" i="5"/>
  <c r="AR544" i="5"/>
  <c r="AQ544" i="5"/>
  <c r="BI544" i="5"/>
  <c r="AQ532" i="5"/>
  <c r="AR532" i="5"/>
  <c r="BI532" i="5"/>
  <c r="AQ256" i="5"/>
  <c r="BI256" i="5"/>
  <c r="AR256" i="5"/>
  <c r="AP127" i="5"/>
  <c r="AR172" i="5"/>
  <c r="AQ172" i="5"/>
  <c r="BI172" i="5"/>
  <c r="AP500" i="5"/>
  <c r="AQ139" i="5"/>
  <c r="AR139" i="5"/>
  <c r="BI139" i="5"/>
  <c r="AR131" i="5"/>
  <c r="AQ131" i="5"/>
  <c r="BI131" i="5"/>
  <c r="AQ427" i="5"/>
  <c r="AR427" i="5"/>
  <c r="BI427" i="5"/>
  <c r="AR445" i="5"/>
  <c r="AQ445" i="5"/>
  <c r="BI445" i="5"/>
  <c r="BI460" i="5"/>
  <c r="AR460" i="5"/>
  <c r="AQ460" i="5"/>
  <c r="AR43" i="5"/>
  <c r="BI43" i="5"/>
  <c r="AQ43" i="5"/>
  <c r="AQ371" i="5"/>
  <c r="BI371" i="5"/>
  <c r="AR371" i="5"/>
  <c r="AR29" i="5"/>
  <c r="BI29" i="5"/>
  <c r="AQ29" i="5"/>
  <c r="BI250" i="5"/>
  <c r="AR250" i="5"/>
  <c r="AQ250" i="5"/>
  <c r="AR136" i="5"/>
  <c r="AQ136" i="5"/>
  <c r="BI136" i="5"/>
  <c r="AQ277" i="5"/>
  <c r="BI277" i="5"/>
  <c r="AR277" i="5"/>
  <c r="AP524" i="5"/>
  <c r="BI342" i="5"/>
  <c r="AR342" i="5"/>
  <c r="AQ342" i="5"/>
  <c r="AQ395" i="5"/>
  <c r="BI395" i="5"/>
  <c r="AR395" i="5"/>
  <c r="AJ61" i="4"/>
  <c r="AH61" i="4"/>
  <c r="AE61" i="4"/>
  <c r="AJ141" i="4"/>
  <c r="AE141" i="4"/>
  <c r="AH141" i="4"/>
  <c r="AE33" i="4"/>
  <c r="Z33" i="4"/>
  <c r="AH33" i="4"/>
  <c r="AA33" i="4"/>
  <c r="AJ33" i="4"/>
  <c r="AH44" i="4"/>
  <c r="AE44" i="4"/>
  <c r="AA44" i="4"/>
  <c r="Z44" i="4"/>
  <c r="AE30" i="4"/>
  <c r="AA30" i="4"/>
  <c r="AJ30" i="4"/>
  <c r="Z30" i="4"/>
  <c r="AH30" i="4"/>
  <c r="AH15" i="4"/>
  <c r="AE15" i="4"/>
  <c r="Z15" i="4"/>
  <c r="X15" i="4" s="1"/>
  <c r="AJ15" i="4" s="1"/>
  <c r="AH8" i="4"/>
  <c r="Z8" i="4"/>
  <c r="X8" i="4" s="1"/>
  <c r="AJ8" i="4" s="1"/>
  <c r="AE8" i="4"/>
  <c r="AA147" i="4"/>
  <c r="AE147" i="4"/>
  <c r="Z147" i="4"/>
  <c r="AH147" i="4"/>
  <c r="AH137" i="4"/>
  <c r="AJ137" i="4"/>
  <c r="AE137" i="4"/>
  <c r="AA28" i="4"/>
  <c r="AE28" i="4"/>
  <c r="Z28" i="4"/>
  <c r="AH28" i="4"/>
  <c r="AE151" i="4"/>
  <c r="Z151" i="4"/>
  <c r="AH151" i="4"/>
  <c r="AU9" i="5"/>
  <c r="AV9" i="5"/>
  <c r="BC9" i="5"/>
  <c r="BB9" i="5"/>
  <c r="BA9" i="5"/>
  <c r="X9" i="5"/>
  <c r="Y9" i="5"/>
  <c r="AN397" i="5"/>
  <c r="AO397" i="5"/>
  <c r="AN237" i="5"/>
  <c r="AO237" i="5"/>
  <c r="AO37" i="5"/>
  <c r="AN37" i="5"/>
  <c r="AN558" i="5"/>
  <c r="AO558" i="5"/>
  <c r="AN166" i="5"/>
  <c r="AO166" i="5"/>
  <c r="AN404" i="5"/>
  <c r="AO404" i="5"/>
  <c r="AN187" i="5"/>
  <c r="AO187" i="5"/>
  <c r="AN216" i="5"/>
  <c r="AO216" i="5"/>
  <c r="AO420" i="5"/>
  <c r="AN420" i="5"/>
  <c r="AN427" i="5"/>
  <c r="AO427" i="5"/>
  <c r="AO447" i="5"/>
  <c r="AN447" i="5"/>
  <c r="AO286" i="5"/>
  <c r="AN286" i="5"/>
  <c r="AN473" i="5"/>
  <c r="AO473" i="5"/>
  <c r="AO503" i="5"/>
  <c r="AN503" i="5"/>
  <c r="AN202" i="5"/>
  <c r="AO202" i="5"/>
  <c r="AN215" i="5"/>
  <c r="AO215" i="5"/>
  <c r="AN177" i="5"/>
  <c r="AO177" i="5"/>
  <c r="AN328" i="5"/>
  <c r="AO328" i="5"/>
  <c r="AN306" i="5"/>
  <c r="AO306" i="5"/>
  <c r="AN421" i="5"/>
  <c r="AO421" i="5"/>
  <c r="AO109" i="5"/>
  <c r="AN109" i="5"/>
  <c r="AN545" i="5"/>
  <c r="AO545" i="5"/>
  <c r="AN344" i="5"/>
  <c r="AO344" i="5"/>
  <c r="AN491" i="5"/>
  <c r="AO491" i="5"/>
  <c r="AO512" i="5"/>
  <c r="AN512" i="5"/>
  <c r="AO544" i="5"/>
  <c r="AN544" i="5"/>
  <c r="AO134" i="5"/>
  <c r="AN134" i="5"/>
  <c r="AN433" i="5"/>
  <c r="AO433" i="5"/>
  <c r="AN22" i="5"/>
  <c r="AO22" i="5"/>
  <c r="AN181" i="5"/>
  <c r="AO181" i="5"/>
  <c r="AO555" i="5"/>
  <c r="AN555" i="5"/>
  <c r="AO262" i="5"/>
  <c r="AN262" i="5"/>
  <c r="AN410" i="5"/>
  <c r="AO410" i="5"/>
  <c r="AN502" i="5"/>
  <c r="AO502" i="5"/>
  <c r="AN233" i="5"/>
  <c r="AO233" i="5"/>
  <c r="AN319" i="5"/>
  <c r="AO319" i="5"/>
  <c r="AN457" i="5"/>
  <c r="AO457" i="5"/>
  <c r="AN304" i="5"/>
  <c r="AO304" i="5"/>
  <c r="AO46" i="5"/>
  <c r="AN46" i="5"/>
  <c r="AN400" i="5"/>
  <c r="AO400" i="5"/>
  <c r="AN398" i="5"/>
  <c r="AO398" i="5"/>
  <c r="AO440" i="5"/>
  <c r="AN440" i="5"/>
  <c r="AO198" i="5"/>
  <c r="AN198" i="5"/>
  <c r="AN34" i="5"/>
  <c r="AO34" i="5"/>
  <c r="AO64" i="5"/>
  <c r="AN64" i="5"/>
  <c r="AN50" i="5"/>
  <c r="AO50" i="5"/>
  <c r="AN431" i="5"/>
  <c r="AO431" i="5"/>
  <c r="AO542" i="5"/>
  <c r="AN542" i="5"/>
  <c r="AO206" i="5"/>
  <c r="AN206" i="5"/>
  <c r="AO370" i="5"/>
  <c r="AN370" i="5"/>
  <c r="AO499" i="5"/>
  <c r="AN499" i="5"/>
  <c r="AN10" i="5"/>
  <c r="AO10" i="5"/>
  <c r="AO481" i="5"/>
  <c r="AN481" i="5"/>
  <c r="AO239" i="5"/>
  <c r="AN239" i="5"/>
  <c r="AO263" i="5"/>
  <c r="AN263" i="5"/>
  <c r="AO258" i="5"/>
  <c r="AN258" i="5"/>
  <c r="AO55" i="5"/>
  <c r="AN55" i="5"/>
  <c r="AN255" i="5"/>
  <c r="AO255" i="5"/>
  <c r="AN112" i="5"/>
  <c r="AO112" i="5"/>
  <c r="AO332" i="5"/>
  <c r="AN332" i="5"/>
  <c r="AN543" i="5"/>
  <c r="AO543" i="5"/>
  <c r="AN53" i="5"/>
  <c r="AO53" i="5"/>
  <c r="AN88" i="5"/>
  <c r="AO88" i="5"/>
  <c r="AN513" i="5"/>
  <c r="AO513" i="5"/>
  <c r="AN396" i="5"/>
  <c r="AO396" i="5"/>
  <c r="AN217" i="5"/>
  <c r="AO217" i="5"/>
  <c r="AN519" i="5"/>
  <c r="AO519" i="5"/>
  <c r="AO464" i="5"/>
  <c r="AN464" i="5"/>
  <c r="AN357" i="5"/>
  <c r="AO357" i="5"/>
  <c r="AO94" i="5"/>
  <c r="AN94" i="5"/>
  <c r="AN102" i="5"/>
  <c r="AO102" i="5"/>
  <c r="AN19" i="5"/>
  <c r="AO19" i="5"/>
  <c r="AO97" i="5"/>
  <c r="AN97" i="5"/>
  <c r="AO279" i="5"/>
  <c r="AN279" i="5"/>
  <c r="AN165" i="5"/>
  <c r="AO165" i="5"/>
  <c r="AN67" i="5"/>
  <c r="AO67" i="5"/>
  <c r="AO415" i="5"/>
  <c r="AN415" i="5"/>
  <c r="AO52" i="5"/>
  <c r="AN52" i="5"/>
  <c r="AN43" i="5"/>
  <c r="AO43" i="5"/>
  <c r="AN317" i="5"/>
  <c r="AO317" i="5"/>
  <c r="AO523" i="5"/>
  <c r="AN523" i="5"/>
  <c r="AO359" i="5"/>
  <c r="AN359" i="5"/>
  <c r="AO131" i="5"/>
  <c r="AN131" i="5"/>
  <c r="AO100" i="5"/>
  <c r="AN100" i="5"/>
  <c r="AN528" i="5"/>
  <c r="AO528" i="5"/>
  <c r="AN303" i="5"/>
  <c r="AO303" i="5"/>
  <c r="AN349" i="5"/>
  <c r="AO349" i="5"/>
  <c r="AO540" i="5"/>
  <c r="AN540" i="5"/>
  <c r="AO174" i="5"/>
  <c r="AN174" i="5"/>
  <c r="AO29" i="5"/>
  <c r="AN29" i="5"/>
  <c r="AN471" i="5"/>
  <c r="AO471" i="5"/>
  <c r="AN488" i="5"/>
  <c r="AO488" i="5"/>
  <c r="AN20" i="5"/>
  <c r="AO20" i="5"/>
  <c r="AN238" i="5"/>
  <c r="AO238" i="5"/>
  <c r="AN508" i="5"/>
  <c r="AO508" i="5"/>
  <c r="AN23" i="5"/>
  <c r="AO23" i="5"/>
  <c r="AN111" i="5"/>
  <c r="AO111" i="5"/>
  <c r="AN161" i="5"/>
  <c r="AO161" i="5"/>
  <c r="AO99" i="5"/>
  <c r="AN99" i="5"/>
  <c r="AN35" i="5"/>
  <c r="AO35" i="5"/>
  <c r="AO119" i="5"/>
  <c r="AN119" i="5"/>
  <c r="AO271" i="5"/>
  <c r="AN271" i="5"/>
  <c r="AN449" i="5"/>
  <c r="AO449" i="5"/>
  <c r="AO538" i="5"/>
  <c r="AN538" i="5"/>
  <c r="AN47" i="5"/>
  <c r="AO47" i="5"/>
  <c r="AO58" i="5"/>
  <c r="AN58" i="5"/>
  <c r="AN379" i="5"/>
  <c r="AO379" i="5"/>
  <c r="AN339" i="5"/>
  <c r="AO339" i="5"/>
  <c r="AN522" i="5"/>
  <c r="AO522" i="5"/>
  <c r="AN423" i="5"/>
  <c r="AO423" i="5"/>
  <c r="AN223" i="5"/>
  <c r="AO223" i="5"/>
  <c r="AO75" i="5"/>
  <c r="AN75" i="5"/>
  <c r="AN91" i="5"/>
  <c r="AO91" i="5"/>
  <c r="AN123" i="5"/>
  <c r="AO123" i="5"/>
  <c r="AO493" i="5"/>
  <c r="AN493" i="5"/>
  <c r="AO7" i="5"/>
  <c r="AN7" i="5"/>
  <c r="AO346" i="5"/>
  <c r="AN346" i="5"/>
  <c r="AN484" i="5"/>
  <c r="AO484" i="5"/>
  <c r="AO8" i="5"/>
  <c r="AN8" i="5"/>
  <c r="AO130" i="5"/>
  <c r="AN130" i="5"/>
  <c r="AO289" i="5"/>
  <c r="AN289" i="5"/>
  <c r="AO534" i="5"/>
  <c r="AN534" i="5"/>
  <c r="AO253" i="5"/>
  <c r="AN253" i="5"/>
  <c r="AN89" i="5"/>
  <c r="AO89" i="5"/>
  <c r="AO121" i="5"/>
  <c r="AN121" i="5"/>
  <c r="AN395" i="5"/>
  <c r="AO395" i="5"/>
  <c r="AN330" i="5"/>
  <c r="AO330" i="5"/>
  <c r="AN188" i="5"/>
  <c r="AO188" i="5"/>
  <c r="AO441" i="5"/>
  <c r="AN441" i="5"/>
  <c r="AO486" i="5"/>
  <c r="AN486" i="5"/>
  <c r="AN92" i="5"/>
  <c r="AO92" i="5"/>
  <c r="AO60" i="5"/>
  <c r="AN60" i="5"/>
  <c r="AO80" i="5"/>
  <c r="AN80" i="5"/>
  <c r="AN114" i="5"/>
  <c r="AO114" i="5"/>
  <c r="AO261" i="5"/>
  <c r="AN261" i="5"/>
  <c r="AN245" i="5"/>
  <c r="AO245" i="5"/>
  <c r="AN516" i="5"/>
  <c r="AO516" i="5"/>
  <c r="AH335" i="5"/>
  <c r="AI335" i="5"/>
  <c r="AH482" i="5"/>
  <c r="AI482" i="5"/>
  <c r="AH446" i="5"/>
  <c r="AI446" i="5"/>
  <c r="AH386" i="5"/>
  <c r="AI386" i="5"/>
  <c r="AI162" i="5"/>
  <c r="AH162" i="5"/>
  <c r="AH8" i="5"/>
  <c r="AI8" i="5"/>
  <c r="AI497" i="5"/>
  <c r="AH497" i="5"/>
  <c r="AI455" i="5"/>
  <c r="AH455" i="5"/>
  <c r="AH529" i="5"/>
  <c r="AI529" i="5"/>
  <c r="AI309" i="5"/>
  <c r="AH309" i="5"/>
  <c r="AI90" i="5"/>
  <c r="AH90" i="5"/>
  <c r="AH431" i="5"/>
  <c r="AI431" i="5"/>
  <c r="AH126" i="5"/>
  <c r="AI126" i="5"/>
  <c r="AH32" i="5"/>
  <c r="AI32" i="5"/>
  <c r="AH373" i="5"/>
  <c r="AI373" i="5"/>
  <c r="AH108" i="5"/>
  <c r="AI108" i="5"/>
  <c r="AI281" i="5"/>
  <c r="AH281" i="5"/>
  <c r="AI176" i="5"/>
  <c r="AH176" i="5"/>
  <c r="AI237" i="5"/>
  <c r="AH237" i="5"/>
  <c r="AI538" i="5"/>
  <c r="AH538" i="5"/>
  <c r="AH284" i="5"/>
  <c r="AI284" i="5"/>
  <c r="AH270" i="5"/>
  <c r="AI270" i="5"/>
  <c r="AH509" i="5"/>
  <c r="AI509" i="5"/>
  <c r="AH511" i="5"/>
  <c r="AI511" i="5"/>
  <c r="AH260" i="5"/>
  <c r="AI260" i="5"/>
  <c r="AH472" i="5"/>
  <c r="AI472" i="5"/>
  <c r="AH19" i="5"/>
  <c r="AI19" i="5"/>
  <c r="AI207" i="5"/>
  <c r="AH207" i="5"/>
  <c r="AI168" i="5"/>
  <c r="AH168" i="5"/>
  <c r="AI70" i="5"/>
  <c r="AH70" i="5"/>
  <c r="AI24" i="5"/>
  <c r="AH24" i="5"/>
  <c r="AI302" i="5"/>
  <c r="AH302" i="5"/>
  <c r="AH403" i="5"/>
  <c r="AI403" i="5"/>
  <c r="AH133" i="5"/>
  <c r="AI133" i="5"/>
  <c r="AH159" i="5"/>
  <c r="AI159" i="5"/>
  <c r="AH363" i="5"/>
  <c r="AI363" i="5"/>
  <c r="AH238" i="5"/>
  <c r="AI238" i="5"/>
  <c r="AI129" i="5"/>
  <c r="AH129" i="5"/>
  <c r="AI185" i="5"/>
  <c r="AH185" i="5"/>
  <c r="AI428" i="5"/>
  <c r="AH428" i="5"/>
  <c r="AI362" i="5"/>
  <c r="AH362" i="5"/>
  <c r="AH130" i="5"/>
  <c r="AI130" i="5"/>
  <c r="AH277" i="5"/>
  <c r="AI277" i="5"/>
  <c r="AH492" i="5"/>
  <c r="AI492" i="5"/>
  <c r="AH452" i="5"/>
  <c r="AI452" i="5"/>
  <c r="AH332" i="5"/>
  <c r="AI332" i="5"/>
  <c r="AH124" i="5"/>
  <c r="AI124" i="5"/>
  <c r="AH481" i="5"/>
  <c r="AI481" i="5"/>
  <c r="AH305" i="5"/>
  <c r="AI305" i="5"/>
  <c r="AI251" i="5"/>
  <c r="AH251" i="5"/>
  <c r="AI227" i="5"/>
  <c r="AH227" i="5"/>
  <c r="AH201" i="5"/>
  <c r="AI201" i="5"/>
  <c r="AH99" i="5"/>
  <c r="AI99" i="5"/>
  <c r="AH275" i="5"/>
  <c r="AI275" i="5"/>
  <c r="AI180" i="5"/>
  <c r="AH180" i="5"/>
  <c r="AH304" i="5"/>
  <c r="AI304" i="5"/>
  <c r="AH214" i="5"/>
  <c r="AI214" i="5"/>
  <c r="AH65" i="5"/>
  <c r="AI65" i="5"/>
  <c r="AH256" i="5"/>
  <c r="AI256" i="5"/>
  <c r="AI109" i="5"/>
  <c r="AH109" i="5"/>
  <c r="AI279" i="5"/>
  <c r="AH279" i="5"/>
  <c r="AH104" i="5"/>
  <c r="AI104" i="5"/>
  <c r="AH525" i="5"/>
  <c r="AI525" i="5"/>
  <c r="AH387" i="5"/>
  <c r="AI387" i="5"/>
  <c r="AI223" i="5"/>
  <c r="AH223" i="5"/>
  <c r="AI137" i="5"/>
  <c r="AH137" i="5"/>
  <c r="AI485" i="5"/>
  <c r="AH485" i="5"/>
  <c r="AH477" i="5"/>
  <c r="AI477" i="5"/>
  <c r="AH461" i="5"/>
  <c r="AI461" i="5"/>
  <c r="AH245" i="5"/>
  <c r="AI245" i="5"/>
  <c r="AI528" i="5"/>
  <c r="AH528" i="5"/>
  <c r="AH169" i="5"/>
  <c r="AI169" i="5"/>
  <c r="AI135" i="5"/>
  <c r="AH135" i="5"/>
  <c r="AI246" i="5"/>
  <c r="AH246" i="5"/>
  <c r="AI122" i="5"/>
  <c r="AH122" i="5"/>
  <c r="AI338" i="5"/>
  <c r="AH338" i="5"/>
  <c r="AI533" i="5"/>
  <c r="AH533" i="5"/>
  <c r="AI86" i="5"/>
  <c r="AH86" i="5"/>
  <c r="AI516" i="5"/>
  <c r="AH516" i="5"/>
  <c r="AI474" i="5"/>
  <c r="AH474" i="5"/>
  <c r="AI487" i="5"/>
  <c r="AH487" i="5"/>
  <c r="AI49" i="5"/>
  <c r="AH49" i="5"/>
  <c r="AI501" i="5"/>
  <c r="AH501" i="5"/>
  <c r="AI148" i="5"/>
  <c r="AH148" i="5"/>
  <c r="AH157" i="5"/>
  <c r="AI157" i="5"/>
  <c r="AH471" i="5"/>
  <c r="AI471" i="5"/>
  <c r="AI544" i="5"/>
  <c r="AH544" i="5"/>
  <c r="AH232" i="5"/>
  <c r="AI232" i="5"/>
  <c r="AH95" i="5"/>
  <c r="AI95" i="5"/>
  <c r="AI191" i="5"/>
  <c r="AH191" i="5"/>
  <c r="AH44" i="5"/>
  <c r="AI44" i="5"/>
  <c r="AH559" i="5"/>
  <c r="AI559" i="5"/>
  <c r="AH139" i="5"/>
  <c r="AI139" i="5"/>
  <c r="AI537" i="5"/>
  <c r="AH537" i="5"/>
  <c r="AI179" i="5"/>
  <c r="AH179" i="5"/>
  <c r="AH545" i="5"/>
  <c r="AI545" i="5"/>
  <c r="AH489" i="5"/>
  <c r="AI489" i="5"/>
  <c r="AH197" i="5"/>
  <c r="AI197" i="5"/>
  <c r="AH357" i="5"/>
  <c r="AI357" i="5"/>
  <c r="AH263" i="5"/>
  <c r="AI263" i="5"/>
  <c r="AH532" i="5"/>
  <c r="AI532" i="5"/>
  <c r="AH449" i="5"/>
  <c r="AI449" i="5"/>
  <c r="AH346" i="5"/>
  <c r="AI346" i="5"/>
  <c r="AI301" i="5"/>
  <c r="AH301" i="5"/>
  <c r="AI101" i="5"/>
  <c r="AH101" i="5"/>
  <c r="AI117" i="5"/>
  <c r="AH117" i="5"/>
  <c r="AI202" i="5"/>
  <c r="AH202" i="5"/>
  <c r="AH172" i="5"/>
  <c r="AI172" i="5"/>
  <c r="AI190" i="5"/>
  <c r="AH190" i="5"/>
  <c r="AI68" i="5"/>
  <c r="AH68" i="5"/>
  <c r="AH183" i="5"/>
  <c r="AI183" i="5"/>
  <c r="AI145" i="5"/>
  <c r="AH145" i="5"/>
  <c r="AI400" i="5"/>
  <c r="AH400" i="5"/>
  <c r="AI475" i="5"/>
  <c r="AH475" i="5"/>
  <c r="AH311" i="5"/>
  <c r="AI311" i="5"/>
  <c r="AI193" i="5"/>
  <c r="AH193" i="5"/>
  <c r="AH500" i="5"/>
  <c r="AI500" i="5"/>
  <c r="AH351" i="5"/>
  <c r="AI351" i="5"/>
  <c r="AI508" i="5"/>
  <c r="AH508" i="5"/>
  <c r="AH249" i="5"/>
  <c r="AI249" i="5"/>
  <c r="AH418" i="5"/>
  <c r="AI418" i="5"/>
  <c r="AH182" i="5"/>
  <c r="AI182" i="5"/>
  <c r="AH150" i="5"/>
  <c r="AI150" i="5"/>
  <c r="AH252" i="5"/>
  <c r="AI252" i="5"/>
  <c r="AI149" i="5"/>
  <c r="AH149" i="5"/>
  <c r="AH110" i="5"/>
  <c r="AI110" i="5"/>
  <c r="AI243" i="5"/>
  <c r="AH243" i="5"/>
  <c r="AI98" i="5"/>
  <c r="AH98" i="5"/>
  <c r="AH30" i="5"/>
  <c r="AI30" i="5"/>
  <c r="AH450" i="5"/>
  <c r="AI450" i="5"/>
  <c r="AI374" i="5"/>
  <c r="AH374" i="5"/>
  <c r="AH155" i="5"/>
  <c r="AI155" i="5"/>
  <c r="AH13" i="5"/>
  <c r="AI13" i="5"/>
  <c r="AI88" i="5"/>
  <c r="AH88" i="5"/>
  <c r="AH184" i="5"/>
  <c r="AI184" i="5"/>
  <c r="AI72" i="5"/>
  <c r="AH72" i="5"/>
  <c r="AH352" i="5"/>
  <c r="AI352" i="5"/>
  <c r="AE103" i="4"/>
  <c r="AA103" i="4"/>
  <c r="Z103" i="4"/>
  <c r="AH103" i="4"/>
  <c r="AH75" i="4"/>
  <c r="AE75" i="4"/>
  <c r="Z55" i="4" l="1"/>
  <c r="AQ10" i="5"/>
  <c r="AA55" i="4"/>
  <c r="Z54" i="4"/>
  <c r="Z105" i="4"/>
  <c r="AA151" i="4"/>
  <c r="AQ151" i="4" s="1"/>
  <c r="AA54" i="4"/>
  <c r="AA105" i="4"/>
  <c r="AQ105" i="4" s="1"/>
  <c r="Z142" i="4"/>
  <c r="AA148" i="4"/>
  <c r="AP148" i="4" s="1"/>
  <c r="AA142" i="4"/>
  <c r="Z78" i="4"/>
  <c r="AA85" i="4"/>
  <c r="AA129" i="4"/>
  <c r="AC129" i="4" s="1"/>
  <c r="AD129" i="4" s="1"/>
  <c r="Z85" i="4"/>
  <c r="AN85" i="4" s="1"/>
  <c r="Z129" i="4"/>
  <c r="AN129" i="4" s="1"/>
  <c r="AA114" i="4"/>
  <c r="AC114" i="4" s="1"/>
  <c r="AD114" i="4" s="1"/>
  <c r="Z63" i="4"/>
  <c r="AK63" i="4" s="1"/>
  <c r="AL63" i="4" s="1"/>
  <c r="AA63" i="4"/>
  <c r="AQ63" i="4" s="1"/>
  <c r="Z114" i="4"/>
  <c r="AA78" i="4"/>
  <c r="AA61" i="4"/>
  <c r="AC61" i="4" s="1"/>
  <c r="AD61" i="4" s="1"/>
  <c r="Z134" i="4"/>
  <c r="AK134" i="4" s="1"/>
  <c r="AL134" i="4" s="1"/>
  <c r="AA117" i="4"/>
  <c r="AQ117" i="4" s="1"/>
  <c r="Z61" i="4"/>
  <c r="AN61" i="4" s="1"/>
  <c r="AA134" i="4"/>
  <c r="AP134" i="4" s="1"/>
  <c r="Z152" i="4"/>
  <c r="AN152" i="4" s="1"/>
  <c r="AA152" i="4"/>
  <c r="Z101" i="4"/>
  <c r="AF101" i="4" s="1"/>
  <c r="AG101" i="4" s="1"/>
  <c r="AI101" i="4" s="1"/>
  <c r="AA149" i="4"/>
  <c r="AQ149" i="4" s="1"/>
  <c r="AA155" i="4"/>
  <c r="AP155" i="4" s="1"/>
  <c r="Z133" i="4"/>
  <c r="AN133" i="4" s="1"/>
  <c r="Z69" i="4"/>
  <c r="AK69" i="4" s="1"/>
  <c r="AL69" i="4" s="1"/>
  <c r="Z95" i="4"/>
  <c r="AN95" i="4" s="1"/>
  <c r="Z110" i="4"/>
  <c r="AN110" i="4" s="1"/>
  <c r="AA97" i="4"/>
  <c r="Z111" i="4"/>
  <c r="AK111" i="4" s="1"/>
  <c r="AL111" i="4" s="1"/>
  <c r="AA113" i="4"/>
  <c r="AQ113" i="4" s="1"/>
  <c r="Z106" i="4"/>
  <c r="AN106" i="4" s="1"/>
  <c r="AA95" i="4"/>
  <c r="AQ95" i="4" s="1"/>
  <c r="Z65" i="4"/>
  <c r="AN65" i="4" s="1"/>
  <c r="AA59" i="4"/>
  <c r="AQ59" i="4" s="1"/>
  <c r="AA112" i="4"/>
  <c r="AC112" i="4" s="1"/>
  <c r="AD112" i="4" s="1"/>
  <c r="AA110" i="4"/>
  <c r="Z113" i="4"/>
  <c r="AK113" i="4" s="1"/>
  <c r="AL113" i="4" s="1"/>
  <c r="AA135" i="4"/>
  <c r="AC135" i="4" s="1"/>
  <c r="AD135" i="4" s="1"/>
  <c r="AA106" i="4"/>
  <c r="AC106" i="4" s="1"/>
  <c r="AD106" i="4" s="1"/>
  <c r="AA57" i="4"/>
  <c r="AQ57" i="4" s="1"/>
  <c r="AA111" i="4"/>
  <c r="AP111" i="4" s="1"/>
  <c r="Z59" i="4"/>
  <c r="AF59" i="4" s="1"/>
  <c r="AG59" i="4" s="1"/>
  <c r="AI59" i="4" s="1"/>
  <c r="Z112" i="4"/>
  <c r="AK112" i="4" s="1"/>
  <c r="AL112" i="4" s="1"/>
  <c r="Z117" i="4"/>
  <c r="AK117" i="4" s="1"/>
  <c r="AL117" i="4" s="1"/>
  <c r="Z135" i="4"/>
  <c r="AN135" i="4" s="1"/>
  <c r="Z57" i="4"/>
  <c r="AN57" i="4" s="1"/>
  <c r="AA141" i="4"/>
  <c r="AQ141" i="4" s="1"/>
  <c r="AA156" i="4"/>
  <c r="AQ156" i="4" s="1"/>
  <c r="AA92" i="4"/>
  <c r="AQ92" i="4" s="1"/>
  <c r="AA79" i="4"/>
  <c r="AP79" i="4" s="1"/>
  <c r="Z94" i="4"/>
  <c r="AF94" i="4" s="1"/>
  <c r="AG94" i="4" s="1"/>
  <c r="AI94" i="4" s="1"/>
  <c r="Z140" i="4"/>
  <c r="AA108" i="4"/>
  <c r="AC108" i="4" s="1"/>
  <c r="AD108" i="4" s="1"/>
  <c r="Z137" i="4"/>
  <c r="AF137" i="4" s="1"/>
  <c r="AG137" i="4" s="1"/>
  <c r="AI137" i="4" s="1"/>
  <c r="Z141" i="4"/>
  <c r="AN141" i="4" s="1"/>
  <c r="Z90" i="4"/>
  <c r="AF90" i="4" s="1"/>
  <c r="AG90" i="4" s="1"/>
  <c r="AI90" i="4" s="1"/>
  <c r="Z67" i="4"/>
  <c r="AK67" i="4" s="1"/>
  <c r="AL67" i="4" s="1"/>
  <c r="AA60" i="4"/>
  <c r="AQ60" i="4" s="1"/>
  <c r="AA137" i="4"/>
  <c r="AP137" i="4" s="1"/>
  <c r="Z156" i="4"/>
  <c r="AA94" i="4"/>
  <c r="AQ94" i="4" s="1"/>
  <c r="Z102" i="4"/>
  <c r="AN102" i="4" s="1"/>
  <c r="AA140" i="4"/>
  <c r="AC140" i="4" s="1"/>
  <c r="AD140" i="4" s="1"/>
  <c r="Z118" i="4"/>
  <c r="AK118" i="4" s="1"/>
  <c r="AL118" i="4" s="1"/>
  <c r="Z77" i="4"/>
  <c r="AN77" i="4" s="1"/>
  <c r="Z60" i="4"/>
  <c r="AN60" i="4" s="1"/>
  <c r="AA109" i="4"/>
  <c r="AP109" i="4" s="1"/>
  <c r="Z108" i="4"/>
  <c r="Z93" i="4"/>
  <c r="AN93" i="4" s="1"/>
  <c r="AA102" i="4"/>
  <c r="AQ102" i="4" s="1"/>
  <c r="AA90" i="4"/>
  <c r="AC90" i="4" s="1"/>
  <c r="AD90" i="4" s="1"/>
  <c r="AA77" i="4"/>
  <c r="AC77" i="4" s="1"/>
  <c r="AD77" i="4" s="1"/>
  <c r="Z79" i="4"/>
  <c r="AN79" i="4" s="1"/>
  <c r="AA93" i="4"/>
  <c r="AQ93" i="4" s="1"/>
  <c r="AA67" i="4"/>
  <c r="AC67" i="4" s="1"/>
  <c r="AD67" i="4" s="1"/>
  <c r="AA101" i="4"/>
  <c r="AA98" i="4"/>
  <c r="AP98" i="4" s="1"/>
  <c r="AA96" i="4"/>
  <c r="AQ96" i="4" s="1"/>
  <c r="Z149" i="4"/>
  <c r="AK149" i="4" s="1"/>
  <c r="AL149" i="4" s="1"/>
  <c r="AA81" i="4"/>
  <c r="AP81" i="4" s="1"/>
  <c r="Z98" i="4"/>
  <c r="AK98" i="4" s="1"/>
  <c r="AL98" i="4" s="1"/>
  <c r="AA136" i="4"/>
  <c r="AC136" i="4" s="1"/>
  <c r="AD136" i="4" s="1"/>
  <c r="Z96" i="4"/>
  <c r="AN96" i="4" s="1"/>
  <c r="Z75" i="4"/>
  <c r="Z122" i="4"/>
  <c r="AN122" i="4" s="1"/>
  <c r="AA143" i="4"/>
  <c r="AQ143" i="4" s="1"/>
  <c r="AA74" i="4"/>
  <c r="AP74" i="4" s="1"/>
  <c r="AA66" i="4"/>
  <c r="AQ66" i="4" s="1"/>
  <c r="Z81" i="4"/>
  <c r="AN81" i="4" s="1"/>
  <c r="Z136" i="4"/>
  <c r="AN136" i="4" s="1"/>
  <c r="Z89" i="4"/>
  <c r="AK89" i="4" s="1"/>
  <c r="AL89" i="4" s="1"/>
  <c r="AA75" i="4"/>
  <c r="AA133" i="4"/>
  <c r="AP133" i="4" s="1"/>
  <c r="Z66" i="4"/>
  <c r="AF66" i="4" s="1"/>
  <c r="AG66" i="4" s="1"/>
  <c r="AI66" i="4" s="1"/>
  <c r="AA122" i="4"/>
  <c r="AQ122" i="4" s="1"/>
  <c r="AA89" i="4"/>
  <c r="AQ89" i="4" s="1"/>
  <c r="Z82" i="4"/>
  <c r="AK82" i="4" s="1"/>
  <c r="AL82" i="4" s="1"/>
  <c r="Z143" i="4"/>
  <c r="AN143" i="4" s="1"/>
  <c r="AA121" i="4"/>
  <c r="AP121" i="4" s="1"/>
  <c r="Z155" i="4"/>
  <c r="Z74" i="4"/>
  <c r="AN74" i="4" s="1"/>
  <c r="Z121" i="4"/>
  <c r="AK121" i="4" s="1"/>
  <c r="AL121" i="4" s="1"/>
  <c r="AA82" i="4"/>
  <c r="AQ82" i="4" s="1"/>
  <c r="Z128" i="4"/>
  <c r="AK128" i="4" s="1"/>
  <c r="AL128" i="4" s="1"/>
  <c r="Z144" i="4"/>
  <c r="AK144" i="4" s="1"/>
  <c r="AL144" i="4" s="1"/>
  <c r="Z125" i="4"/>
  <c r="AN125" i="4" s="1"/>
  <c r="AA116" i="4"/>
  <c r="AC116" i="4" s="1"/>
  <c r="AD116" i="4" s="1"/>
  <c r="AA124" i="4"/>
  <c r="AA144" i="4"/>
  <c r="AC144" i="4" s="1"/>
  <c r="AD144" i="4" s="1"/>
  <c r="AA65" i="4"/>
  <c r="AQ65" i="4" s="1"/>
  <c r="Z76" i="4"/>
  <c r="AF76" i="4" s="1"/>
  <c r="AG76" i="4" s="1"/>
  <c r="AI76" i="4" s="1"/>
  <c r="AA62" i="4"/>
  <c r="AP62" i="4" s="1"/>
  <c r="Z97" i="4"/>
  <c r="AK97" i="4" s="1"/>
  <c r="AL97" i="4" s="1"/>
  <c r="Z116" i="4"/>
  <c r="AK116" i="4" s="1"/>
  <c r="AL116" i="4" s="1"/>
  <c r="Z124" i="4"/>
  <c r="AF124" i="4" s="1"/>
  <c r="AG124" i="4" s="1"/>
  <c r="AI124" i="4" s="1"/>
  <c r="AA128" i="4"/>
  <c r="AA69" i="4"/>
  <c r="AQ69" i="4" s="1"/>
  <c r="AA118" i="4"/>
  <c r="AQ118" i="4" s="1"/>
  <c r="Z62" i="4"/>
  <c r="AN62" i="4" s="1"/>
  <c r="AJ17" i="4"/>
  <c r="AA16" i="4"/>
  <c r="AC16" i="4" s="1"/>
  <c r="AD16" i="4" s="1"/>
  <c r="AA22" i="4"/>
  <c r="AC22" i="4" s="1"/>
  <c r="AD22" i="4" s="1"/>
  <c r="AA12" i="4"/>
  <c r="AQ12" i="4" s="1"/>
  <c r="AA19" i="4"/>
  <c r="AA14" i="4"/>
  <c r="AQ14" i="4" s="1"/>
  <c r="AA20" i="4"/>
  <c r="AQ20" i="4" s="1"/>
  <c r="AA10" i="4"/>
  <c r="AP10" i="4" s="1"/>
  <c r="AA11" i="4"/>
  <c r="AQ11" i="4" s="1"/>
  <c r="AA23" i="4"/>
  <c r="AP23" i="4" s="1"/>
  <c r="AA24" i="4"/>
  <c r="AP24" i="4" s="1"/>
  <c r="AA9" i="4"/>
  <c r="AC9" i="4" s="1"/>
  <c r="AD9" i="4" s="1"/>
  <c r="AA21" i="4"/>
  <c r="AA8" i="4"/>
  <c r="AC8" i="4" s="1"/>
  <c r="AD8" i="4" s="1"/>
  <c r="AA15" i="4"/>
  <c r="AQ15" i="4" s="1"/>
  <c r="AA18" i="4"/>
  <c r="AP18" i="4" s="1"/>
  <c r="AA13" i="4"/>
  <c r="AP13" i="4" s="1"/>
  <c r="AA7" i="4"/>
  <c r="AC7" i="4" s="1"/>
  <c r="AD7" i="4" s="1"/>
  <c r="AA25" i="4"/>
  <c r="AP25" i="4" s="1"/>
  <c r="AQ7" i="5"/>
  <c r="B209" i="2" s="1"/>
  <c r="B214" i="2" s="1"/>
  <c r="B215" i="2" s="1"/>
  <c r="B188" i="2"/>
  <c r="B190" i="2"/>
  <c r="B226" i="2" s="1"/>
  <c r="F70" i="1" s="1"/>
  <c r="AC418" i="5"/>
  <c r="AD418" i="5" s="1"/>
  <c r="AN151" i="4"/>
  <c r="AK151" i="4"/>
  <c r="AL151" i="4" s="1"/>
  <c r="AF151" i="4"/>
  <c r="AG151" i="4" s="1"/>
  <c r="AI151" i="4" s="1"/>
  <c r="AN28" i="4"/>
  <c r="AK28" i="4"/>
  <c r="AL28" i="4" s="1"/>
  <c r="AF28" i="4"/>
  <c r="AG28" i="4" s="1"/>
  <c r="AI28" i="4" s="1"/>
  <c r="AP8" i="4"/>
  <c r="AQ61" i="4"/>
  <c r="BJ250" i="5"/>
  <c r="BK250" i="5"/>
  <c r="BK43" i="5"/>
  <c r="BJ43" i="5"/>
  <c r="BJ460" i="5"/>
  <c r="BK460" i="5"/>
  <c r="BK427" i="5"/>
  <c r="BJ427" i="5"/>
  <c r="BK544" i="5"/>
  <c r="BJ544" i="5"/>
  <c r="BJ163" i="5"/>
  <c r="BK163" i="5"/>
  <c r="BK118" i="5"/>
  <c r="BJ118" i="5"/>
  <c r="BK488" i="5"/>
  <c r="BJ488" i="5"/>
  <c r="BJ62" i="5"/>
  <c r="BK62" i="5"/>
  <c r="BK32" i="5"/>
  <c r="BJ32" i="5"/>
  <c r="AN45" i="4"/>
  <c r="AK45" i="4"/>
  <c r="AL45" i="4" s="1"/>
  <c r="AF45" i="4"/>
  <c r="AG45" i="4" s="1"/>
  <c r="AI45" i="4" s="1"/>
  <c r="AQ132" i="4"/>
  <c r="AP132" i="4"/>
  <c r="AC132" i="4"/>
  <c r="AD132" i="4" s="1"/>
  <c r="AN17" i="4"/>
  <c r="AF17" i="4"/>
  <c r="AG17" i="4" s="1"/>
  <c r="AI17" i="4" s="1"/>
  <c r="AK17" i="4"/>
  <c r="AL17" i="4" s="1"/>
  <c r="AC154" i="4"/>
  <c r="AD154" i="4" s="1"/>
  <c r="AP154" i="4"/>
  <c r="AQ154" i="4"/>
  <c r="AP115" i="4"/>
  <c r="AQ115" i="4"/>
  <c r="AC115" i="4"/>
  <c r="AD115" i="4" s="1"/>
  <c r="AN40" i="4"/>
  <c r="AK40" i="4"/>
  <c r="AL40" i="4" s="1"/>
  <c r="AF40" i="4"/>
  <c r="AG40" i="4" s="1"/>
  <c r="AI40" i="4" s="1"/>
  <c r="AQ38" i="4"/>
  <c r="AP38" i="4"/>
  <c r="AC38" i="4"/>
  <c r="AD38" i="4" s="1"/>
  <c r="AK13" i="4"/>
  <c r="AL13" i="4" s="1"/>
  <c r="AN13" i="4"/>
  <c r="AF13" i="4"/>
  <c r="AG13" i="4" s="1"/>
  <c r="AI13" i="4" s="1"/>
  <c r="AP83" i="4"/>
  <c r="AQ83" i="4"/>
  <c r="AC83" i="4"/>
  <c r="AD83" i="4" s="1"/>
  <c r="AK31" i="4"/>
  <c r="AL31" i="4" s="1"/>
  <c r="AN31" i="4"/>
  <c r="AF31" i="4"/>
  <c r="AG31" i="4" s="1"/>
  <c r="AI31" i="4" s="1"/>
  <c r="BJ321" i="5"/>
  <c r="BK321" i="5"/>
  <c r="AQ148" i="5"/>
  <c r="BI148" i="5"/>
  <c r="AR148" i="5"/>
  <c r="BJ366" i="5"/>
  <c r="BK366" i="5"/>
  <c r="BJ153" i="5"/>
  <c r="BK153" i="5"/>
  <c r="BK100" i="5"/>
  <c r="BJ100" i="5"/>
  <c r="BJ451" i="5"/>
  <c r="BK451" i="5"/>
  <c r="BK203" i="5"/>
  <c r="BJ203" i="5"/>
  <c r="BJ257" i="5"/>
  <c r="BK257" i="5"/>
  <c r="BJ486" i="5"/>
  <c r="BK486" i="5"/>
  <c r="AC32" i="4"/>
  <c r="AD32" i="4" s="1"/>
  <c r="AQ32" i="4"/>
  <c r="AP32" i="4"/>
  <c r="AN36" i="4"/>
  <c r="AK36" i="4"/>
  <c r="AL36" i="4" s="1"/>
  <c r="AF36" i="4"/>
  <c r="AG36" i="4" s="1"/>
  <c r="AI36" i="4" s="1"/>
  <c r="AP131" i="4"/>
  <c r="AC131" i="4"/>
  <c r="AD131" i="4" s="1"/>
  <c r="AQ131" i="4"/>
  <c r="AP58" i="4"/>
  <c r="AQ58" i="4"/>
  <c r="AC58" i="4"/>
  <c r="AD58" i="4" s="1"/>
  <c r="AQ123" i="4"/>
  <c r="AP123" i="4"/>
  <c r="AC123" i="4"/>
  <c r="AD123" i="4" s="1"/>
  <c r="AN12" i="4"/>
  <c r="AF12" i="4"/>
  <c r="AG12" i="4" s="1"/>
  <c r="AI12" i="4" s="1"/>
  <c r="AK12" i="4"/>
  <c r="AL12" i="4" s="1"/>
  <c r="AN117" i="4"/>
  <c r="BK499" i="5"/>
  <c r="BJ499" i="5"/>
  <c r="BJ495" i="5"/>
  <c r="BK495" i="5"/>
  <c r="BK255" i="5"/>
  <c r="BJ255" i="5"/>
  <c r="BK542" i="5"/>
  <c r="BJ542" i="5"/>
  <c r="BK122" i="5"/>
  <c r="BJ122" i="5"/>
  <c r="BJ19" i="5"/>
  <c r="BK19" i="5"/>
  <c r="BJ424" i="5"/>
  <c r="BK424" i="5"/>
  <c r="BJ314" i="5"/>
  <c r="BK314" i="5"/>
  <c r="BK216" i="5"/>
  <c r="BJ216" i="5"/>
  <c r="BJ429" i="5"/>
  <c r="BK429" i="5"/>
  <c r="BI504" i="5"/>
  <c r="AR504" i="5"/>
  <c r="AQ504" i="5"/>
  <c r="BI419" i="5"/>
  <c r="AQ419" i="5"/>
  <c r="AR419" i="5"/>
  <c r="BJ549" i="5"/>
  <c r="BK549" i="5"/>
  <c r="BJ503" i="5"/>
  <c r="BK503" i="5"/>
  <c r="BJ320" i="5"/>
  <c r="BK320" i="5"/>
  <c r="AR462" i="5"/>
  <c r="AQ462" i="5"/>
  <c r="BI462" i="5"/>
  <c r="BJ117" i="5"/>
  <c r="BK117" i="5"/>
  <c r="BJ223" i="5"/>
  <c r="BK223" i="5"/>
  <c r="BI284" i="5"/>
  <c r="AR284" i="5"/>
  <c r="AQ284" i="5"/>
  <c r="BK82" i="5"/>
  <c r="BJ82" i="5"/>
  <c r="BK269" i="5"/>
  <c r="BJ269" i="5"/>
  <c r="BK50" i="5"/>
  <c r="BJ50" i="5"/>
  <c r="AR186" i="5"/>
  <c r="AQ186" i="5"/>
  <c r="BI186" i="5"/>
  <c r="BJ450" i="5"/>
  <c r="BK450" i="5"/>
  <c r="BK147" i="5"/>
  <c r="BJ147" i="5"/>
  <c r="BJ152" i="5"/>
  <c r="BK152" i="5"/>
  <c r="BK69" i="5"/>
  <c r="BJ69" i="5"/>
  <c r="BJ238" i="5"/>
  <c r="BK238" i="5"/>
  <c r="BK518" i="5"/>
  <c r="BJ518" i="5"/>
  <c r="BJ248" i="5"/>
  <c r="BK248" i="5"/>
  <c r="BJ493" i="5"/>
  <c r="BK493" i="5"/>
  <c r="AF85" i="4"/>
  <c r="AG85" i="4" s="1"/>
  <c r="AI85" i="4" s="1"/>
  <c r="AQ146" i="4"/>
  <c r="AP146" i="4"/>
  <c r="AC146" i="4"/>
  <c r="AD146" i="4" s="1"/>
  <c r="AK64" i="4"/>
  <c r="AL64" i="4" s="1"/>
  <c r="AN64" i="4"/>
  <c r="AF64" i="4"/>
  <c r="AG64" i="4" s="1"/>
  <c r="AI64" i="4" s="1"/>
  <c r="AK109" i="4"/>
  <c r="AL109" i="4" s="1"/>
  <c r="AN109" i="4"/>
  <c r="AF109" i="4"/>
  <c r="AG109" i="4" s="1"/>
  <c r="AI109" i="4" s="1"/>
  <c r="AQ34" i="4"/>
  <c r="AP34" i="4"/>
  <c r="AC34" i="4"/>
  <c r="AD34" i="4" s="1"/>
  <c r="AN37" i="4"/>
  <c r="AF37" i="4"/>
  <c r="AG37" i="4" s="1"/>
  <c r="AI37" i="4" s="1"/>
  <c r="AK37" i="4"/>
  <c r="AL37" i="4" s="1"/>
  <c r="AK68" i="4"/>
  <c r="AL68" i="4" s="1"/>
  <c r="AN68" i="4"/>
  <c r="AF68" i="4"/>
  <c r="AG68" i="4" s="1"/>
  <c r="AI68" i="4" s="1"/>
  <c r="AK56" i="4"/>
  <c r="AL56" i="4" s="1"/>
  <c r="AN56" i="4"/>
  <c r="AF56" i="4"/>
  <c r="AG56" i="4" s="1"/>
  <c r="AI56" i="4" s="1"/>
  <c r="AK119" i="4"/>
  <c r="AL119" i="4" s="1"/>
  <c r="AN119" i="4"/>
  <c r="AF119" i="4"/>
  <c r="AG119" i="4" s="1"/>
  <c r="AI119" i="4" s="1"/>
  <c r="AN43" i="4"/>
  <c r="AK43" i="4"/>
  <c r="AL43" i="4" s="1"/>
  <c r="AF43" i="4"/>
  <c r="AG43" i="4" s="1"/>
  <c r="AI43" i="4" s="1"/>
  <c r="AN84" i="4"/>
  <c r="AK84" i="4"/>
  <c r="AL84" i="4" s="1"/>
  <c r="AF84" i="4"/>
  <c r="AG84" i="4" s="1"/>
  <c r="AI84" i="4" s="1"/>
  <c r="AP84" i="4"/>
  <c r="AQ84" i="4"/>
  <c r="AC84" i="4"/>
  <c r="AD84" i="4" s="1"/>
  <c r="AN148" i="4"/>
  <c r="AK148" i="4"/>
  <c r="AL148" i="4" s="1"/>
  <c r="AF148" i="4"/>
  <c r="AG148" i="4" s="1"/>
  <c r="AI148" i="4" s="1"/>
  <c r="AK70" i="4"/>
  <c r="AL70" i="4" s="1"/>
  <c r="AN70" i="4"/>
  <c r="AF70" i="4"/>
  <c r="AG70" i="4" s="1"/>
  <c r="AI70" i="4" s="1"/>
  <c r="BK200" i="5"/>
  <c r="BJ200" i="5"/>
  <c r="BJ431" i="5"/>
  <c r="BK431" i="5"/>
  <c r="BK381" i="5"/>
  <c r="BJ381" i="5"/>
  <c r="BJ263" i="5"/>
  <c r="BK263" i="5"/>
  <c r="BK560" i="5"/>
  <c r="BJ560" i="5"/>
  <c r="BK155" i="5"/>
  <c r="BJ155" i="5"/>
  <c r="BK389" i="5"/>
  <c r="BJ389" i="5"/>
  <c r="BK190" i="5"/>
  <c r="BJ190" i="5"/>
  <c r="BK417" i="5"/>
  <c r="BJ417" i="5"/>
  <c r="BJ348" i="5"/>
  <c r="BK348" i="5"/>
  <c r="BJ211" i="5"/>
  <c r="BK211" i="5"/>
  <c r="BJ91" i="5"/>
  <c r="BK91" i="5"/>
  <c r="BJ457" i="5"/>
  <c r="BK457" i="5"/>
  <c r="BJ464" i="5"/>
  <c r="BK464" i="5"/>
  <c r="BJ47" i="5"/>
  <c r="BK47" i="5"/>
  <c r="BK406" i="5"/>
  <c r="BJ406" i="5"/>
  <c r="BJ528" i="5"/>
  <c r="BK528" i="5"/>
  <c r="BJ456" i="5"/>
  <c r="BK456" i="5"/>
  <c r="BK157" i="5"/>
  <c r="BJ157" i="5"/>
  <c r="BJ418" i="5"/>
  <c r="BK418" i="5"/>
  <c r="BJ7" i="5"/>
  <c r="BK7" i="5"/>
  <c r="BJ329" i="5"/>
  <c r="BK329" i="5"/>
  <c r="BJ449" i="5"/>
  <c r="BK449" i="5"/>
  <c r="AQ386" i="5"/>
  <c r="BI386" i="5"/>
  <c r="AR386" i="5"/>
  <c r="BK352" i="5"/>
  <c r="BJ352" i="5"/>
  <c r="BK358" i="5"/>
  <c r="BJ358" i="5"/>
  <c r="BK225" i="5"/>
  <c r="BJ225" i="5"/>
  <c r="BJ233" i="5"/>
  <c r="BK233" i="5"/>
  <c r="BK300" i="5"/>
  <c r="BJ300" i="5"/>
  <c r="S9" i="5"/>
  <c r="R9" i="5"/>
  <c r="R135" i="5"/>
  <c r="S135" i="5"/>
  <c r="R432" i="5"/>
  <c r="S432" i="5"/>
  <c r="S381" i="5"/>
  <c r="R381" i="5"/>
  <c r="S151" i="5"/>
  <c r="R151" i="5"/>
  <c r="R129" i="5"/>
  <c r="S129" i="5"/>
  <c r="S222" i="5"/>
  <c r="R222" i="5"/>
  <c r="R107" i="5"/>
  <c r="S107" i="5"/>
  <c r="R240" i="5"/>
  <c r="S240" i="5"/>
  <c r="S34" i="5"/>
  <c r="R34" i="5"/>
  <c r="R454" i="5"/>
  <c r="S454" i="5"/>
  <c r="R257" i="5"/>
  <c r="S257" i="5"/>
  <c r="S378" i="5"/>
  <c r="R378" i="5"/>
  <c r="S223" i="5"/>
  <c r="R223" i="5"/>
  <c r="R125" i="5"/>
  <c r="S125" i="5"/>
  <c r="R128" i="5"/>
  <c r="S128" i="5"/>
  <c r="S253" i="5"/>
  <c r="R253" i="5"/>
  <c r="R419" i="5"/>
  <c r="S419" i="5"/>
  <c r="R533" i="5"/>
  <c r="S533" i="5"/>
  <c r="S343" i="5"/>
  <c r="R343" i="5"/>
  <c r="R37" i="5"/>
  <c r="S37" i="5"/>
  <c r="R401" i="5"/>
  <c r="S401" i="5"/>
  <c r="S536" i="5"/>
  <c r="R536" i="5"/>
  <c r="R489" i="5"/>
  <c r="S489" i="5"/>
  <c r="S324" i="5"/>
  <c r="R324" i="5"/>
  <c r="R508" i="5"/>
  <c r="S508" i="5"/>
  <c r="R444" i="5"/>
  <c r="S444" i="5"/>
  <c r="S289" i="5"/>
  <c r="R289" i="5"/>
  <c r="R259" i="5"/>
  <c r="S259" i="5"/>
  <c r="R20" i="5"/>
  <c r="S20" i="5"/>
  <c r="S486" i="5"/>
  <c r="R486" i="5"/>
  <c r="S195" i="5"/>
  <c r="R195" i="5"/>
  <c r="S178" i="5"/>
  <c r="R178" i="5"/>
  <c r="S126" i="5"/>
  <c r="R126" i="5"/>
  <c r="R85" i="5"/>
  <c r="S85" i="5"/>
  <c r="S556" i="5"/>
  <c r="R556" i="5"/>
  <c r="R546" i="5"/>
  <c r="S546" i="5"/>
  <c r="S59" i="5"/>
  <c r="R59" i="5"/>
  <c r="R203" i="5"/>
  <c r="S203" i="5"/>
  <c r="R147" i="5"/>
  <c r="S147" i="5"/>
  <c r="S232" i="5"/>
  <c r="R232" i="5"/>
  <c r="R162" i="5"/>
  <c r="S162" i="5"/>
  <c r="S420" i="5"/>
  <c r="R420" i="5"/>
  <c r="S41" i="5"/>
  <c r="R41" i="5"/>
  <c r="S406" i="5"/>
  <c r="R406" i="5"/>
  <c r="R270" i="5"/>
  <c r="S270" i="5"/>
  <c r="S49" i="5"/>
  <c r="R49" i="5"/>
  <c r="S519" i="5"/>
  <c r="R519" i="5"/>
  <c r="S83" i="5"/>
  <c r="R83" i="5"/>
  <c r="S196" i="5"/>
  <c r="R196" i="5"/>
  <c r="S205" i="5"/>
  <c r="R205" i="5"/>
  <c r="S491" i="5"/>
  <c r="R491" i="5"/>
  <c r="R340" i="5"/>
  <c r="S340" i="5"/>
  <c r="S380" i="5"/>
  <c r="R380" i="5"/>
  <c r="R469" i="5"/>
  <c r="S469" i="5"/>
  <c r="S297" i="5"/>
  <c r="R297" i="5"/>
  <c r="S153" i="5"/>
  <c r="R153" i="5"/>
  <c r="R216" i="5"/>
  <c r="S216" i="5"/>
  <c r="S84" i="5"/>
  <c r="R84" i="5"/>
  <c r="S511" i="5"/>
  <c r="R511" i="5"/>
  <c r="R403" i="5"/>
  <c r="S403" i="5"/>
  <c r="S77" i="5"/>
  <c r="R77" i="5"/>
  <c r="R358" i="5"/>
  <c r="S358" i="5"/>
  <c r="S198" i="5"/>
  <c r="R198" i="5"/>
  <c r="S262" i="5"/>
  <c r="R262" i="5"/>
  <c r="S160" i="5"/>
  <c r="R160" i="5"/>
  <c r="R307" i="5"/>
  <c r="S307" i="5"/>
  <c r="S100" i="5"/>
  <c r="R100" i="5"/>
  <c r="S437" i="5"/>
  <c r="R437" i="5"/>
  <c r="R525" i="5"/>
  <c r="S525" i="5"/>
  <c r="R312" i="5"/>
  <c r="S312" i="5"/>
  <c r="R189" i="5"/>
  <c r="S189" i="5"/>
  <c r="S258" i="5"/>
  <c r="R258" i="5"/>
  <c r="R239" i="5"/>
  <c r="S239" i="5"/>
  <c r="S171" i="5"/>
  <c r="R171" i="5"/>
  <c r="R31" i="5"/>
  <c r="S31" i="5"/>
  <c r="R230" i="5"/>
  <c r="S230" i="5"/>
  <c r="S433" i="5"/>
  <c r="R433" i="5"/>
  <c r="R106" i="5"/>
  <c r="S106" i="5"/>
  <c r="S494" i="5"/>
  <c r="R494" i="5"/>
  <c r="R431" i="5"/>
  <c r="S431" i="5"/>
  <c r="R429" i="5"/>
  <c r="S429" i="5"/>
  <c r="R553" i="5"/>
  <c r="S553" i="5"/>
  <c r="R446" i="5"/>
  <c r="S446" i="5"/>
  <c r="R379" i="5"/>
  <c r="S379" i="5"/>
  <c r="S200" i="5"/>
  <c r="R200" i="5"/>
  <c r="R228" i="5"/>
  <c r="S228" i="5"/>
  <c r="S164" i="5"/>
  <c r="R164" i="5"/>
  <c r="S370" i="5"/>
  <c r="R370" i="5"/>
  <c r="S552" i="5"/>
  <c r="R552" i="5"/>
  <c r="S140" i="5"/>
  <c r="R140" i="5"/>
  <c r="S467" i="5"/>
  <c r="R467" i="5"/>
  <c r="S414" i="5"/>
  <c r="R414" i="5"/>
  <c r="R427" i="5"/>
  <c r="S427" i="5"/>
  <c r="R473" i="5"/>
  <c r="S473" i="5"/>
  <c r="R74" i="5"/>
  <c r="S74" i="5"/>
  <c r="S248" i="5"/>
  <c r="R248" i="5"/>
  <c r="S261" i="5"/>
  <c r="R261" i="5"/>
  <c r="S163" i="5"/>
  <c r="R163" i="5"/>
  <c r="S320" i="5"/>
  <c r="R320" i="5"/>
  <c r="R172" i="5"/>
  <c r="S172" i="5"/>
  <c r="S349" i="5"/>
  <c r="R349" i="5"/>
  <c r="S197" i="5"/>
  <c r="R197" i="5"/>
  <c r="R19" i="5"/>
  <c r="S19" i="5"/>
  <c r="S82" i="5"/>
  <c r="R82" i="5"/>
  <c r="S315" i="5"/>
  <c r="R315" i="5"/>
  <c r="R535" i="5"/>
  <c r="S535" i="5"/>
  <c r="S296" i="5"/>
  <c r="R296" i="5"/>
  <c r="R346" i="5"/>
  <c r="S346" i="5"/>
  <c r="S393" i="5"/>
  <c r="R393" i="5"/>
  <c r="S149" i="5"/>
  <c r="R149" i="5"/>
  <c r="S204" i="5"/>
  <c r="R204" i="5"/>
  <c r="S187" i="5"/>
  <c r="R187" i="5"/>
  <c r="S506" i="5"/>
  <c r="R506" i="5"/>
  <c r="S412" i="5"/>
  <c r="R412" i="5"/>
  <c r="R66" i="5"/>
  <c r="S66" i="5"/>
  <c r="S434" i="5"/>
  <c r="R434" i="5"/>
  <c r="R461" i="5"/>
  <c r="S461" i="5"/>
  <c r="S72" i="5"/>
  <c r="R72" i="5"/>
  <c r="R389" i="5"/>
  <c r="S389" i="5"/>
  <c r="R529" i="5"/>
  <c r="S529" i="5"/>
  <c r="R350" i="5"/>
  <c r="S350" i="5"/>
  <c r="S111" i="5"/>
  <c r="R111" i="5"/>
  <c r="S542" i="5"/>
  <c r="R542" i="5"/>
  <c r="R269" i="5"/>
  <c r="S269" i="5"/>
  <c r="R460" i="5"/>
  <c r="S460" i="5"/>
  <c r="R123" i="5"/>
  <c r="S123" i="5"/>
  <c r="S168" i="5"/>
  <c r="R168" i="5"/>
  <c r="R137" i="5"/>
  <c r="S137" i="5"/>
  <c r="R69" i="5"/>
  <c r="S69" i="5"/>
  <c r="R400" i="5"/>
  <c r="S400" i="5"/>
  <c r="R416" i="5"/>
  <c r="S416" i="5"/>
  <c r="R504" i="5"/>
  <c r="S504" i="5"/>
  <c r="R495" i="5"/>
  <c r="S495" i="5"/>
  <c r="R459" i="5"/>
  <c r="S459" i="5"/>
  <c r="R150" i="5"/>
  <c r="S150" i="5"/>
  <c r="Q11" i="5"/>
  <c r="AG11" i="5"/>
  <c r="AT11" i="5"/>
  <c r="AM11" i="5"/>
  <c r="AZ11" i="5"/>
  <c r="T11" i="5"/>
  <c r="AW11" i="5"/>
  <c r="AJ11" i="5"/>
  <c r="W11" i="5"/>
  <c r="Z11" i="5"/>
  <c r="AN103" i="4"/>
  <c r="AK103" i="4"/>
  <c r="AL103" i="4" s="1"/>
  <c r="AF103" i="4"/>
  <c r="AG103" i="4" s="1"/>
  <c r="AI103" i="4" s="1"/>
  <c r="AP103" i="4"/>
  <c r="AQ103" i="4"/>
  <c r="AC103" i="4"/>
  <c r="AD103" i="4" s="1"/>
  <c r="BE9" i="5"/>
  <c r="BD9" i="5"/>
  <c r="AP147" i="4"/>
  <c r="AC147" i="4"/>
  <c r="AD147" i="4" s="1"/>
  <c r="AQ147" i="4"/>
  <c r="AN30" i="4"/>
  <c r="AK30" i="4"/>
  <c r="AL30" i="4" s="1"/>
  <c r="AF30" i="4"/>
  <c r="AG30" i="4" s="1"/>
  <c r="AI30" i="4" s="1"/>
  <c r="AK44" i="4"/>
  <c r="AL44" i="4" s="1"/>
  <c r="AN44" i="4"/>
  <c r="AF44" i="4"/>
  <c r="AG44" i="4" s="1"/>
  <c r="AI44" i="4" s="1"/>
  <c r="AK33" i="4"/>
  <c r="AL33" i="4" s="1"/>
  <c r="AF33" i="4"/>
  <c r="AG33" i="4" s="1"/>
  <c r="AI33" i="4" s="1"/>
  <c r="AN33" i="4"/>
  <c r="BJ277" i="5"/>
  <c r="BK277" i="5"/>
  <c r="BJ371" i="5"/>
  <c r="BK371" i="5"/>
  <c r="BJ445" i="5"/>
  <c r="BK445" i="5"/>
  <c r="AR500" i="5"/>
  <c r="BI500" i="5"/>
  <c r="AQ500" i="5"/>
  <c r="AQ127" i="5"/>
  <c r="BI127" i="5"/>
  <c r="AR127" i="5"/>
  <c r="BJ532" i="5"/>
  <c r="BK532" i="5"/>
  <c r="BK465" i="5"/>
  <c r="BJ465" i="5"/>
  <c r="BJ425" i="5"/>
  <c r="BK425" i="5"/>
  <c r="BJ265" i="5"/>
  <c r="BK265" i="5"/>
  <c r="BK194" i="5"/>
  <c r="BJ194" i="5"/>
  <c r="AK107" i="4"/>
  <c r="AL107" i="4" s="1"/>
  <c r="AN107" i="4"/>
  <c r="AF107" i="4"/>
  <c r="AG107" i="4" s="1"/>
  <c r="AI107" i="4" s="1"/>
  <c r="AQ86" i="4"/>
  <c r="AP86" i="4"/>
  <c r="AC86" i="4"/>
  <c r="AD86" i="4" s="1"/>
  <c r="AN11" i="4"/>
  <c r="AK11" i="4"/>
  <c r="AL11" i="4" s="1"/>
  <c r="AF11" i="4"/>
  <c r="AG11" i="4" s="1"/>
  <c r="AI11" i="4" s="1"/>
  <c r="AN18" i="4"/>
  <c r="AF18" i="4"/>
  <c r="AG18" i="4" s="1"/>
  <c r="AI18" i="4" s="1"/>
  <c r="AK18" i="4"/>
  <c r="AL18" i="4" s="1"/>
  <c r="AN127" i="4"/>
  <c r="AK127" i="4"/>
  <c r="AL127" i="4" s="1"/>
  <c r="AF127" i="4"/>
  <c r="AG127" i="4" s="1"/>
  <c r="AI127" i="4" s="1"/>
  <c r="AN19" i="4"/>
  <c r="AK19" i="4"/>
  <c r="AL19" i="4" s="1"/>
  <c r="AF19" i="4"/>
  <c r="AG19" i="4" s="1"/>
  <c r="AI19" i="4" s="1"/>
  <c r="AF7" i="4"/>
  <c r="AG7" i="4" s="1"/>
  <c r="AI7" i="4" s="1"/>
  <c r="AN7" i="4"/>
  <c r="AK7" i="4"/>
  <c r="AL7" i="4" s="1"/>
  <c r="AK83" i="4"/>
  <c r="AL83" i="4" s="1"/>
  <c r="AN83" i="4"/>
  <c r="AF83" i="4"/>
  <c r="AG83" i="4" s="1"/>
  <c r="AI83" i="4" s="1"/>
  <c r="AQ126" i="4"/>
  <c r="AC126" i="4"/>
  <c r="AD126" i="4" s="1"/>
  <c r="AP126" i="4"/>
  <c r="AP31" i="4"/>
  <c r="AQ31" i="4"/>
  <c r="AC31" i="4"/>
  <c r="AD31" i="4" s="1"/>
  <c r="AR9" i="5"/>
  <c r="AQ9" i="5"/>
  <c r="BI9" i="5"/>
  <c r="BK56" i="5"/>
  <c r="BJ56" i="5"/>
  <c r="BJ461" i="5"/>
  <c r="BK461" i="5"/>
  <c r="BK360" i="5"/>
  <c r="BJ360" i="5"/>
  <c r="BJ430" i="5"/>
  <c r="BK430" i="5"/>
  <c r="BK295" i="5"/>
  <c r="BJ295" i="5"/>
  <c r="AQ267" i="5"/>
  <c r="BI267" i="5"/>
  <c r="AR267" i="5"/>
  <c r="BK128" i="5"/>
  <c r="BJ128" i="5"/>
  <c r="AQ72" i="4"/>
  <c r="AP72" i="4"/>
  <c r="AC72" i="4"/>
  <c r="AD72" i="4" s="1"/>
  <c r="AQ36" i="4"/>
  <c r="AP36" i="4"/>
  <c r="AC36" i="4"/>
  <c r="AD36" i="4" s="1"/>
  <c r="AN131" i="4"/>
  <c r="AK131" i="4"/>
  <c r="AL131" i="4" s="1"/>
  <c r="AF131" i="4"/>
  <c r="AG131" i="4" s="1"/>
  <c r="AI131" i="4" s="1"/>
  <c r="AK73" i="4"/>
  <c r="AL73" i="4" s="1"/>
  <c r="AN73" i="4"/>
  <c r="AF73" i="4"/>
  <c r="AG73" i="4" s="1"/>
  <c r="AI73" i="4" s="1"/>
  <c r="AN49" i="4"/>
  <c r="AK49" i="4"/>
  <c r="AL49" i="4" s="1"/>
  <c r="AF49" i="4"/>
  <c r="AG49" i="4" s="1"/>
  <c r="AI49" i="4" s="1"/>
  <c r="AQ71" i="4"/>
  <c r="AP71" i="4"/>
  <c r="AC71" i="4"/>
  <c r="AD71" i="4" s="1"/>
  <c r="BJ513" i="5"/>
  <c r="BK513" i="5"/>
  <c r="AR77" i="5"/>
  <c r="AQ77" i="5"/>
  <c r="BI77" i="5"/>
  <c r="BK55" i="5"/>
  <c r="BJ55" i="5"/>
  <c r="BJ104" i="5"/>
  <c r="BK104" i="5"/>
  <c r="BJ89" i="5"/>
  <c r="BK89" i="5"/>
  <c r="BK467" i="5"/>
  <c r="BJ467" i="5"/>
  <c r="BK401" i="5"/>
  <c r="BJ401" i="5"/>
  <c r="BJ506" i="5"/>
  <c r="BK506" i="5"/>
  <c r="BJ361" i="5"/>
  <c r="BK361" i="5"/>
  <c r="BK123" i="5"/>
  <c r="BJ123" i="5"/>
  <c r="BJ110" i="5"/>
  <c r="BK110" i="5"/>
  <c r="BK20" i="5"/>
  <c r="BJ20" i="5"/>
  <c r="BK520" i="5"/>
  <c r="BJ520" i="5"/>
  <c r="AR416" i="5"/>
  <c r="BI416" i="5"/>
  <c r="AQ416" i="5"/>
  <c r="BJ51" i="5"/>
  <c r="BK51" i="5"/>
  <c r="BJ88" i="5"/>
  <c r="BK88" i="5"/>
  <c r="BK390" i="5"/>
  <c r="BJ390" i="5"/>
  <c r="BK60" i="5"/>
  <c r="BJ60" i="5"/>
  <c r="BK92" i="5"/>
  <c r="BJ92" i="5"/>
  <c r="BK398" i="5"/>
  <c r="BJ398" i="5"/>
  <c r="BK354" i="5"/>
  <c r="BJ354" i="5"/>
  <c r="BJ230" i="5"/>
  <c r="BK230" i="5"/>
  <c r="BK270" i="5"/>
  <c r="BJ270" i="5"/>
  <c r="BJ215" i="5"/>
  <c r="BK215" i="5"/>
  <c r="BJ224" i="5"/>
  <c r="BK224" i="5"/>
  <c r="BK482" i="5"/>
  <c r="BJ482" i="5"/>
  <c r="BJ559" i="5"/>
  <c r="BK559" i="5"/>
  <c r="AN146" i="4"/>
  <c r="AK146" i="4"/>
  <c r="AL146" i="4" s="1"/>
  <c r="AF146" i="4"/>
  <c r="AG146" i="4" s="1"/>
  <c r="AI146" i="4" s="1"/>
  <c r="AP64" i="4"/>
  <c r="AQ64" i="4"/>
  <c r="AC64" i="4"/>
  <c r="AD64" i="4" s="1"/>
  <c r="AP37" i="4"/>
  <c r="AC37" i="4"/>
  <c r="AD37" i="4" s="1"/>
  <c r="AQ37" i="4"/>
  <c r="AP68" i="4"/>
  <c r="AC68" i="4"/>
  <c r="AD68" i="4" s="1"/>
  <c r="AQ68" i="4"/>
  <c r="AK130" i="4"/>
  <c r="AL130" i="4" s="1"/>
  <c r="AN130" i="4"/>
  <c r="AF130" i="4"/>
  <c r="AG130" i="4" s="1"/>
  <c r="AI130" i="4" s="1"/>
  <c r="AN55" i="4"/>
  <c r="AK55" i="4"/>
  <c r="AL55" i="4" s="1"/>
  <c r="AF55" i="4"/>
  <c r="AG55" i="4" s="1"/>
  <c r="AI55" i="4" s="1"/>
  <c r="AN20" i="4"/>
  <c r="AF20" i="4"/>
  <c r="AG20" i="4" s="1"/>
  <c r="AI20" i="4" s="1"/>
  <c r="AK20" i="4"/>
  <c r="AL20" i="4" s="1"/>
  <c r="AQ140" i="4"/>
  <c r="AN88" i="4"/>
  <c r="AK88" i="4"/>
  <c r="AL88" i="4" s="1"/>
  <c r="AF88" i="4"/>
  <c r="AG88" i="4" s="1"/>
  <c r="AI88" i="4" s="1"/>
  <c r="AQ70" i="4"/>
  <c r="AP70" i="4"/>
  <c r="AC70" i="4"/>
  <c r="AD70" i="4" s="1"/>
  <c r="AQ150" i="4"/>
  <c r="AP150" i="4"/>
  <c r="AC150" i="4"/>
  <c r="AD150" i="4" s="1"/>
  <c r="BJ39" i="5"/>
  <c r="BK39" i="5"/>
  <c r="BK309" i="5"/>
  <c r="BJ309" i="5"/>
  <c r="BJ438" i="5"/>
  <c r="BK438" i="5"/>
  <c r="BJ405" i="5"/>
  <c r="BK405" i="5"/>
  <c r="BK475" i="5"/>
  <c r="BJ475" i="5"/>
  <c r="AK108" i="4"/>
  <c r="AL108" i="4" s="1"/>
  <c r="AF108" i="4"/>
  <c r="AG108" i="4" s="1"/>
  <c r="AI108" i="4" s="1"/>
  <c r="AN108" i="4"/>
  <c r="BK36" i="5"/>
  <c r="BJ36" i="5"/>
  <c r="BJ46" i="5"/>
  <c r="BK46" i="5"/>
  <c r="BK447" i="5"/>
  <c r="BJ447" i="5"/>
  <c r="BK453" i="5"/>
  <c r="BJ453" i="5"/>
  <c r="BJ158" i="5"/>
  <c r="BK158" i="5"/>
  <c r="BK428" i="5"/>
  <c r="BJ428" i="5"/>
  <c r="BK439" i="5"/>
  <c r="BJ439" i="5"/>
  <c r="BK236" i="5"/>
  <c r="BJ236" i="5"/>
  <c r="BJ191" i="5"/>
  <c r="BK191" i="5"/>
  <c r="BJ143" i="5"/>
  <c r="BK143" i="5"/>
  <c r="BJ369" i="5"/>
  <c r="BK369" i="5"/>
  <c r="BK204" i="5"/>
  <c r="BJ204" i="5"/>
  <c r="BJ470" i="5"/>
  <c r="BK470" i="5"/>
  <c r="BJ338" i="5"/>
  <c r="BK338" i="5"/>
  <c r="BK67" i="5"/>
  <c r="BJ67" i="5"/>
  <c r="BK466" i="5"/>
  <c r="BJ466" i="5"/>
  <c r="BK508" i="5"/>
  <c r="BJ508" i="5"/>
  <c r="BK81" i="5"/>
  <c r="BJ81" i="5"/>
  <c r="BK407" i="5"/>
  <c r="BJ407" i="5"/>
  <c r="AR84" i="5"/>
  <c r="BI84" i="5"/>
  <c r="AQ84" i="5"/>
  <c r="BK378" i="5"/>
  <c r="BJ378" i="5"/>
  <c r="BJ228" i="5"/>
  <c r="BK228" i="5"/>
  <c r="BJ49" i="5"/>
  <c r="BK49" i="5"/>
  <c r="R179" i="5"/>
  <c r="S179" i="5"/>
  <c r="S35" i="5"/>
  <c r="R35" i="5"/>
  <c r="S550" i="5"/>
  <c r="R550" i="5"/>
  <c r="R375" i="5"/>
  <c r="S375" i="5"/>
  <c r="S264" i="5"/>
  <c r="R264" i="5"/>
  <c r="S265" i="5"/>
  <c r="R265" i="5"/>
  <c r="R323" i="5"/>
  <c r="S323" i="5"/>
  <c r="R369" i="5"/>
  <c r="S369" i="5"/>
  <c r="S373" i="5"/>
  <c r="R373" i="5"/>
  <c r="S109" i="5"/>
  <c r="R109" i="5"/>
  <c r="S56" i="5"/>
  <c r="R56" i="5"/>
  <c r="S141" i="5"/>
  <c r="R141" i="5"/>
  <c r="S80" i="5"/>
  <c r="R80" i="5"/>
  <c r="R121" i="5"/>
  <c r="S121" i="5"/>
  <c r="R25" i="5"/>
  <c r="S25" i="5"/>
  <c r="R36" i="5"/>
  <c r="S36" i="5"/>
  <c r="R47" i="5"/>
  <c r="S47" i="5"/>
  <c r="R102" i="5"/>
  <c r="S102" i="5"/>
  <c r="R299" i="5"/>
  <c r="S299" i="5"/>
  <c r="S520" i="5"/>
  <c r="R520" i="5"/>
  <c r="R507" i="5"/>
  <c r="S507" i="5"/>
  <c r="R234" i="5"/>
  <c r="S234" i="5"/>
  <c r="R57" i="5"/>
  <c r="S57" i="5"/>
  <c r="R413" i="5"/>
  <c r="S413" i="5"/>
  <c r="S181" i="5"/>
  <c r="R181" i="5"/>
  <c r="R398" i="5"/>
  <c r="S398" i="5"/>
  <c r="R138" i="5"/>
  <c r="S138" i="5"/>
  <c r="R559" i="5"/>
  <c r="S559" i="5"/>
  <c r="R21" i="5"/>
  <c r="S21" i="5"/>
  <c r="R98" i="5"/>
  <c r="S98" i="5"/>
  <c r="S425" i="5"/>
  <c r="R425" i="5"/>
  <c r="S544" i="5"/>
  <c r="R544" i="5"/>
  <c r="S560" i="5"/>
  <c r="R560" i="5"/>
  <c r="S145" i="5"/>
  <c r="R145" i="5"/>
  <c r="R335" i="5"/>
  <c r="S335" i="5"/>
  <c r="R280" i="5"/>
  <c r="S280" i="5"/>
  <c r="S22" i="5"/>
  <c r="R22" i="5"/>
  <c r="R510" i="5"/>
  <c r="S510" i="5"/>
  <c r="R355" i="5"/>
  <c r="S355" i="5"/>
  <c r="S271" i="5"/>
  <c r="R271" i="5"/>
  <c r="R127" i="5"/>
  <c r="S127" i="5"/>
  <c r="S152" i="5"/>
  <c r="R152" i="5"/>
  <c r="R313" i="5"/>
  <c r="S313" i="5"/>
  <c r="R521" i="5"/>
  <c r="S521" i="5"/>
  <c r="R490" i="5"/>
  <c r="S490" i="5"/>
  <c r="R450" i="5"/>
  <c r="S450" i="5"/>
  <c r="R532" i="5"/>
  <c r="S532" i="5"/>
  <c r="S268" i="5"/>
  <c r="R268" i="5"/>
  <c r="S276" i="5"/>
  <c r="R276" i="5"/>
  <c r="R337" i="5"/>
  <c r="S337" i="5"/>
  <c r="R468" i="5"/>
  <c r="S468" i="5"/>
  <c r="S426" i="5"/>
  <c r="R426" i="5"/>
  <c r="R475" i="5"/>
  <c r="S475" i="5"/>
  <c r="S174" i="5"/>
  <c r="R174" i="5"/>
  <c r="S482" i="5"/>
  <c r="R482" i="5"/>
  <c r="S76" i="5"/>
  <c r="R76" i="5"/>
  <c r="S445" i="5"/>
  <c r="R445" i="5"/>
  <c r="R115" i="5"/>
  <c r="S115" i="5"/>
  <c r="R341" i="5"/>
  <c r="S341" i="5"/>
  <c r="S374" i="5"/>
  <c r="R374" i="5"/>
  <c r="S290" i="5"/>
  <c r="R290" i="5"/>
  <c r="S487" i="5"/>
  <c r="R487" i="5"/>
  <c r="S247" i="5"/>
  <c r="R247" i="5"/>
  <c r="S558" i="5"/>
  <c r="R558" i="5"/>
  <c r="S345" i="5"/>
  <c r="R345" i="5"/>
  <c r="R330" i="5"/>
  <c r="S330" i="5"/>
  <c r="R371" i="5"/>
  <c r="S371" i="5"/>
  <c r="S75" i="5"/>
  <c r="R75" i="5"/>
  <c r="R483" i="5"/>
  <c r="S483" i="5"/>
  <c r="R523" i="5"/>
  <c r="S523" i="5"/>
  <c r="R474" i="5"/>
  <c r="S474" i="5"/>
  <c r="R229" i="5"/>
  <c r="S229" i="5"/>
  <c r="R549" i="5"/>
  <c r="S549" i="5"/>
  <c r="S479" i="5"/>
  <c r="R479" i="5"/>
  <c r="S372" i="5"/>
  <c r="R372" i="5"/>
  <c r="R95" i="5"/>
  <c r="S95" i="5"/>
  <c r="R255" i="5"/>
  <c r="S255" i="5"/>
  <c r="R384" i="5"/>
  <c r="S384" i="5"/>
  <c r="R155" i="5"/>
  <c r="S155" i="5"/>
  <c r="S496" i="5"/>
  <c r="R496" i="5"/>
  <c r="R278" i="5"/>
  <c r="S278" i="5"/>
  <c r="R368" i="5"/>
  <c r="S368" i="5"/>
  <c r="S40" i="5"/>
  <c r="R40" i="5"/>
  <c r="S453" i="5"/>
  <c r="R453" i="5"/>
  <c r="S44" i="5"/>
  <c r="R44" i="5"/>
  <c r="R309" i="5"/>
  <c r="S309" i="5"/>
  <c r="S334" i="5"/>
  <c r="R334" i="5"/>
  <c r="R202" i="5"/>
  <c r="S202" i="5"/>
  <c r="S61" i="5"/>
  <c r="R61" i="5"/>
  <c r="R46" i="5"/>
  <c r="S46" i="5"/>
  <c r="S396" i="5"/>
  <c r="R396" i="5"/>
  <c r="S157" i="5"/>
  <c r="R157" i="5"/>
  <c r="R480" i="5"/>
  <c r="S480" i="5"/>
  <c r="S279" i="5"/>
  <c r="R279" i="5"/>
  <c r="R351" i="5"/>
  <c r="S351" i="5"/>
  <c r="R64" i="5"/>
  <c r="S64" i="5"/>
  <c r="R505" i="5"/>
  <c r="S505" i="5"/>
  <c r="S515" i="5"/>
  <c r="R515" i="5"/>
  <c r="S29" i="5"/>
  <c r="R29" i="5"/>
  <c r="R266" i="5"/>
  <c r="S266" i="5"/>
  <c r="R530" i="5"/>
  <c r="S530" i="5"/>
  <c r="S333" i="5"/>
  <c r="R333" i="5"/>
  <c r="S538" i="5"/>
  <c r="R538" i="5"/>
  <c r="R359" i="5"/>
  <c r="S359" i="5"/>
  <c r="S39" i="5"/>
  <c r="R39" i="5"/>
  <c r="R110" i="5"/>
  <c r="S110" i="5"/>
  <c r="S356" i="5"/>
  <c r="R356" i="5"/>
  <c r="S99" i="5"/>
  <c r="R99" i="5"/>
  <c r="R301" i="5"/>
  <c r="S301" i="5"/>
  <c r="S212" i="5"/>
  <c r="R212" i="5"/>
  <c r="S273" i="5"/>
  <c r="R273" i="5"/>
  <c r="R238" i="5"/>
  <c r="S238" i="5"/>
  <c r="R246" i="5"/>
  <c r="S246" i="5"/>
  <c r="R283" i="5"/>
  <c r="S283" i="5"/>
  <c r="R24" i="5"/>
  <c r="S24" i="5"/>
  <c r="R390" i="5"/>
  <c r="S390" i="5"/>
  <c r="S113" i="5"/>
  <c r="R113" i="5"/>
  <c r="R12" i="5"/>
  <c r="S12" i="5"/>
  <c r="R466" i="5"/>
  <c r="S466" i="5"/>
  <c r="R156" i="5"/>
  <c r="S156" i="5"/>
  <c r="S81" i="5"/>
  <c r="R81" i="5"/>
  <c r="S363" i="5"/>
  <c r="R363" i="5"/>
  <c r="S452" i="5"/>
  <c r="R452" i="5"/>
  <c r="S451" i="5"/>
  <c r="R451" i="5"/>
  <c r="S244" i="5"/>
  <c r="R244" i="5"/>
  <c r="R134" i="5"/>
  <c r="S134" i="5"/>
  <c r="S386" i="5"/>
  <c r="R386" i="5"/>
  <c r="S442" i="5"/>
  <c r="R442" i="5"/>
  <c r="R281" i="5"/>
  <c r="S281" i="5"/>
  <c r="R233" i="5"/>
  <c r="S233" i="5"/>
  <c r="R488" i="5"/>
  <c r="S488" i="5"/>
  <c r="R131" i="5"/>
  <c r="S131" i="5"/>
  <c r="R292" i="5"/>
  <c r="S292" i="5"/>
  <c r="S45" i="5"/>
  <c r="R45" i="5"/>
  <c r="R402" i="5"/>
  <c r="S402" i="5"/>
  <c r="R464" i="5"/>
  <c r="S464" i="5"/>
  <c r="R154" i="5"/>
  <c r="S154" i="5"/>
  <c r="BK556" i="5"/>
  <c r="BJ556" i="5"/>
  <c r="AK99" i="4"/>
  <c r="AL99" i="4" s="1"/>
  <c r="AF99" i="4"/>
  <c r="AG99" i="4" s="1"/>
  <c r="AI99" i="4" s="1"/>
  <c r="AN99" i="4"/>
  <c r="AP91" i="4"/>
  <c r="AQ91" i="4"/>
  <c r="AC91" i="4"/>
  <c r="AD91" i="4" s="1"/>
  <c r="AP53" i="4"/>
  <c r="AQ53" i="4"/>
  <c r="AC53" i="4"/>
  <c r="AD53" i="4" s="1"/>
  <c r="AK48" i="4"/>
  <c r="AL48" i="4" s="1"/>
  <c r="AN48" i="4"/>
  <c r="AF48" i="4"/>
  <c r="AG48" i="4" s="1"/>
  <c r="AI48" i="4" s="1"/>
  <c r="AP48" i="4"/>
  <c r="AQ48" i="4"/>
  <c r="AC48" i="4"/>
  <c r="AD48" i="4" s="1"/>
  <c r="AC129" i="5"/>
  <c r="AC249" i="5"/>
  <c r="AC167" i="5"/>
  <c r="AC170" i="5"/>
  <c r="AC527" i="5"/>
  <c r="AC315" i="5"/>
  <c r="AP151" i="4"/>
  <c r="AN147" i="4"/>
  <c r="AK147" i="4"/>
  <c r="AL147" i="4" s="1"/>
  <c r="AF147" i="4"/>
  <c r="AG147" i="4" s="1"/>
  <c r="AI147" i="4" s="1"/>
  <c r="AQ44" i="4"/>
  <c r="AP44" i="4"/>
  <c r="AC44" i="4"/>
  <c r="AD44" i="4" s="1"/>
  <c r="BK395" i="5"/>
  <c r="BJ395" i="5"/>
  <c r="BK342" i="5"/>
  <c r="BJ342" i="5"/>
  <c r="BK29" i="5"/>
  <c r="BJ29" i="5"/>
  <c r="BJ139" i="5"/>
  <c r="BK139" i="5"/>
  <c r="BK172" i="5"/>
  <c r="BJ172" i="5"/>
  <c r="BK85" i="5"/>
  <c r="BJ85" i="5"/>
  <c r="BJ550" i="5"/>
  <c r="BK550" i="5"/>
  <c r="BK93" i="5"/>
  <c r="BJ93" i="5"/>
  <c r="BJ133" i="5"/>
  <c r="BK133" i="5"/>
  <c r="AP107" i="4"/>
  <c r="AQ107" i="4"/>
  <c r="AC107" i="4"/>
  <c r="AD107" i="4" s="1"/>
  <c r="AN86" i="4"/>
  <c r="AK86" i="4"/>
  <c r="AL86" i="4" s="1"/>
  <c r="AF86" i="4"/>
  <c r="AG86" i="4" s="1"/>
  <c r="AI86" i="4" s="1"/>
  <c r="AN132" i="4"/>
  <c r="AK132" i="4"/>
  <c r="AL132" i="4" s="1"/>
  <c r="AF132" i="4"/>
  <c r="AG132" i="4" s="1"/>
  <c r="AI132" i="4" s="1"/>
  <c r="AQ17" i="4"/>
  <c r="AC17" i="4"/>
  <c r="AD17" i="4" s="1"/>
  <c r="AP17" i="4"/>
  <c r="AK52" i="4"/>
  <c r="AL52" i="4" s="1"/>
  <c r="AN52" i="4"/>
  <c r="AF52" i="4"/>
  <c r="AG52" i="4" s="1"/>
  <c r="AI52" i="4" s="1"/>
  <c r="AQ52" i="4"/>
  <c r="AP52" i="4"/>
  <c r="AC52" i="4"/>
  <c r="AD52" i="4" s="1"/>
  <c r="AK154" i="4"/>
  <c r="AL154" i="4" s="1"/>
  <c r="AF154" i="4"/>
  <c r="AG154" i="4" s="1"/>
  <c r="AI154" i="4" s="1"/>
  <c r="AN154" i="4"/>
  <c r="AP125" i="4"/>
  <c r="AQ125" i="4"/>
  <c r="AC125" i="4"/>
  <c r="AD125" i="4" s="1"/>
  <c r="AF22" i="4"/>
  <c r="AG22" i="4" s="1"/>
  <c r="AI22" i="4" s="1"/>
  <c r="AK22" i="4"/>
  <c r="AL22" i="4" s="1"/>
  <c r="AN22" i="4"/>
  <c r="AQ40" i="4"/>
  <c r="AP40" i="4"/>
  <c r="AC40" i="4"/>
  <c r="AD40" i="4" s="1"/>
  <c r="AK156" i="4"/>
  <c r="AL156" i="4" s="1"/>
  <c r="AN156" i="4"/>
  <c r="AF156" i="4"/>
  <c r="AG156" i="4" s="1"/>
  <c r="AI156" i="4" s="1"/>
  <c r="AP127" i="4"/>
  <c r="AQ127" i="4"/>
  <c r="AC127" i="4"/>
  <c r="AD127" i="4" s="1"/>
  <c r="AK38" i="4"/>
  <c r="AL38" i="4" s="1"/>
  <c r="AN38" i="4"/>
  <c r="AF38" i="4"/>
  <c r="AG38" i="4" s="1"/>
  <c r="AI38" i="4" s="1"/>
  <c r="AN126" i="4"/>
  <c r="AK126" i="4"/>
  <c r="AL126" i="4" s="1"/>
  <c r="AF126" i="4"/>
  <c r="AG126" i="4" s="1"/>
  <c r="AI126" i="4" s="1"/>
  <c r="AP145" i="4"/>
  <c r="AQ145" i="4"/>
  <c r="AC145" i="4"/>
  <c r="AD145" i="4" s="1"/>
  <c r="AR497" i="5"/>
  <c r="BI497" i="5"/>
  <c r="AQ497" i="5"/>
  <c r="AQ33" i="5"/>
  <c r="BI33" i="5"/>
  <c r="AR33" i="5"/>
  <c r="BK292" i="5"/>
  <c r="BJ292" i="5"/>
  <c r="BK177" i="5"/>
  <c r="BJ177" i="5"/>
  <c r="BJ205" i="5"/>
  <c r="BK205" i="5"/>
  <c r="BK370" i="5"/>
  <c r="BJ370" i="5"/>
  <c r="BJ140" i="5"/>
  <c r="BK140" i="5"/>
  <c r="AK72" i="4"/>
  <c r="AL72" i="4" s="1"/>
  <c r="AN72" i="4"/>
  <c r="AF72" i="4"/>
  <c r="AG72" i="4" s="1"/>
  <c r="AI72" i="4" s="1"/>
  <c r="AQ42" i="4"/>
  <c r="AP42" i="4"/>
  <c r="AC42" i="4"/>
  <c r="AD42" i="4" s="1"/>
  <c r="AF14" i="4"/>
  <c r="AG14" i="4" s="1"/>
  <c r="AI14" i="4" s="1"/>
  <c r="AK14" i="4"/>
  <c r="AL14" i="4" s="1"/>
  <c r="AN14" i="4"/>
  <c r="AN23" i="4"/>
  <c r="AK23" i="4"/>
  <c r="AL23" i="4" s="1"/>
  <c r="AF23" i="4"/>
  <c r="AG23" i="4" s="1"/>
  <c r="AI23" i="4" s="1"/>
  <c r="AK153" i="4"/>
  <c r="AL153" i="4" s="1"/>
  <c r="AN153" i="4"/>
  <c r="AF153" i="4"/>
  <c r="AG153" i="4" s="1"/>
  <c r="AI153" i="4" s="1"/>
  <c r="AK58" i="4"/>
  <c r="AL58" i="4" s="1"/>
  <c r="AN58" i="4"/>
  <c r="AF58" i="4"/>
  <c r="AG58" i="4" s="1"/>
  <c r="AI58" i="4" s="1"/>
  <c r="AN123" i="4"/>
  <c r="AK123" i="4"/>
  <c r="AL123" i="4" s="1"/>
  <c r="AF123" i="4"/>
  <c r="AG123" i="4" s="1"/>
  <c r="AI123" i="4" s="1"/>
  <c r="AN26" i="4"/>
  <c r="AK26" i="4"/>
  <c r="AL26" i="4" s="1"/>
  <c r="AF26" i="4"/>
  <c r="AG26" i="4" s="1"/>
  <c r="AI26" i="4" s="1"/>
  <c r="AQ26" i="4"/>
  <c r="AP26" i="4"/>
  <c r="AC26" i="4"/>
  <c r="AD26" i="4" s="1"/>
  <c r="AQ124" i="4"/>
  <c r="AP124" i="4"/>
  <c r="AC124" i="4"/>
  <c r="AD124" i="4" s="1"/>
  <c r="AQ73" i="4"/>
  <c r="AP73" i="4"/>
  <c r="AC73" i="4"/>
  <c r="AD73" i="4" s="1"/>
  <c r="AN155" i="4"/>
  <c r="AF155" i="4"/>
  <c r="AG155" i="4" s="1"/>
  <c r="AI155" i="4" s="1"/>
  <c r="AK155" i="4"/>
  <c r="AL155" i="4" s="1"/>
  <c r="AK157" i="4"/>
  <c r="AL157" i="4" s="1"/>
  <c r="AN157" i="4"/>
  <c r="AF157" i="4"/>
  <c r="AG157" i="4" s="1"/>
  <c r="AI157" i="4" s="1"/>
  <c r="BK414" i="5"/>
  <c r="BJ414" i="5"/>
  <c r="BK517" i="5"/>
  <c r="BJ517" i="5"/>
  <c r="BK281" i="5"/>
  <c r="BJ281" i="5"/>
  <c r="BK364" i="5"/>
  <c r="BJ364" i="5"/>
  <c r="BJ393" i="5"/>
  <c r="BK393" i="5"/>
  <c r="BK310" i="5"/>
  <c r="BJ310" i="5"/>
  <c r="BJ138" i="5"/>
  <c r="BK138" i="5"/>
  <c r="BJ443" i="5"/>
  <c r="BK443" i="5"/>
  <c r="BJ510" i="5"/>
  <c r="BK510" i="5"/>
  <c r="BK435" i="5"/>
  <c r="BJ435" i="5"/>
  <c r="BK319" i="5"/>
  <c r="BJ319" i="5"/>
  <c r="BJ478" i="5"/>
  <c r="BK478" i="5"/>
  <c r="BJ48" i="5"/>
  <c r="BK48" i="5"/>
  <c r="BJ558" i="5"/>
  <c r="BK558" i="5"/>
  <c r="BJ434" i="5"/>
  <c r="BK434" i="5"/>
  <c r="BJ474" i="5"/>
  <c r="BK474" i="5"/>
  <c r="BJ388" i="5"/>
  <c r="BK388" i="5"/>
  <c r="BK246" i="5"/>
  <c r="BJ246" i="5"/>
  <c r="AQ209" i="5"/>
  <c r="AR209" i="5"/>
  <c r="BI209" i="5"/>
  <c r="AR13" i="5"/>
  <c r="BI13" i="5"/>
  <c r="AQ13" i="5"/>
  <c r="BK491" i="5"/>
  <c r="BJ491" i="5"/>
  <c r="BK262" i="5"/>
  <c r="BJ262" i="5"/>
  <c r="BK53" i="5"/>
  <c r="BJ53" i="5"/>
  <c r="BK75" i="5"/>
  <c r="BJ75" i="5"/>
  <c r="BK521" i="5"/>
  <c r="BJ521" i="5"/>
  <c r="BJ484" i="5"/>
  <c r="BK484" i="5"/>
  <c r="BK297" i="5"/>
  <c r="BJ297" i="5"/>
  <c r="BK165" i="5"/>
  <c r="BJ165" i="5"/>
  <c r="BK413" i="5"/>
  <c r="BJ413" i="5"/>
  <c r="BJ552" i="5"/>
  <c r="BK552" i="5"/>
  <c r="BK298" i="5"/>
  <c r="BJ298" i="5"/>
  <c r="BJ541" i="5"/>
  <c r="BK541" i="5"/>
  <c r="BJ192" i="5"/>
  <c r="BK192" i="5"/>
  <c r="BJ35" i="5"/>
  <c r="BK35" i="5"/>
  <c r="BJ355" i="5"/>
  <c r="BK355" i="5"/>
  <c r="BJ509" i="5"/>
  <c r="BK509" i="5"/>
  <c r="BJ144" i="5"/>
  <c r="BK144" i="5"/>
  <c r="BK379" i="5"/>
  <c r="BJ379" i="5"/>
  <c r="BK340" i="5"/>
  <c r="BJ340" i="5"/>
  <c r="BK285" i="5"/>
  <c r="BJ285" i="5"/>
  <c r="BJ202" i="5"/>
  <c r="BK202" i="5"/>
  <c r="BJ420" i="5"/>
  <c r="BK420" i="5"/>
  <c r="AN34" i="4"/>
  <c r="AK34" i="4"/>
  <c r="AL34" i="4" s="1"/>
  <c r="AF34" i="4"/>
  <c r="AG34" i="4" s="1"/>
  <c r="AI34" i="4" s="1"/>
  <c r="AQ41" i="4"/>
  <c r="AP41" i="4"/>
  <c r="AC41" i="4"/>
  <c r="AD41" i="4" s="1"/>
  <c r="AQ56" i="4"/>
  <c r="AP56" i="4"/>
  <c r="AC56" i="4"/>
  <c r="AD56" i="4" s="1"/>
  <c r="AQ39" i="4"/>
  <c r="AC39" i="4"/>
  <c r="AD39" i="4" s="1"/>
  <c r="AP39" i="4"/>
  <c r="AP43" i="4"/>
  <c r="AQ43" i="4"/>
  <c r="AC43" i="4"/>
  <c r="AD43" i="4" s="1"/>
  <c r="AQ88" i="4"/>
  <c r="AP88" i="4"/>
  <c r="AC88" i="4"/>
  <c r="AD88" i="4" s="1"/>
  <c r="AQ128" i="4"/>
  <c r="AC128" i="4"/>
  <c r="AD128" i="4" s="1"/>
  <c r="AP128" i="4"/>
  <c r="AN150" i="4"/>
  <c r="AK150" i="4"/>
  <c r="AL150" i="4" s="1"/>
  <c r="AF150" i="4"/>
  <c r="AG150" i="4" s="1"/>
  <c r="AI150" i="4" s="1"/>
  <c r="BJ345" i="5"/>
  <c r="BK345" i="5"/>
  <c r="BK375" i="5"/>
  <c r="BJ375" i="5"/>
  <c r="AQ108" i="4"/>
  <c r="BK242" i="5"/>
  <c r="BJ242" i="5"/>
  <c r="BK480" i="5"/>
  <c r="BJ480" i="5"/>
  <c r="BI73" i="5"/>
  <c r="AQ73" i="5"/>
  <c r="AR73" i="5"/>
  <c r="BK547" i="5"/>
  <c r="BJ547" i="5"/>
  <c r="BK283" i="5"/>
  <c r="BJ283" i="5"/>
  <c r="BJ126" i="5"/>
  <c r="BK126" i="5"/>
  <c r="BK42" i="5"/>
  <c r="BJ42" i="5"/>
  <c r="AR151" i="5"/>
  <c r="BI151" i="5"/>
  <c r="AQ151" i="5"/>
  <c r="BK214" i="5"/>
  <c r="BJ214" i="5"/>
  <c r="BJ114" i="5"/>
  <c r="BK114" i="5"/>
  <c r="BJ294" i="5"/>
  <c r="BK294" i="5"/>
  <c r="BK423" i="5"/>
  <c r="BJ423" i="5"/>
  <c r="BK287" i="5"/>
  <c r="BJ287" i="5"/>
  <c r="BJ410" i="5"/>
  <c r="BK410" i="5"/>
  <c r="BJ137" i="5"/>
  <c r="BK137" i="5"/>
  <c r="BK259" i="5"/>
  <c r="BJ259" i="5"/>
  <c r="AQ219" i="5"/>
  <c r="BI219" i="5"/>
  <c r="AR219" i="5"/>
  <c r="BK44" i="5"/>
  <c r="BJ44" i="5"/>
  <c r="BK468" i="5"/>
  <c r="BJ468" i="5"/>
  <c r="BK373" i="5"/>
  <c r="BJ373" i="5"/>
  <c r="BJ530" i="5"/>
  <c r="BK530" i="5"/>
  <c r="BJ25" i="5"/>
  <c r="BK25" i="5"/>
  <c r="BK293" i="5"/>
  <c r="BJ293" i="5"/>
  <c r="BK514" i="5"/>
  <c r="BJ514" i="5"/>
  <c r="BJ149" i="5"/>
  <c r="BK149" i="5"/>
  <c r="BK382" i="5"/>
  <c r="BJ382" i="5"/>
  <c r="S311" i="5"/>
  <c r="R311" i="5"/>
  <c r="R183" i="5"/>
  <c r="S183" i="5"/>
  <c r="R13" i="5"/>
  <c r="S13" i="5"/>
  <c r="S302" i="5"/>
  <c r="R302" i="5"/>
  <c r="S242" i="5"/>
  <c r="R242" i="5"/>
  <c r="R367" i="5"/>
  <c r="S367" i="5"/>
  <c r="R118" i="5"/>
  <c r="S118" i="5"/>
  <c r="R423" i="5"/>
  <c r="S423" i="5"/>
  <c r="R256" i="5"/>
  <c r="S256" i="5"/>
  <c r="S182" i="5"/>
  <c r="R182" i="5"/>
  <c r="R555" i="5"/>
  <c r="S555" i="5"/>
  <c r="R394" i="5"/>
  <c r="S394" i="5"/>
  <c r="R331" i="5"/>
  <c r="S331" i="5"/>
  <c r="R267" i="5"/>
  <c r="S267" i="5"/>
  <c r="S557" i="5"/>
  <c r="R557" i="5"/>
  <c r="S105" i="5"/>
  <c r="R105" i="5"/>
  <c r="S512" i="5"/>
  <c r="R512" i="5"/>
  <c r="S357" i="5"/>
  <c r="R357" i="5"/>
  <c r="R435" i="5"/>
  <c r="S435" i="5"/>
  <c r="R209" i="5"/>
  <c r="S209" i="5"/>
  <c r="R201" i="5"/>
  <c r="S201" i="5"/>
  <c r="R441" i="5"/>
  <c r="S441" i="5"/>
  <c r="R415" i="5"/>
  <c r="S415" i="5"/>
  <c r="S68" i="5"/>
  <c r="R68" i="5"/>
  <c r="R514" i="5"/>
  <c r="S514" i="5"/>
  <c r="S225" i="5"/>
  <c r="R225" i="5"/>
  <c r="S190" i="5"/>
  <c r="R190" i="5"/>
  <c r="S537" i="5"/>
  <c r="R537" i="5"/>
  <c r="R500" i="5"/>
  <c r="S500" i="5"/>
  <c r="S319" i="5"/>
  <c r="R319" i="5"/>
  <c r="R193" i="5"/>
  <c r="S193" i="5"/>
  <c r="R295" i="5"/>
  <c r="S295" i="5"/>
  <c r="S142" i="5"/>
  <c r="R142" i="5"/>
  <c r="S169" i="5"/>
  <c r="R169" i="5"/>
  <c r="S516" i="5"/>
  <c r="R516" i="5"/>
  <c r="S457" i="5"/>
  <c r="R457" i="5"/>
  <c r="S481" i="5"/>
  <c r="R481" i="5"/>
  <c r="R221" i="5"/>
  <c r="S221" i="5"/>
  <c r="S227" i="5"/>
  <c r="R227" i="5"/>
  <c r="S439" i="5"/>
  <c r="R439" i="5"/>
  <c r="S395" i="5"/>
  <c r="R395" i="5"/>
  <c r="R148" i="5"/>
  <c r="S148" i="5"/>
  <c r="S90" i="5"/>
  <c r="R90" i="5"/>
  <c r="R447" i="5"/>
  <c r="S447" i="5"/>
  <c r="S360" i="5"/>
  <c r="R360" i="5"/>
  <c r="S526" i="5"/>
  <c r="R526" i="5"/>
  <c r="S407" i="5"/>
  <c r="R407" i="5"/>
  <c r="R405" i="5"/>
  <c r="S405" i="5"/>
  <c r="R42" i="5"/>
  <c r="S42" i="5"/>
  <c r="S436" i="5"/>
  <c r="R436" i="5"/>
  <c r="R186" i="5"/>
  <c r="S186" i="5"/>
  <c r="S165" i="5"/>
  <c r="R165" i="5"/>
  <c r="S294" i="5"/>
  <c r="R294" i="5"/>
  <c r="S170" i="5"/>
  <c r="R170" i="5"/>
  <c r="R284" i="5"/>
  <c r="S284" i="5"/>
  <c r="S30" i="5"/>
  <c r="R30" i="5"/>
  <c r="S551" i="5"/>
  <c r="R551" i="5"/>
  <c r="S449" i="5"/>
  <c r="R449" i="5"/>
  <c r="R485" i="5"/>
  <c r="S485" i="5"/>
  <c r="S54" i="5"/>
  <c r="R54" i="5"/>
  <c r="S92" i="5"/>
  <c r="R92" i="5"/>
  <c r="R365" i="5"/>
  <c r="S365" i="5"/>
  <c r="R208" i="5"/>
  <c r="S208" i="5"/>
  <c r="S43" i="5"/>
  <c r="R43" i="5"/>
  <c r="S139" i="5"/>
  <c r="R139" i="5"/>
  <c r="R524" i="5"/>
  <c r="S524" i="5"/>
  <c r="S275" i="5"/>
  <c r="R275" i="5"/>
  <c r="R245" i="5"/>
  <c r="S245" i="5"/>
  <c r="R470" i="5"/>
  <c r="S470" i="5"/>
  <c r="S554" i="5"/>
  <c r="R554" i="5"/>
  <c r="R136" i="5"/>
  <c r="S136" i="5"/>
  <c r="S236" i="5"/>
  <c r="R236" i="5"/>
  <c r="S397" i="5"/>
  <c r="R397" i="5"/>
  <c r="R277" i="5"/>
  <c r="S277" i="5"/>
  <c r="S167" i="5"/>
  <c r="R167" i="5"/>
  <c r="S332" i="5"/>
  <c r="R332" i="5"/>
  <c r="R347" i="5"/>
  <c r="S347" i="5"/>
  <c r="R176" i="5"/>
  <c r="S176" i="5"/>
  <c r="R291" i="5"/>
  <c r="S291" i="5"/>
  <c r="R159" i="5"/>
  <c r="S159" i="5"/>
  <c r="S185" i="5"/>
  <c r="R185" i="5"/>
  <c r="S263" i="5"/>
  <c r="R263" i="5"/>
  <c r="S88" i="5"/>
  <c r="R88" i="5"/>
  <c r="R499" i="5"/>
  <c r="S499" i="5"/>
  <c r="S28" i="5"/>
  <c r="R28" i="5"/>
  <c r="S219" i="5"/>
  <c r="R219" i="5"/>
  <c r="S300" i="5"/>
  <c r="R300" i="5"/>
  <c r="R288" i="5"/>
  <c r="S288" i="5"/>
  <c r="S344" i="5"/>
  <c r="R344" i="5"/>
  <c r="R78" i="5"/>
  <c r="S78" i="5"/>
  <c r="S8" i="5"/>
  <c r="R8" i="5"/>
  <c r="S541" i="5"/>
  <c r="R541" i="5"/>
  <c r="R387" i="5"/>
  <c r="S387" i="5"/>
  <c r="S428" i="5"/>
  <c r="R428" i="5"/>
  <c r="S543" i="5"/>
  <c r="R543" i="5"/>
  <c r="R114" i="5"/>
  <c r="S114" i="5"/>
  <c r="S382" i="5"/>
  <c r="R382" i="5"/>
  <c r="S438" i="5"/>
  <c r="R438" i="5"/>
  <c r="S518" i="5"/>
  <c r="R518" i="5"/>
  <c r="S293" i="5"/>
  <c r="R293" i="5"/>
  <c r="S326" i="5"/>
  <c r="R326" i="5"/>
  <c r="S463" i="5"/>
  <c r="R463" i="5"/>
  <c r="R207" i="5"/>
  <c r="S207" i="5"/>
  <c r="R336" i="5"/>
  <c r="S336" i="5"/>
  <c r="R132" i="5"/>
  <c r="S132" i="5"/>
  <c r="R62" i="5"/>
  <c r="S62" i="5"/>
  <c r="S321" i="5"/>
  <c r="R321" i="5"/>
  <c r="R327" i="5"/>
  <c r="S327" i="5"/>
  <c r="S215" i="5"/>
  <c r="R215" i="5"/>
  <c r="R272" i="5"/>
  <c r="S272" i="5"/>
  <c r="R96" i="5"/>
  <c r="S96" i="5"/>
  <c r="S513" i="5"/>
  <c r="R513" i="5"/>
  <c r="S217" i="5"/>
  <c r="R217" i="5"/>
  <c r="R161" i="5"/>
  <c r="S161" i="5"/>
  <c r="R547" i="5"/>
  <c r="S547" i="5"/>
  <c r="S322" i="5"/>
  <c r="R322" i="5"/>
  <c r="S70" i="5"/>
  <c r="R70" i="5"/>
  <c r="R89" i="5"/>
  <c r="S89" i="5"/>
  <c r="R458" i="5"/>
  <c r="S458" i="5"/>
  <c r="R317" i="5"/>
  <c r="S317" i="5"/>
  <c r="S286" i="5"/>
  <c r="R286" i="5"/>
  <c r="R173" i="5"/>
  <c r="S173" i="5"/>
  <c r="R517" i="5"/>
  <c r="S517" i="5"/>
  <c r="S117" i="5"/>
  <c r="R117" i="5"/>
  <c r="S33" i="5"/>
  <c r="R33" i="5"/>
  <c r="R534" i="5"/>
  <c r="S534" i="5"/>
  <c r="R194" i="5"/>
  <c r="S194" i="5"/>
  <c r="R285" i="5"/>
  <c r="S285" i="5"/>
  <c r="S214" i="5"/>
  <c r="R214" i="5"/>
  <c r="R455" i="5"/>
  <c r="S455" i="5"/>
  <c r="S79" i="5"/>
  <c r="R79" i="5"/>
  <c r="S339" i="5"/>
  <c r="R339" i="5"/>
  <c r="S325" i="5"/>
  <c r="R325" i="5"/>
  <c r="S404" i="5"/>
  <c r="R404" i="5"/>
  <c r="S424" i="5"/>
  <c r="R424" i="5"/>
  <c r="R385" i="5"/>
  <c r="S385" i="5"/>
  <c r="R53" i="5"/>
  <c r="S53" i="5"/>
  <c r="AN24" i="4"/>
  <c r="AF24" i="4"/>
  <c r="AG24" i="4" s="1"/>
  <c r="AI24" i="4" s="1"/>
  <c r="AK24" i="4"/>
  <c r="AL24" i="4" s="1"/>
  <c r="AN54" i="4"/>
  <c r="AK54" i="4"/>
  <c r="AL54" i="4" s="1"/>
  <c r="AF54" i="4"/>
  <c r="AG54" i="4" s="1"/>
  <c r="AI54" i="4" s="1"/>
  <c r="BJ276" i="5"/>
  <c r="BK276" i="5"/>
  <c r="BJ37" i="5"/>
  <c r="BK37" i="5"/>
  <c r="AK50" i="4"/>
  <c r="AL50" i="4" s="1"/>
  <c r="AN50" i="4"/>
  <c r="AF50" i="4"/>
  <c r="AG50" i="4" s="1"/>
  <c r="AI50" i="4" s="1"/>
  <c r="AP50" i="4"/>
  <c r="AQ50" i="4"/>
  <c r="AC50" i="4"/>
  <c r="AD50" i="4" s="1"/>
  <c r="AC248" i="5"/>
  <c r="AC235" i="5"/>
  <c r="AC218" i="5"/>
  <c r="AC525" i="5"/>
  <c r="AC304" i="5"/>
  <c r="AC494" i="5"/>
  <c r="AN75" i="4"/>
  <c r="AK75" i="4"/>
  <c r="AL75" i="4" s="1"/>
  <c r="AF75" i="4"/>
  <c r="AG75" i="4" s="1"/>
  <c r="AI75" i="4" s="1"/>
  <c r="AP75" i="4"/>
  <c r="AQ75" i="4"/>
  <c r="AC75" i="4"/>
  <c r="AD75" i="4" s="1"/>
  <c r="AP28" i="4"/>
  <c r="AQ28" i="4"/>
  <c r="AC28" i="4"/>
  <c r="AD28" i="4" s="1"/>
  <c r="AN8" i="4"/>
  <c r="AK8" i="4"/>
  <c r="AL8" i="4" s="1"/>
  <c r="AF8" i="4"/>
  <c r="AG8" i="4" s="1"/>
  <c r="AI8" i="4" s="1"/>
  <c r="AN15" i="4"/>
  <c r="AF15" i="4"/>
  <c r="AG15" i="4" s="1"/>
  <c r="AI15" i="4" s="1"/>
  <c r="AK15" i="4"/>
  <c r="AL15" i="4" s="1"/>
  <c r="AP30" i="4"/>
  <c r="AQ30" i="4"/>
  <c r="AC30" i="4"/>
  <c r="AD30" i="4" s="1"/>
  <c r="AP33" i="4"/>
  <c r="AQ33" i="4"/>
  <c r="AC33" i="4"/>
  <c r="AD33" i="4" s="1"/>
  <c r="AQ524" i="5"/>
  <c r="AR524" i="5"/>
  <c r="BI524" i="5"/>
  <c r="BJ136" i="5"/>
  <c r="BK136" i="5"/>
  <c r="BK131" i="5"/>
  <c r="BJ131" i="5"/>
  <c r="BJ256" i="5"/>
  <c r="BK256" i="5"/>
  <c r="BJ357" i="5"/>
  <c r="BK357" i="5"/>
  <c r="BK30" i="5"/>
  <c r="BJ30" i="5"/>
  <c r="AQ45" i="4"/>
  <c r="AP45" i="4"/>
  <c r="AC45" i="4"/>
  <c r="AD45" i="4" s="1"/>
  <c r="AK115" i="4"/>
  <c r="AL115" i="4" s="1"/>
  <c r="AN115" i="4"/>
  <c r="AF115" i="4"/>
  <c r="AG115" i="4" s="1"/>
  <c r="AI115" i="4" s="1"/>
  <c r="AK92" i="4"/>
  <c r="AL92" i="4" s="1"/>
  <c r="AF92" i="4"/>
  <c r="AG92" i="4" s="1"/>
  <c r="AI92" i="4" s="1"/>
  <c r="AN92" i="4"/>
  <c r="AP19" i="4"/>
  <c r="AC19" i="4"/>
  <c r="AD19" i="4" s="1"/>
  <c r="AQ19" i="4"/>
  <c r="AN21" i="4"/>
  <c r="AK21" i="4"/>
  <c r="AL21" i="4" s="1"/>
  <c r="AF21" i="4"/>
  <c r="AG21" i="4" s="1"/>
  <c r="AI21" i="4" s="1"/>
  <c r="AQ21" i="4"/>
  <c r="AP21" i="4"/>
  <c r="AC21" i="4"/>
  <c r="AD21" i="4" s="1"/>
  <c r="AP101" i="4"/>
  <c r="AQ101" i="4"/>
  <c r="AC101" i="4"/>
  <c r="AD101" i="4" s="1"/>
  <c r="AK145" i="4"/>
  <c r="AL145" i="4" s="1"/>
  <c r="AN145" i="4"/>
  <c r="AF145" i="4"/>
  <c r="AG145" i="4" s="1"/>
  <c r="AI145" i="4" s="1"/>
  <c r="AR452" i="5"/>
  <c r="BI452" i="5"/>
  <c r="AQ452" i="5"/>
  <c r="BK440" i="5"/>
  <c r="BJ440" i="5"/>
  <c r="BK98" i="5"/>
  <c r="BJ98" i="5"/>
  <c r="BK146" i="5"/>
  <c r="BJ146" i="5"/>
  <c r="BK189" i="5"/>
  <c r="BJ189" i="5"/>
  <c r="BJ234" i="5"/>
  <c r="BK234" i="5"/>
  <c r="BJ548" i="5"/>
  <c r="BK548" i="5"/>
  <c r="BK212" i="5"/>
  <c r="BJ212" i="5"/>
  <c r="BK231" i="5"/>
  <c r="BJ231" i="5"/>
  <c r="AK32" i="4"/>
  <c r="AL32" i="4" s="1"/>
  <c r="AN32" i="4"/>
  <c r="AF32" i="4"/>
  <c r="AG32" i="4" s="1"/>
  <c r="AI32" i="4" s="1"/>
  <c r="AN42" i="4"/>
  <c r="AK42" i="4"/>
  <c r="AL42" i="4" s="1"/>
  <c r="AF42" i="4"/>
  <c r="AG42" i="4" s="1"/>
  <c r="AI42" i="4" s="1"/>
  <c r="AP153" i="4"/>
  <c r="AQ153" i="4"/>
  <c r="AC153" i="4"/>
  <c r="AD153" i="4" s="1"/>
  <c r="AQ110" i="4"/>
  <c r="AP110" i="4"/>
  <c r="AC110" i="4"/>
  <c r="AD110" i="4" s="1"/>
  <c r="AP152" i="4"/>
  <c r="AQ152" i="4"/>
  <c r="AC152" i="4"/>
  <c r="AD152" i="4" s="1"/>
  <c r="AQ157" i="4"/>
  <c r="AP157" i="4"/>
  <c r="AC157" i="4"/>
  <c r="AD157" i="4" s="1"/>
  <c r="AQ49" i="4"/>
  <c r="AP49" i="4"/>
  <c r="AC49" i="4"/>
  <c r="AD49" i="4" s="1"/>
  <c r="AN71" i="4"/>
  <c r="AK71" i="4"/>
  <c r="AL71" i="4" s="1"/>
  <c r="AF71" i="4"/>
  <c r="AG71" i="4" s="1"/>
  <c r="AI71" i="4" s="1"/>
  <c r="BJ391" i="5"/>
  <c r="BK391" i="5"/>
  <c r="BJ511" i="5"/>
  <c r="BK511" i="5"/>
  <c r="BK305" i="5"/>
  <c r="BJ305" i="5"/>
  <c r="BK112" i="5"/>
  <c r="BJ112" i="5"/>
  <c r="BJ243" i="5"/>
  <c r="BK243" i="5"/>
  <c r="BJ415" i="5"/>
  <c r="BK415" i="5"/>
  <c r="BJ241" i="5"/>
  <c r="BK241" i="5"/>
  <c r="BK555" i="5"/>
  <c r="BJ555" i="5"/>
  <c r="BK325" i="5"/>
  <c r="BJ325" i="5"/>
  <c r="BJ63" i="5"/>
  <c r="BK63" i="5"/>
  <c r="BK132" i="5"/>
  <c r="BJ132" i="5"/>
  <c r="BJ279" i="5"/>
  <c r="BK279" i="5"/>
  <c r="BK540" i="5"/>
  <c r="BJ540" i="5"/>
  <c r="BJ526" i="5"/>
  <c r="BK526" i="5"/>
  <c r="BJ334" i="5"/>
  <c r="BK334" i="5"/>
  <c r="BJ385" i="5"/>
  <c r="BK385" i="5"/>
  <c r="BK323" i="5"/>
  <c r="BJ323" i="5"/>
  <c r="BJ161" i="5"/>
  <c r="BK161" i="5"/>
  <c r="BJ222" i="5"/>
  <c r="BK222" i="5"/>
  <c r="BK160" i="5"/>
  <c r="BJ160" i="5"/>
  <c r="BJ479" i="5"/>
  <c r="BK479" i="5"/>
  <c r="BK426" i="5"/>
  <c r="BJ426" i="5"/>
  <c r="BK180" i="5"/>
  <c r="BJ180" i="5"/>
  <c r="BK239" i="5"/>
  <c r="BJ239" i="5"/>
  <c r="BJ28" i="5"/>
  <c r="BK28" i="5"/>
  <c r="BJ553" i="5"/>
  <c r="BK553" i="5"/>
  <c r="AQ54" i="5"/>
  <c r="BI54" i="5"/>
  <c r="AR54" i="5"/>
  <c r="BK353" i="5"/>
  <c r="BJ353" i="5"/>
  <c r="BK271" i="5"/>
  <c r="BJ271" i="5"/>
  <c r="BJ174" i="5"/>
  <c r="BK174" i="5"/>
  <c r="BJ363" i="5"/>
  <c r="BK363" i="5"/>
  <c r="BK380" i="5"/>
  <c r="BJ380" i="5"/>
  <c r="BJ74" i="5"/>
  <c r="BK74" i="5"/>
  <c r="BK557" i="5"/>
  <c r="BJ557" i="5"/>
  <c r="BJ21" i="5"/>
  <c r="BK21" i="5"/>
  <c r="BK324" i="5"/>
  <c r="BJ324" i="5"/>
  <c r="BK487" i="5"/>
  <c r="BJ487" i="5"/>
  <c r="AQ85" i="4"/>
  <c r="AP85" i="4"/>
  <c r="AC85" i="4"/>
  <c r="AD85" i="4" s="1"/>
  <c r="AK41" i="4"/>
  <c r="AL41" i="4" s="1"/>
  <c r="AN41" i="4"/>
  <c r="AF41" i="4"/>
  <c r="AG41" i="4" s="1"/>
  <c r="AI41" i="4" s="1"/>
  <c r="AN39" i="4"/>
  <c r="AK39" i="4"/>
  <c r="AL39" i="4" s="1"/>
  <c r="AF39" i="4"/>
  <c r="AG39" i="4" s="1"/>
  <c r="AI39" i="4" s="1"/>
  <c r="AQ119" i="4"/>
  <c r="AP119" i="4"/>
  <c r="AC119" i="4"/>
  <c r="AD119" i="4" s="1"/>
  <c r="AP130" i="4"/>
  <c r="AQ130" i="4"/>
  <c r="AC130" i="4"/>
  <c r="AD130" i="4" s="1"/>
  <c r="AK105" i="4"/>
  <c r="AL105" i="4" s="1"/>
  <c r="AN105" i="4"/>
  <c r="AF105" i="4"/>
  <c r="AG105" i="4" s="1"/>
  <c r="AI105" i="4" s="1"/>
  <c r="AP55" i="4"/>
  <c r="AQ55" i="4"/>
  <c r="AC55" i="4"/>
  <c r="AD55" i="4" s="1"/>
  <c r="AK140" i="4"/>
  <c r="AL140" i="4" s="1"/>
  <c r="AN140" i="4"/>
  <c r="AF140" i="4"/>
  <c r="AG140" i="4" s="1"/>
  <c r="AI140" i="4" s="1"/>
  <c r="BJ206" i="5"/>
  <c r="BK206" i="5"/>
  <c r="BJ150" i="5"/>
  <c r="BK150" i="5"/>
  <c r="BK197" i="5"/>
  <c r="BJ197" i="5"/>
  <c r="BJ169" i="5"/>
  <c r="BK169" i="5"/>
  <c r="BJ253" i="5"/>
  <c r="BK253" i="5"/>
  <c r="BK498" i="5"/>
  <c r="BJ498" i="5"/>
  <c r="BJ193" i="5"/>
  <c r="BK193" i="5"/>
  <c r="BK477" i="5"/>
  <c r="BJ477" i="5"/>
  <c r="AQ372" i="5"/>
  <c r="AR372" i="5"/>
  <c r="BI372" i="5"/>
  <c r="BK166" i="5"/>
  <c r="BJ166" i="5"/>
  <c r="BK374" i="5"/>
  <c r="BJ374" i="5"/>
  <c r="BK207" i="5"/>
  <c r="BJ207" i="5"/>
  <c r="BJ187" i="5"/>
  <c r="BK187" i="5"/>
  <c r="BK404" i="5"/>
  <c r="BJ404" i="5"/>
  <c r="BJ175" i="5"/>
  <c r="BK175" i="5"/>
  <c r="BK70" i="5"/>
  <c r="BJ70" i="5"/>
  <c r="BK384" i="5"/>
  <c r="BJ384" i="5"/>
  <c r="BK121" i="5"/>
  <c r="BJ121" i="5"/>
  <c r="BJ367" i="5"/>
  <c r="BK367" i="5"/>
  <c r="BJ103" i="5"/>
  <c r="BK103" i="5"/>
  <c r="BJ409" i="5"/>
  <c r="BK409" i="5"/>
  <c r="BK220" i="5"/>
  <c r="BJ220" i="5"/>
  <c r="BK502" i="5"/>
  <c r="BJ502" i="5"/>
  <c r="BJ442" i="5"/>
  <c r="BK442" i="5"/>
  <c r="BI485" i="5"/>
  <c r="AR485" i="5"/>
  <c r="AQ485" i="5"/>
  <c r="BJ322" i="5"/>
  <c r="BK322" i="5"/>
  <c r="BK130" i="5"/>
  <c r="BJ130" i="5"/>
  <c r="BJ383" i="5"/>
  <c r="BK383" i="5"/>
  <c r="BK306" i="5"/>
  <c r="BJ306" i="5"/>
  <c r="BK289" i="5"/>
  <c r="BJ289" i="5"/>
  <c r="BJ96" i="5"/>
  <c r="BK96" i="5"/>
  <c r="BJ272" i="5"/>
  <c r="BK272" i="5"/>
  <c r="BJ531" i="5"/>
  <c r="BK531" i="5"/>
  <c r="BK264" i="5"/>
  <c r="BJ264" i="5"/>
  <c r="BK71" i="5"/>
  <c r="BJ71" i="5"/>
  <c r="BJ545" i="5"/>
  <c r="BK545" i="5"/>
  <c r="BK113" i="5"/>
  <c r="BJ113" i="5"/>
  <c r="BK432" i="5"/>
  <c r="BJ432" i="5"/>
  <c r="BJ376" i="5"/>
  <c r="BK376" i="5"/>
  <c r="B222" i="2"/>
  <c r="F68" i="1" s="1"/>
  <c r="B189" i="2"/>
  <c r="B224" i="2" s="1"/>
  <c r="F69" i="1" s="1"/>
  <c r="S63" i="5"/>
  <c r="R63" i="5"/>
  <c r="S282" i="5"/>
  <c r="R282" i="5"/>
  <c r="S522" i="5"/>
  <c r="R522" i="5"/>
  <c r="S318" i="5"/>
  <c r="R318" i="5"/>
  <c r="R303" i="5"/>
  <c r="S303" i="5"/>
  <c r="S443" i="5"/>
  <c r="R443" i="5"/>
  <c r="S210" i="5"/>
  <c r="R210" i="5"/>
  <c r="R509" i="5"/>
  <c r="S509" i="5"/>
  <c r="S298" i="5"/>
  <c r="R298" i="5"/>
  <c r="S497" i="5"/>
  <c r="R497" i="5"/>
  <c r="S191" i="5"/>
  <c r="R191" i="5"/>
  <c r="S91" i="5"/>
  <c r="R91" i="5"/>
  <c r="R237" i="5"/>
  <c r="S237" i="5"/>
  <c r="R93" i="5"/>
  <c r="S93" i="5"/>
  <c r="S527" i="5"/>
  <c r="R527" i="5"/>
  <c r="S60" i="5"/>
  <c r="R60" i="5"/>
  <c r="R180" i="5"/>
  <c r="S180" i="5"/>
  <c r="S116" i="5"/>
  <c r="R116" i="5"/>
  <c r="S249" i="5"/>
  <c r="R249" i="5"/>
  <c r="S71" i="5"/>
  <c r="R71" i="5"/>
  <c r="R120" i="5"/>
  <c r="S120" i="5"/>
  <c r="S65" i="5"/>
  <c r="R65" i="5"/>
  <c r="R476" i="5"/>
  <c r="S476" i="5"/>
  <c r="R462" i="5"/>
  <c r="S462" i="5"/>
  <c r="S306" i="5"/>
  <c r="R306" i="5"/>
  <c r="R206" i="5"/>
  <c r="S206" i="5"/>
  <c r="R391" i="5"/>
  <c r="S391" i="5"/>
  <c r="R231" i="5"/>
  <c r="S231" i="5"/>
  <c r="R342" i="5"/>
  <c r="S342" i="5"/>
  <c r="R218" i="5"/>
  <c r="S218" i="5"/>
  <c r="S539" i="5"/>
  <c r="R539" i="5"/>
  <c r="S376" i="5"/>
  <c r="R376" i="5"/>
  <c r="R50" i="5"/>
  <c r="S50" i="5"/>
  <c r="S252" i="5"/>
  <c r="R252" i="5"/>
  <c r="R188" i="5"/>
  <c r="S188" i="5"/>
  <c r="R67" i="5"/>
  <c r="S67" i="5"/>
  <c r="R383" i="5"/>
  <c r="S383" i="5"/>
  <c r="S235" i="5"/>
  <c r="R235" i="5"/>
  <c r="S226" i="5"/>
  <c r="R226" i="5"/>
  <c r="R94" i="5"/>
  <c r="S94" i="5"/>
  <c r="S112" i="5"/>
  <c r="R112" i="5"/>
  <c r="R493" i="5"/>
  <c r="S493" i="5"/>
  <c r="R353" i="5"/>
  <c r="S353" i="5"/>
  <c r="S316" i="5"/>
  <c r="R316" i="5"/>
  <c r="S310" i="5"/>
  <c r="R310" i="5"/>
  <c r="S86" i="5"/>
  <c r="R86" i="5"/>
  <c r="S478" i="5"/>
  <c r="R478" i="5"/>
  <c r="S87" i="5"/>
  <c r="R87" i="5"/>
  <c r="S260" i="5"/>
  <c r="R260" i="5"/>
  <c r="S502" i="5"/>
  <c r="R502" i="5"/>
  <c r="R241" i="5"/>
  <c r="S241" i="5"/>
  <c r="R410" i="5"/>
  <c r="S410" i="5"/>
  <c r="R430" i="5"/>
  <c r="S430" i="5"/>
  <c r="S354" i="5"/>
  <c r="R354" i="5"/>
  <c r="S122" i="5"/>
  <c r="R122" i="5"/>
  <c r="R192" i="5"/>
  <c r="S192" i="5"/>
  <c r="S220" i="5"/>
  <c r="R220" i="5"/>
  <c r="R32" i="5"/>
  <c r="S32" i="5"/>
  <c r="S417" i="5"/>
  <c r="R417" i="5"/>
  <c r="R308" i="5"/>
  <c r="S308" i="5"/>
  <c r="R314" i="5"/>
  <c r="S314" i="5"/>
  <c r="S254" i="5"/>
  <c r="R254" i="5"/>
  <c r="R166" i="5"/>
  <c r="S166" i="5"/>
  <c r="R101" i="5"/>
  <c r="S101" i="5"/>
  <c r="S545" i="5"/>
  <c r="R545" i="5"/>
  <c r="R305" i="5"/>
  <c r="S305" i="5"/>
  <c r="S498" i="5"/>
  <c r="R498" i="5"/>
  <c r="S352" i="5"/>
  <c r="R352" i="5"/>
  <c r="S51" i="5"/>
  <c r="R51" i="5"/>
  <c r="S10" i="5"/>
  <c r="R10" i="5"/>
  <c r="R548" i="5"/>
  <c r="S548" i="5"/>
  <c r="R422" i="5"/>
  <c r="S422" i="5"/>
  <c r="S440" i="5"/>
  <c r="R440" i="5"/>
  <c r="R175" i="5"/>
  <c r="S175" i="5"/>
  <c r="S251" i="5"/>
  <c r="R251" i="5"/>
  <c r="S243" i="5"/>
  <c r="R243" i="5"/>
  <c r="S472" i="5"/>
  <c r="R472" i="5"/>
  <c r="S492" i="5"/>
  <c r="R492" i="5"/>
  <c r="R338" i="5"/>
  <c r="S338" i="5"/>
  <c r="S130" i="5"/>
  <c r="R130" i="5"/>
  <c r="S456" i="5"/>
  <c r="R456" i="5"/>
  <c r="S399" i="5"/>
  <c r="R399" i="5"/>
  <c r="S329" i="5"/>
  <c r="R329" i="5"/>
  <c r="S377" i="5"/>
  <c r="R377" i="5"/>
  <c r="R38" i="5"/>
  <c r="S38" i="5"/>
  <c r="R364" i="5"/>
  <c r="S364" i="5"/>
  <c r="R250" i="5"/>
  <c r="S250" i="5"/>
  <c r="R528" i="5"/>
  <c r="S528" i="5"/>
  <c r="R477" i="5"/>
  <c r="S477" i="5"/>
  <c r="S411" i="5"/>
  <c r="R411" i="5"/>
  <c r="R213" i="5"/>
  <c r="S213" i="5"/>
  <c r="S501" i="5"/>
  <c r="R501" i="5"/>
  <c r="R73" i="5"/>
  <c r="S73" i="5"/>
  <c r="R199" i="5"/>
  <c r="S199" i="5"/>
  <c r="R484" i="5"/>
  <c r="S484" i="5"/>
  <c r="S409" i="5"/>
  <c r="R409" i="5"/>
  <c r="R27" i="5"/>
  <c r="S27" i="5"/>
  <c r="S211" i="5"/>
  <c r="R211" i="5"/>
  <c r="S304" i="5"/>
  <c r="R304" i="5"/>
  <c r="R26" i="5"/>
  <c r="S26" i="5"/>
  <c r="S58" i="5"/>
  <c r="R58" i="5"/>
  <c r="R184" i="5"/>
  <c r="S184" i="5"/>
  <c r="S348" i="5"/>
  <c r="R348" i="5"/>
  <c r="S328" i="5"/>
  <c r="R328" i="5"/>
  <c r="R448" i="5"/>
  <c r="S448" i="5"/>
  <c r="S23" i="5"/>
  <c r="R23" i="5"/>
  <c r="S388" i="5"/>
  <c r="R388" i="5"/>
  <c r="R224" i="5"/>
  <c r="S224" i="5"/>
  <c r="S52" i="5"/>
  <c r="R52" i="5"/>
  <c r="R104" i="5"/>
  <c r="S104" i="5"/>
  <c r="R97" i="5"/>
  <c r="S97" i="5"/>
  <c r="R108" i="5"/>
  <c r="S108" i="5"/>
  <c r="S146" i="5"/>
  <c r="R146" i="5"/>
  <c r="R361" i="5"/>
  <c r="S361" i="5"/>
  <c r="S124" i="5"/>
  <c r="R124" i="5"/>
  <c r="R503" i="5"/>
  <c r="S503" i="5"/>
  <c r="S144" i="5"/>
  <c r="R144" i="5"/>
  <c r="S465" i="5"/>
  <c r="R465" i="5"/>
  <c r="S274" i="5"/>
  <c r="R274" i="5"/>
  <c r="R119" i="5"/>
  <c r="S119" i="5"/>
  <c r="R55" i="5"/>
  <c r="S55" i="5"/>
  <c r="S540" i="5"/>
  <c r="R540" i="5"/>
  <c r="R362" i="5"/>
  <c r="S362" i="5"/>
  <c r="R531" i="5"/>
  <c r="S531" i="5"/>
  <c r="S103" i="5"/>
  <c r="R103" i="5"/>
  <c r="S158" i="5"/>
  <c r="R158" i="5"/>
  <c r="S133" i="5"/>
  <c r="R133" i="5"/>
  <c r="S143" i="5"/>
  <c r="R143" i="5"/>
  <c r="R366" i="5"/>
  <c r="S366" i="5"/>
  <c r="R421" i="5"/>
  <c r="S421" i="5"/>
  <c r="S48" i="5"/>
  <c r="R48" i="5"/>
  <c r="R471" i="5"/>
  <c r="S471" i="5"/>
  <c r="R392" i="5"/>
  <c r="S392" i="5"/>
  <c r="R177" i="5"/>
  <c r="S177" i="5"/>
  <c r="S418" i="5"/>
  <c r="R418" i="5"/>
  <c r="R287" i="5"/>
  <c r="S287" i="5"/>
  <c r="S408" i="5"/>
  <c r="R408" i="5"/>
  <c r="AQ54" i="4"/>
  <c r="AC54" i="4"/>
  <c r="AD54" i="4" s="1"/>
  <c r="AP54" i="4"/>
  <c r="BH7" i="5"/>
  <c r="BM7" i="5" s="1"/>
  <c r="BG7" i="5"/>
  <c r="BL7" i="5" s="1"/>
  <c r="BK344" i="5"/>
  <c r="BJ344" i="5"/>
  <c r="BJ217" i="5"/>
  <c r="BK217" i="5"/>
  <c r="AK53" i="4"/>
  <c r="AL53" i="4" s="1"/>
  <c r="AN53" i="4"/>
  <c r="AF53" i="4"/>
  <c r="AG53" i="4" s="1"/>
  <c r="AI53" i="4" s="1"/>
  <c r="AQ46" i="4"/>
  <c r="AC46" i="4"/>
  <c r="AD46" i="4" s="1"/>
  <c r="AP46" i="4"/>
  <c r="AC35" i="5"/>
  <c r="AC517" i="5"/>
  <c r="AC444" i="5"/>
  <c r="AC367" i="5"/>
  <c r="AC60" i="5"/>
  <c r="AC496" i="5"/>
  <c r="AC302" i="5"/>
  <c r="AC239" i="5"/>
  <c r="AC188" i="5"/>
  <c r="AC39" i="5"/>
  <c r="AC386" i="5"/>
  <c r="AC529" i="5"/>
  <c r="AC392" i="5"/>
  <c r="AC59" i="5"/>
  <c r="AC355" i="5"/>
  <c r="AC354" i="5"/>
  <c r="AC250" i="5"/>
  <c r="AC310" i="5"/>
  <c r="AC404" i="5"/>
  <c r="AC398" i="5"/>
  <c r="AC200" i="5"/>
  <c r="AC520" i="5"/>
  <c r="AC192" i="5"/>
  <c r="AC179" i="5"/>
  <c r="AC163" i="5"/>
  <c r="AC169" i="5"/>
  <c r="AC78" i="5"/>
  <c r="AC216" i="5"/>
  <c r="AC317" i="5"/>
  <c r="AC146" i="5"/>
  <c r="AC215" i="5"/>
  <c r="AC340" i="5"/>
  <c r="AC219" i="5"/>
  <c r="AC189" i="5"/>
  <c r="AC196" i="5"/>
  <c r="AC365" i="5"/>
  <c r="AC54" i="5"/>
  <c r="AC548" i="5"/>
  <c r="AC536" i="5"/>
  <c r="AC138" i="5"/>
  <c r="AC481" i="5"/>
  <c r="AC136" i="5"/>
  <c r="AC305" i="5"/>
  <c r="AC23" i="5"/>
  <c r="AC321" i="5"/>
  <c r="AC359" i="5"/>
  <c r="AC306" i="5"/>
  <c r="AC255" i="5"/>
  <c r="AC342" i="5"/>
  <c r="AC274" i="5"/>
  <c r="AC347" i="5"/>
  <c r="AC263" i="5"/>
  <c r="AC491" i="5"/>
  <c r="AC237" i="5"/>
  <c r="AC154" i="5"/>
  <c r="AC285" i="5"/>
  <c r="AC426" i="5"/>
  <c r="AC532" i="5"/>
  <c r="AC530" i="5"/>
  <c r="AC267" i="5"/>
  <c r="AC252" i="5"/>
  <c r="AC523" i="5"/>
  <c r="AC389" i="5"/>
  <c r="AC476" i="5"/>
  <c r="AC168" i="5"/>
  <c r="AC159" i="5"/>
  <c r="AC335" i="5"/>
  <c r="AC266" i="5"/>
  <c r="AC290" i="5"/>
  <c r="AC99" i="5"/>
  <c r="AC223" i="5"/>
  <c r="AC307" i="5"/>
  <c r="AC526" i="5"/>
  <c r="AC229" i="5"/>
  <c r="AC155" i="5"/>
  <c r="AC121" i="5"/>
  <c r="AC477" i="5"/>
  <c r="AC394" i="5"/>
  <c r="AC323" i="5"/>
  <c r="AC449" i="5"/>
  <c r="AC231" i="5"/>
  <c r="AC495" i="5"/>
  <c r="AC33" i="5"/>
  <c r="AC535" i="5"/>
  <c r="AC538" i="5"/>
  <c r="AC412" i="5"/>
  <c r="AC82" i="5"/>
  <c r="AC435" i="5"/>
  <c r="AC112" i="5"/>
  <c r="AC262" i="5"/>
  <c r="AC346" i="5"/>
  <c r="AC457" i="5"/>
  <c r="AC185" i="5"/>
  <c r="AC417" i="5"/>
  <c r="AC399" i="5"/>
  <c r="AC171" i="5"/>
  <c r="AC482" i="5"/>
  <c r="AC339" i="5"/>
  <c r="AC74" i="5"/>
  <c r="AC124" i="5"/>
  <c r="AC429" i="5"/>
  <c r="AC349" i="5"/>
  <c r="AC153" i="5"/>
  <c r="AC162" i="5"/>
  <c r="AC243" i="5"/>
  <c r="AC195" i="5"/>
  <c r="AC301" i="5"/>
  <c r="AC402" i="5"/>
  <c r="AC245" i="5"/>
  <c r="AC329" i="5"/>
  <c r="AC458" i="5"/>
  <c r="AC324" i="5"/>
  <c r="AC370" i="5"/>
  <c r="AC554" i="5"/>
  <c r="AC87" i="5"/>
  <c r="AC277" i="5"/>
  <c r="AC254" i="5"/>
  <c r="AC164" i="5"/>
  <c r="AC353" i="5"/>
  <c r="AC473" i="5"/>
  <c r="AC8" i="5"/>
  <c r="AC500" i="5"/>
  <c r="AC209" i="5"/>
  <c r="AC421" i="5"/>
  <c r="AC88" i="5"/>
  <c r="AC110" i="5"/>
  <c r="AC181" i="5"/>
  <c r="AC415" i="5"/>
  <c r="AC144" i="5"/>
  <c r="AC328" i="5"/>
  <c r="AC341" i="5"/>
  <c r="AC542" i="5"/>
  <c r="AC431" i="5"/>
  <c r="AC137" i="5"/>
  <c r="AC19" i="5"/>
  <c r="AC28" i="5"/>
  <c r="AC44" i="5"/>
  <c r="AQ139" i="4"/>
  <c r="AC139" i="4"/>
  <c r="AD139" i="4" s="1"/>
  <c r="AP139" i="4"/>
  <c r="AP104" i="4"/>
  <c r="AQ104" i="4"/>
  <c r="AC104" i="4"/>
  <c r="AD104" i="4" s="1"/>
  <c r="AN69" i="4"/>
  <c r="BK341" i="5"/>
  <c r="BJ341" i="5"/>
  <c r="BK64" i="5"/>
  <c r="BJ64" i="5"/>
  <c r="BJ27" i="5"/>
  <c r="BK27" i="5"/>
  <c r="AN142" i="4"/>
  <c r="AK142" i="4"/>
  <c r="AL142" i="4" s="1"/>
  <c r="AF142" i="4"/>
  <c r="AG142" i="4" s="1"/>
  <c r="AI142" i="4" s="1"/>
  <c r="BJ232" i="5"/>
  <c r="BK232" i="5"/>
  <c r="BJ167" i="5"/>
  <c r="BK167" i="5"/>
  <c r="BK330" i="5"/>
  <c r="BJ330" i="5"/>
  <c r="BK288" i="5"/>
  <c r="BJ288" i="5"/>
  <c r="BJ551" i="5"/>
  <c r="BK551" i="5"/>
  <c r="BJ208" i="5"/>
  <c r="BK208" i="5"/>
  <c r="BJ116" i="5"/>
  <c r="BK116" i="5"/>
  <c r="BK318" i="5"/>
  <c r="BJ318" i="5"/>
  <c r="BJ76" i="5"/>
  <c r="BK76" i="5"/>
  <c r="BK268" i="5"/>
  <c r="BJ268" i="5"/>
  <c r="BK346" i="5"/>
  <c r="BJ346" i="5"/>
  <c r="BJ291" i="5"/>
  <c r="BK291" i="5"/>
  <c r="BJ399" i="5"/>
  <c r="BK399" i="5"/>
  <c r="BJ52" i="5"/>
  <c r="BK52" i="5"/>
  <c r="BJ326" i="5"/>
  <c r="BK326" i="5"/>
  <c r="BJ66" i="5"/>
  <c r="BK66" i="5"/>
  <c r="BJ350" i="5"/>
  <c r="BK350" i="5"/>
  <c r="BK23" i="5"/>
  <c r="BJ23" i="5"/>
  <c r="BJ455" i="5"/>
  <c r="BK455" i="5"/>
  <c r="BK261" i="5"/>
  <c r="BJ261" i="5"/>
  <c r="AQ411" i="5"/>
  <c r="BI411" i="5"/>
  <c r="AR411" i="5"/>
  <c r="AQ446" i="5"/>
  <c r="BI446" i="5"/>
  <c r="AR446" i="5"/>
  <c r="BK79" i="5"/>
  <c r="BJ79" i="5"/>
  <c r="BK280" i="5"/>
  <c r="BJ280" i="5"/>
  <c r="BJ481" i="5"/>
  <c r="BK481" i="5"/>
  <c r="BJ351" i="5"/>
  <c r="BK351" i="5"/>
  <c r="BJ377" i="5"/>
  <c r="BK377" i="5"/>
  <c r="BJ40" i="5"/>
  <c r="BK40" i="5"/>
  <c r="BK365" i="5"/>
  <c r="BJ365" i="5"/>
  <c r="BK476" i="5"/>
  <c r="BJ476" i="5"/>
  <c r="BJ349" i="5"/>
  <c r="BK349" i="5"/>
  <c r="BK226" i="5"/>
  <c r="BJ226" i="5"/>
  <c r="BK471" i="5"/>
  <c r="BJ471" i="5"/>
  <c r="BJ512" i="5"/>
  <c r="BK512" i="5"/>
  <c r="BK343" i="5"/>
  <c r="BJ343" i="5"/>
  <c r="AP87" i="4"/>
  <c r="AQ87" i="4"/>
  <c r="AC87" i="4"/>
  <c r="AD87" i="4" s="1"/>
  <c r="AF25" i="4"/>
  <c r="AG25" i="4" s="1"/>
  <c r="AI25" i="4" s="1"/>
  <c r="AK25" i="4"/>
  <c r="AL25" i="4" s="1"/>
  <c r="AN25" i="4"/>
  <c r="AP82" i="4"/>
  <c r="AN27" i="4"/>
  <c r="AK27" i="4"/>
  <c r="AL27" i="4" s="1"/>
  <c r="AF27" i="4"/>
  <c r="AG27" i="4" s="1"/>
  <c r="AI27" i="4" s="1"/>
  <c r="BJ170" i="5"/>
  <c r="BK170" i="5"/>
  <c r="BJ80" i="5"/>
  <c r="BK80" i="5"/>
  <c r="BK362" i="5"/>
  <c r="BJ362" i="5"/>
  <c r="BJ527" i="5"/>
  <c r="BK527" i="5"/>
  <c r="BJ459" i="5"/>
  <c r="BK459" i="5"/>
  <c r="BK247" i="5"/>
  <c r="BJ247" i="5"/>
  <c r="BJ368" i="5"/>
  <c r="BK368" i="5"/>
  <c r="BK8" i="5"/>
  <c r="BJ8" i="5"/>
  <c r="BK99" i="5"/>
  <c r="BJ99" i="5"/>
  <c r="BJ554" i="5"/>
  <c r="BK554" i="5"/>
  <c r="BK240" i="5"/>
  <c r="BJ240" i="5"/>
  <c r="BJ282" i="5"/>
  <c r="BK282" i="5"/>
  <c r="BJ472" i="5"/>
  <c r="BK472" i="5"/>
  <c r="BK229" i="5"/>
  <c r="BJ229" i="5"/>
  <c r="BK218" i="5"/>
  <c r="BJ218" i="5"/>
  <c r="BK145" i="5"/>
  <c r="BJ145" i="5"/>
  <c r="BK463" i="5"/>
  <c r="BJ463" i="5"/>
  <c r="BK356" i="5"/>
  <c r="BJ356" i="5"/>
  <c r="BK535" i="5"/>
  <c r="BJ535" i="5"/>
  <c r="AC133" i="5"/>
  <c r="AC454" i="5"/>
  <c r="AC92" i="5"/>
  <c r="AC75" i="5"/>
  <c r="AC193" i="5"/>
  <c r="AC280" i="5"/>
  <c r="AC413" i="5"/>
  <c r="AC244" i="5"/>
  <c r="AC356" i="5"/>
  <c r="AC283" i="5"/>
  <c r="AC456" i="5"/>
  <c r="AC546" i="5"/>
  <c r="AC371" i="5"/>
  <c r="AC557" i="5"/>
  <c r="AC94" i="5"/>
  <c r="AC484" i="5"/>
  <c r="AC460" i="5"/>
  <c r="AC336" i="5"/>
  <c r="AC228" i="5"/>
  <c r="AC174" i="5"/>
  <c r="AC198" i="5"/>
  <c r="AC152" i="5"/>
  <c r="AC173" i="5"/>
  <c r="AC469" i="5"/>
  <c r="AC395" i="5"/>
  <c r="AC251" i="5"/>
  <c r="AC117" i="5"/>
  <c r="AC241" i="5"/>
  <c r="AC407" i="5"/>
  <c r="AC420" i="5"/>
  <c r="AC48" i="5"/>
  <c r="AC471" i="5"/>
  <c r="AC89" i="5"/>
  <c r="AC143" i="5"/>
  <c r="AC428" i="5"/>
  <c r="AC211" i="5"/>
  <c r="AC57" i="5"/>
  <c r="AC490" i="5"/>
  <c r="AC493" i="5"/>
  <c r="AC472" i="5"/>
  <c r="AC177" i="5"/>
  <c r="AC291" i="5"/>
  <c r="AC547" i="5"/>
  <c r="AC199" i="5"/>
  <c r="AC374" i="5"/>
  <c r="AC480" i="5"/>
  <c r="AC351" i="5"/>
  <c r="AC433" i="5"/>
  <c r="AC105" i="5"/>
  <c r="AC497" i="5"/>
  <c r="AC288" i="5"/>
  <c r="AC25" i="5"/>
  <c r="AC427" i="5"/>
  <c r="AC130" i="5"/>
  <c r="AC388" i="5"/>
  <c r="AC483" i="5"/>
  <c r="AC505" i="5"/>
  <c r="AC100" i="5"/>
  <c r="AC53" i="5"/>
  <c r="AC151" i="5"/>
  <c r="AC264" i="5"/>
  <c r="AC156" i="5"/>
  <c r="AC512" i="5"/>
  <c r="AC275" i="5"/>
  <c r="AC303" i="5"/>
  <c r="AC343" i="5"/>
  <c r="AC452" i="5"/>
  <c r="AC67" i="5"/>
  <c r="AC314" i="5"/>
  <c r="AC68" i="5"/>
  <c r="AC295" i="5"/>
  <c r="AC378" i="5"/>
  <c r="AC539" i="5"/>
  <c r="AC65" i="5"/>
  <c r="AC253" i="5"/>
  <c r="AC545" i="5"/>
  <c r="AC47" i="5"/>
  <c r="AC425" i="5"/>
  <c r="AC432" i="5"/>
  <c r="AC333" i="5"/>
  <c r="AC450" i="5"/>
  <c r="AC271" i="5"/>
  <c r="AC287" i="5"/>
  <c r="AC95" i="5"/>
  <c r="AC120" i="5"/>
  <c r="AC289" i="5"/>
  <c r="AC544" i="5"/>
  <c r="AC486" i="5"/>
  <c r="AC488" i="5"/>
  <c r="AC487" i="5"/>
  <c r="AC128" i="5"/>
  <c r="AC203" i="5"/>
  <c r="AC453" i="5"/>
  <c r="AC220" i="5"/>
  <c r="AC191" i="5"/>
  <c r="AC322" i="5"/>
  <c r="AC381" i="5"/>
  <c r="AC207" i="5"/>
  <c r="AC474" i="5"/>
  <c r="AC424" i="5"/>
  <c r="AC41" i="5"/>
  <c r="AC279" i="5"/>
  <c r="AC93" i="5"/>
  <c r="AC393" i="5"/>
  <c r="AC331" i="5"/>
  <c r="AC150" i="5"/>
  <c r="AC236" i="5"/>
  <c r="AC352" i="5"/>
  <c r="AC551" i="5"/>
  <c r="AC549" i="5"/>
  <c r="AC83" i="5"/>
  <c r="AC234" i="5"/>
  <c r="AC316" i="5"/>
  <c r="AC372" i="5"/>
  <c r="AC51" i="5"/>
  <c r="AC187" i="5"/>
  <c r="AC309" i="5"/>
  <c r="AC437" i="5"/>
  <c r="AC507" i="5"/>
  <c r="AC558" i="5"/>
  <c r="AC522" i="5"/>
  <c r="AC210" i="5"/>
  <c r="AC166" i="5"/>
  <c r="AC258" i="5"/>
  <c r="AC70" i="5"/>
  <c r="AC21" i="5"/>
  <c r="AC76" i="5"/>
  <c r="AC282" i="5"/>
  <c r="AC29" i="5"/>
  <c r="AC541" i="5"/>
  <c r="AN114" i="4"/>
  <c r="AK114" i="4"/>
  <c r="AL114" i="4" s="1"/>
  <c r="AF114" i="4"/>
  <c r="AG114" i="4" s="1"/>
  <c r="AI114" i="4" s="1"/>
  <c r="AN51" i="4"/>
  <c r="AK51" i="4"/>
  <c r="AL51" i="4" s="1"/>
  <c r="AF51" i="4"/>
  <c r="AG51" i="4" s="1"/>
  <c r="AI51" i="4" s="1"/>
  <c r="BJ336" i="5"/>
  <c r="BK336" i="5"/>
  <c r="BJ196" i="5"/>
  <c r="BK196" i="5"/>
  <c r="BJ536" i="5"/>
  <c r="BK536" i="5"/>
  <c r="BK436" i="5"/>
  <c r="BJ436" i="5"/>
  <c r="BK182" i="5"/>
  <c r="BJ182" i="5"/>
  <c r="BJ184" i="5"/>
  <c r="BK184" i="5"/>
  <c r="AK120" i="4"/>
  <c r="AL120" i="4" s="1"/>
  <c r="AF120" i="4"/>
  <c r="AG120" i="4" s="1"/>
  <c r="AI120" i="4" s="1"/>
  <c r="AN120" i="4"/>
  <c r="BK94" i="5"/>
  <c r="BJ94" i="5"/>
  <c r="BK496" i="5"/>
  <c r="BJ496" i="5"/>
  <c r="BK164" i="5"/>
  <c r="BJ164" i="5"/>
  <c r="BJ454" i="5"/>
  <c r="BK454" i="5"/>
  <c r="BK537" i="5"/>
  <c r="BJ537" i="5"/>
  <c r="BK142" i="5"/>
  <c r="BJ142" i="5"/>
  <c r="BK135" i="5"/>
  <c r="BJ135" i="5"/>
  <c r="BK490" i="5"/>
  <c r="BJ490" i="5"/>
  <c r="BJ507" i="5"/>
  <c r="BK507" i="5"/>
  <c r="BK156" i="5"/>
  <c r="BJ156" i="5"/>
  <c r="BK45" i="5"/>
  <c r="BJ45" i="5"/>
  <c r="BK312" i="5"/>
  <c r="BJ312" i="5"/>
  <c r="BJ392" i="5"/>
  <c r="BK392" i="5"/>
  <c r="BK237" i="5"/>
  <c r="BJ237" i="5"/>
  <c r="BJ107" i="5"/>
  <c r="BK107" i="5"/>
  <c r="AQ176" i="5"/>
  <c r="AR176" i="5"/>
  <c r="BI176" i="5"/>
  <c r="BJ483" i="5"/>
  <c r="BK483" i="5"/>
  <c r="BJ199" i="5"/>
  <c r="BK199" i="5"/>
  <c r="BK188" i="5"/>
  <c r="BJ188" i="5"/>
  <c r="BK400" i="5"/>
  <c r="BJ400" i="5"/>
  <c r="BK221" i="5"/>
  <c r="BJ221" i="5"/>
  <c r="BK494" i="5"/>
  <c r="BJ494" i="5"/>
  <c r="BK328" i="5"/>
  <c r="BJ328" i="5"/>
  <c r="BK22" i="5"/>
  <c r="BJ22" i="5"/>
  <c r="BK115" i="5"/>
  <c r="BJ115" i="5"/>
  <c r="BJ275" i="5"/>
  <c r="BK275" i="5"/>
  <c r="BJ316" i="5"/>
  <c r="BK316" i="5"/>
  <c r="AN29" i="4"/>
  <c r="AK29" i="4"/>
  <c r="AL29" i="4" s="1"/>
  <c r="AF29" i="4"/>
  <c r="AG29" i="4" s="1"/>
  <c r="AI29" i="4" s="1"/>
  <c r="AN76" i="4"/>
  <c r="AC10" i="4"/>
  <c r="AD10" i="4" s="1"/>
  <c r="AQ138" i="4"/>
  <c r="AP138" i="4"/>
  <c r="AC138" i="4"/>
  <c r="AD138" i="4" s="1"/>
  <c r="BK168" i="5"/>
  <c r="BJ168" i="5"/>
  <c r="BJ213" i="5"/>
  <c r="BK213" i="5"/>
  <c r="BJ304" i="5"/>
  <c r="BK304" i="5"/>
  <c r="BK286" i="5"/>
  <c r="BJ286" i="5"/>
  <c r="BK34" i="5"/>
  <c r="BJ34" i="5"/>
  <c r="AN9" i="4"/>
  <c r="AK9" i="4"/>
  <c r="AL9" i="4" s="1"/>
  <c r="AF9" i="4"/>
  <c r="AG9" i="4" s="1"/>
  <c r="AI9" i="4" s="1"/>
  <c r="BJ333" i="5"/>
  <c r="BK333" i="5"/>
  <c r="BK525" i="5"/>
  <c r="BJ525" i="5"/>
  <c r="BK387" i="5"/>
  <c r="BJ387" i="5"/>
  <c r="BJ124" i="5"/>
  <c r="BK124" i="5"/>
  <c r="BJ302" i="5"/>
  <c r="BK302" i="5"/>
  <c r="BK437" i="5"/>
  <c r="BJ437" i="5"/>
  <c r="BJ299" i="5"/>
  <c r="BK299" i="5"/>
  <c r="BK274" i="5"/>
  <c r="BJ274" i="5"/>
  <c r="BJ106" i="5"/>
  <c r="BK106" i="5"/>
  <c r="BJ162" i="5"/>
  <c r="BK162" i="5"/>
  <c r="BJ38" i="5"/>
  <c r="BK38" i="5"/>
  <c r="AC556" i="5"/>
  <c r="AC345" i="5"/>
  <c r="AC233" i="5"/>
  <c r="AC238" i="5"/>
  <c r="AC32" i="5"/>
  <c r="AC232" i="5"/>
  <c r="AC127" i="5"/>
  <c r="AC270" i="5"/>
  <c r="AC10" i="5"/>
  <c r="AC503" i="5"/>
  <c r="AC212" i="5"/>
  <c r="AC145" i="5"/>
  <c r="AC259" i="5"/>
  <c r="AC157" i="5"/>
  <c r="AC227" i="5"/>
  <c r="AC126" i="5"/>
  <c r="AC12" i="5"/>
  <c r="AC334" i="5"/>
  <c r="AC161" i="5"/>
  <c r="AC461" i="5"/>
  <c r="AC293" i="5"/>
  <c r="AC318" i="5"/>
  <c r="AC114" i="5"/>
  <c r="AC176" i="5"/>
  <c r="AC284" i="5"/>
  <c r="AC106" i="5"/>
  <c r="AC86" i="5"/>
  <c r="AC501" i="5"/>
  <c r="AC396" i="5"/>
  <c r="AC205" i="5"/>
  <c r="AC511" i="5"/>
  <c r="AC247" i="5"/>
  <c r="AC63" i="5"/>
  <c r="AC516" i="5"/>
  <c r="AC533" i="5"/>
  <c r="AC508" i="5"/>
  <c r="AC186" i="5"/>
  <c r="AC20" i="5"/>
  <c r="AC246" i="5"/>
  <c r="AC190" i="5"/>
  <c r="AC366" i="5"/>
  <c r="AC182" i="5"/>
  <c r="AC434" i="5"/>
  <c r="AC118" i="5"/>
  <c r="AC66" i="5"/>
  <c r="AC552" i="5"/>
  <c r="AC506" i="5"/>
  <c r="AC201" i="5"/>
  <c r="AC296" i="5"/>
  <c r="AC510" i="5"/>
  <c r="AC222" i="5"/>
  <c r="AC397" i="5"/>
  <c r="AC73" i="5"/>
  <c r="AC308" i="5"/>
  <c r="AC204" i="5"/>
  <c r="AC414" i="5"/>
  <c r="AC327" i="5"/>
  <c r="AC208" i="5"/>
  <c r="AC240" i="5"/>
  <c r="AC178" i="5"/>
  <c r="AC325" i="5"/>
  <c r="AC139" i="5"/>
  <c r="AC555" i="5"/>
  <c r="AC230" i="5"/>
  <c r="AC55" i="5"/>
  <c r="AC470" i="5"/>
  <c r="AC411" i="5"/>
  <c r="AC22" i="5"/>
  <c r="AC268" i="5"/>
  <c r="AC519" i="5"/>
  <c r="AC61" i="5"/>
  <c r="AC269" i="5"/>
  <c r="AC194" i="5"/>
  <c r="AC383" i="5"/>
  <c r="AC492" i="5"/>
  <c r="AC79" i="5"/>
  <c r="AC543" i="5"/>
  <c r="AC122" i="5"/>
  <c r="AC465" i="5"/>
  <c r="AC509" i="5"/>
  <c r="AC72" i="5"/>
  <c r="AC479" i="5"/>
  <c r="AC403" i="5"/>
  <c r="AC320" i="5"/>
  <c r="AC217" i="5"/>
  <c r="AC104" i="5"/>
  <c r="AC401" i="5"/>
  <c r="AC132" i="5"/>
  <c r="AC515" i="5"/>
  <c r="AC134" i="5"/>
  <c r="AC440" i="5"/>
  <c r="AC214" i="5"/>
  <c r="AC332" i="5"/>
  <c r="AC513" i="5"/>
  <c r="AC31" i="5"/>
  <c r="AC36" i="5"/>
  <c r="AC406" i="5"/>
  <c r="AC531" i="5"/>
  <c r="AC98" i="5"/>
  <c r="AC292" i="5"/>
  <c r="AC160" i="5"/>
  <c r="AC265" i="5"/>
  <c r="AC443" i="5"/>
  <c r="AC125" i="5"/>
  <c r="AC485" i="5"/>
  <c r="AC45" i="5"/>
  <c r="AC475" i="5"/>
  <c r="AC362" i="5"/>
  <c r="AC286" i="5"/>
  <c r="AC141" i="5"/>
  <c r="AC90" i="5"/>
  <c r="AC445" i="5"/>
  <c r="AC448" i="5"/>
  <c r="AC38" i="5"/>
  <c r="AC213" i="5"/>
  <c r="AC377" i="5"/>
  <c r="AC430" i="5"/>
  <c r="AC260" i="5"/>
  <c r="AC225" i="5"/>
  <c r="AC419" i="5"/>
  <c r="AC81" i="5"/>
  <c r="AC358" i="5"/>
  <c r="AC49" i="5"/>
  <c r="AC326" i="5"/>
  <c r="AC410" i="5"/>
  <c r="AC97" i="5"/>
  <c r="AC281" i="5"/>
  <c r="AC85" i="5"/>
  <c r="AC524" i="5"/>
  <c r="AC297" i="5"/>
  <c r="AN100" i="4"/>
  <c r="AK100" i="4"/>
  <c r="AL100" i="4" s="1"/>
  <c r="AF100" i="4"/>
  <c r="AG100" i="4" s="1"/>
  <c r="AI100" i="4" s="1"/>
  <c r="AN104" i="4"/>
  <c r="AK104" i="4"/>
  <c r="AL104" i="4" s="1"/>
  <c r="AF104" i="4"/>
  <c r="AG104" i="4" s="1"/>
  <c r="AI104" i="4" s="1"/>
  <c r="AP114" i="4"/>
  <c r="AQ114" i="4"/>
  <c r="AQ51" i="4"/>
  <c r="AP51" i="4"/>
  <c r="AC51" i="4"/>
  <c r="AD51" i="4" s="1"/>
  <c r="BK543" i="5"/>
  <c r="BJ543" i="5"/>
  <c r="BJ421" i="5"/>
  <c r="BK421" i="5"/>
  <c r="BJ311" i="5"/>
  <c r="BK311" i="5"/>
  <c r="AP142" i="4"/>
  <c r="AC142" i="4"/>
  <c r="AD142" i="4" s="1"/>
  <c r="AQ142" i="4"/>
  <c r="AP120" i="4"/>
  <c r="AQ120" i="4"/>
  <c r="AC120" i="4"/>
  <c r="AD120" i="4" s="1"/>
  <c r="BJ539" i="5"/>
  <c r="BK539" i="5"/>
  <c r="BK210" i="5"/>
  <c r="BJ210" i="5"/>
  <c r="BJ347" i="5"/>
  <c r="BK347" i="5"/>
  <c r="BK308" i="5"/>
  <c r="BJ308" i="5"/>
  <c r="AR252" i="5"/>
  <c r="BI252" i="5"/>
  <c r="AQ252" i="5"/>
  <c r="AQ260" i="5"/>
  <c r="AR260" i="5"/>
  <c r="BI260" i="5"/>
  <c r="BK26" i="5"/>
  <c r="BJ26" i="5"/>
  <c r="BJ290" i="5"/>
  <c r="BK290" i="5"/>
  <c r="BK441" i="5"/>
  <c r="BJ441" i="5"/>
  <c r="BJ31" i="5"/>
  <c r="BK31" i="5"/>
  <c r="AR154" i="5"/>
  <c r="BI154" i="5"/>
  <c r="AQ154" i="5"/>
  <c r="BJ339" i="5"/>
  <c r="BK339" i="5"/>
  <c r="BJ108" i="5"/>
  <c r="BK108" i="5"/>
  <c r="BJ307" i="5"/>
  <c r="BK307" i="5"/>
  <c r="BI529" i="5"/>
  <c r="AR529" i="5"/>
  <c r="AQ529" i="5"/>
  <c r="BK141" i="5"/>
  <c r="BJ141" i="5"/>
  <c r="BJ251" i="5"/>
  <c r="BK251" i="5"/>
  <c r="BK119" i="5"/>
  <c r="BJ119" i="5"/>
  <c r="BJ72" i="5"/>
  <c r="BK72" i="5"/>
  <c r="BK86" i="5"/>
  <c r="BJ86" i="5"/>
  <c r="BJ65" i="5"/>
  <c r="BK65" i="5"/>
  <c r="BI68" i="5"/>
  <c r="AR68" i="5"/>
  <c r="AQ68" i="5"/>
  <c r="BJ396" i="5"/>
  <c r="BK396" i="5"/>
  <c r="BJ90" i="5"/>
  <c r="BK90" i="5"/>
  <c r="BK83" i="5"/>
  <c r="BJ83" i="5"/>
  <c r="BJ337" i="5"/>
  <c r="BK337" i="5"/>
  <c r="BJ102" i="5"/>
  <c r="BK102" i="5"/>
  <c r="BJ10" i="5"/>
  <c r="BK10" i="5"/>
  <c r="BJ422" i="5"/>
  <c r="BK422" i="5"/>
  <c r="BK332" i="5"/>
  <c r="BJ332" i="5"/>
  <c r="BK301" i="5"/>
  <c r="BJ301" i="5"/>
  <c r="AP29" i="4"/>
  <c r="AQ29" i="4"/>
  <c r="AC29" i="4"/>
  <c r="AD29" i="4" s="1"/>
  <c r="AF62" i="4"/>
  <c r="AG62" i="4" s="1"/>
  <c r="AI62" i="4" s="1"/>
  <c r="AK78" i="4"/>
  <c r="AL78" i="4" s="1"/>
  <c r="AN78" i="4"/>
  <c r="AF78" i="4"/>
  <c r="AG78" i="4" s="1"/>
  <c r="AI78" i="4" s="1"/>
  <c r="AP47" i="4"/>
  <c r="AQ47" i="4"/>
  <c r="AC47" i="4"/>
  <c r="AD47" i="4" s="1"/>
  <c r="AP97" i="4"/>
  <c r="AQ97" i="4"/>
  <c r="AC97" i="4"/>
  <c r="AD97" i="4" s="1"/>
  <c r="AP35" i="4"/>
  <c r="AC35" i="4"/>
  <c r="AD35" i="4" s="1"/>
  <c r="AQ35" i="4"/>
  <c r="AK138" i="4"/>
  <c r="AL138" i="4" s="1"/>
  <c r="AN138" i="4"/>
  <c r="AF138" i="4"/>
  <c r="AG138" i="4" s="1"/>
  <c r="AI138" i="4" s="1"/>
  <c r="AQ80" i="4"/>
  <c r="AP80" i="4"/>
  <c r="AC80" i="4"/>
  <c r="AD80" i="4" s="1"/>
  <c r="BJ315" i="5"/>
  <c r="BK315" i="5"/>
  <c r="BK402" i="5"/>
  <c r="BJ402" i="5"/>
  <c r="BK129" i="5"/>
  <c r="BJ129" i="5"/>
  <c r="BK254" i="5"/>
  <c r="BJ254" i="5"/>
  <c r="BK57" i="5"/>
  <c r="BJ57" i="5"/>
  <c r="BJ95" i="5"/>
  <c r="BK95" i="5"/>
  <c r="BK458" i="5"/>
  <c r="BJ458" i="5"/>
  <c r="BJ181" i="5"/>
  <c r="BK181" i="5"/>
  <c r="BK313" i="5"/>
  <c r="BJ313" i="5"/>
  <c r="BJ178" i="5"/>
  <c r="BK178" i="5"/>
  <c r="BK185" i="5"/>
  <c r="BJ185" i="5"/>
  <c r="BK317" i="5"/>
  <c r="BJ317" i="5"/>
  <c r="BK179" i="5"/>
  <c r="BJ179" i="5"/>
  <c r="BK183" i="5"/>
  <c r="BJ183" i="5"/>
  <c r="BJ473" i="5"/>
  <c r="BK473" i="5"/>
  <c r="BK111" i="5"/>
  <c r="BJ111" i="5"/>
  <c r="BJ12" i="5"/>
  <c r="BK12" i="5"/>
  <c r="BK273" i="5"/>
  <c r="BJ273" i="5"/>
  <c r="AQ99" i="4"/>
  <c r="AP99" i="4"/>
  <c r="AC99" i="4"/>
  <c r="AD99" i="4" s="1"/>
  <c r="AN91" i="4"/>
  <c r="AK91" i="4"/>
  <c r="AL91" i="4" s="1"/>
  <c r="AF91" i="4"/>
  <c r="AG91" i="4" s="1"/>
  <c r="AI91" i="4" s="1"/>
  <c r="AK46" i="4"/>
  <c r="AL46" i="4" s="1"/>
  <c r="AN46" i="4"/>
  <c r="AF46" i="4"/>
  <c r="AG46" i="4" s="1"/>
  <c r="AI46" i="4" s="1"/>
  <c r="AC9" i="5"/>
  <c r="AC455" i="5"/>
  <c r="AC344" i="5"/>
  <c r="AC96" i="5"/>
  <c r="AC382" i="5"/>
  <c r="AC311" i="5"/>
  <c r="AC534" i="5"/>
  <c r="AC459" i="5"/>
  <c r="AC363" i="5"/>
  <c r="AC58" i="5"/>
  <c r="AC330" i="5"/>
  <c r="AC50" i="5"/>
  <c r="AC313" i="5"/>
  <c r="AC423" i="5"/>
  <c r="AC135" i="5"/>
  <c r="AC142" i="5"/>
  <c r="AC224" i="5"/>
  <c r="AC111" i="5"/>
  <c r="AC439" i="5"/>
  <c r="AC261" i="5"/>
  <c r="AC24" i="5"/>
  <c r="AC71" i="5"/>
  <c r="AC312" i="5"/>
  <c r="AC206" i="5"/>
  <c r="AC257" i="5"/>
  <c r="AC273" i="5"/>
  <c r="AC147" i="5"/>
  <c r="AC140" i="5"/>
  <c r="AC131" i="5"/>
  <c r="AC540" i="5"/>
  <c r="AC400" i="5"/>
  <c r="AC103" i="5"/>
  <c r="AC375" i="5"/>
  <c r="AC357" i="5"/>
  <c r="AC502" i="5"/>
  <c r="AC361" i="5"/>
  <c r="AC390" i="5"/>
  <c r="AC553" i="5"/>
  <c r="AC102" i="5"/>
  <c r="AC52" i="5"/>
  <c r="AC338" i="5"/>
  <c r="AC221" i="5"/>
  <c r="AC467" i="5"/>
  <c r="AC26" i="5"/>
  <c r="AC226" i="5"/>
  <c r="AC446" i="5"/>
  <c r="AC158" i="5"/>
  <c r="AC436" i="5"/>
  <c r="AC550" i="5"/>
  <c r="AC165" i="5"/>
  <c r="AC202" i="5"/>
  <c r="AC368" i="5"/>
  <c r="AC80" i="5"/>
  <c r="AC278" i="5"/>
  <c r="AC464" i="5"/>
  <c r="AC478" i="5"/>
  <c r="AC463" i="5"/>
  <c r="AC376" i="5"/>
  <c r="AC387" i="5"/>
  <c r="AC183" i="5"/>
  <c r="AC108" i="5"/>
  <c r="AC422" i="5"/>
  <c r="AC184" i="5"/>
  <c r="AC197" i="5"/>
  <c r="AC84" i="5"/>
  <c r="AC294" i="5"/>
  <c r="AC498" i="5"/>
  <c r="AC385" i="5"/>
  <c r="AC380" i="5"/>
  <c r="AC499" i="5"/>
  <c r="AC298" i="5"/>
  <c r="AC409" i="5"/>
  <c r="AC113" i="5"/>
  <c r="AC148" i="5"/>
  <c r="AC107" i="5"/>
  <c r="AC391" i="5"/>
  <c r="AC489" i="5"/>
  <c r="AC43" i="5"/>
  <c r="AC360" i="5"/>
  <c r="AC101" i="5"/>
  <c r="AC30" i="5"/>
  <c r="AC337" i="5"/>
  <c r="AC40" i="5"/>
  <c r="AC172" i="5"/>
  <c r="AC379" i="5"/>
  <c r="AC408" i="5"/>
  <c r="AC116" i="5"/>
  <c r="AC518" i="5"/>
  <c r="AC276" i="5"/>
  <c r="AC175" i="5"/>
  <c r="AC528" i="5"/>
  <c r="AC384" i="5"/>
  <c r="AC451" i="5"/>
  <c r="AC441" i="5"/>
  <c r="AC56" i="5"/>
  <c r="AC91" i="5"/>
  <c r="AC438" i="5"/>
  <c r="AC416" i="5"/>
  <c r="AC109" i="5"/>
  <c r="AC364" i="5"/>
  <c r="AC13" i="5"/>
  <c r="AC319" i="5"/>
  <c r="AC300" i="5"/>
  <c r="AC69" i="5"/>
  <c r="AC442" i="5"/>
  <c r="AC462" i="5"/>
  <c r="AC42" i="5"/>
  <c r="AC64" i="5"/>
  <c r="AC123" i="5"/>
  <c r="AC537" i="5"/>
  <c r="AC521" i="5"/>
  <c r="AC447" i="5"/>
  <c r="AC350" i="5"/>
  <c r="AC369" i="5"/>
  <c r="AC115" i="5"/>
  <c r="AC27" i="5"/>
  <c r="AC149" i="5"/>
  <c r="AC373" i="5"/>
  <c r="AC504" i="5"/>
  <c r="AC180" i="5"/>
  <c r="AC34" i="5"/>
  <c r="AC119" i="5"/>
  <c r="AC242" i="5"/>
  <c r="AC299" i="5"/>
  <c r="AC466" i="5"/>
  <c r="AC272" i="5"/>
  <c r="AC514" i="5"/>
  <c r="AC559" i="5"/>
  <c r="AC62" i="5"/>
  <c r="AC560" i="5"/>
  <c r="AC77" i="5"/>
  <c r="AC37" i="5"/>
  <c r="AC405" i="5"/>
  <c r="AC468" i="5"/>
  <c r="AC256" i="5"/>
  <c r="AC348" i="5"/>
  <c r="AC46" i="5"/>
  <c r="AQ100" i="4"/>
  <c r="AP100" i="4"/>
  <c r="AC100" i="4"/>
  <c r="AD100" i="4" s="1"/>
  <c r="AN139" i="4"/>
  <c r="AK139" i="4"/>
  <c r="AL139" i="4" s="1"/>
  <c r="AF139" i="4"/>
  <c r="AG139" i="4" s="1"/>
  <c r="AI139" i="4" s="1"/>
  <c r="BJ359" i="5"/>
  <c r="BK359" i="5"/>
  <c r="BK244" i="5"/>
  <c r="BJ244" i="5"/>
  <c r="BK171" i="5"/>
  <c r="BJ171" i="5"/>
  <c r="BJ24" i="5"/>
  <c r="BK24" i="5"/>
  <c r="BK266" i="5"/>
  <c r="BJ266" i="5"/>
  <c r="BK227" i="5"/>
  <c r="BJ227" i="5"/>
  <c r="BK523" i="5"/>
  <c r="BJ523" i="5"/>
  <c r="BK258" i="5"/>
  <c r="BJ258" i="5"/>
  <c r="BJ245" i="5"/>
  <c r="BK245" i="5"/>
  <c r="BJ412" i="5"/>
  <c r="BK412" i="5"/>
  <c r="BJ278" i="5"/>
  <c r="BK278" i="5"/>
  <c r="BJ408" i="5"/>
  <c r="BK408" i="5"/>
  <c r="AQ394" i="5"/>
  <c r="AR394" i="5"/>
  <c r="BI394" i="5"/>
  <c r="BJ505" i="5"/>
  <c r="BK505" i="5"/>
  <c r="BK201" i="5"/>
  <c r="BJ201" i="5"/>
  <c r="BK134" i="5"/>
  <c r="BJ134" i="5"/>
  <c r="BK403" i="5"/>
  <c r="BJ403" i="5"/>
  <c r="BK516" i="5"/>
  <c r="BJ516" i="5"/>
  <c r="BK87" i="5"/>
  <c r="BJ87" i="5"/>
  <c r="BJ125" i="5"/>
  <c r="BK125" i="5"/>
  <c r="BJ469" i="5"/>
  <c r="BK469" i="5"/>
  <c r="BJ522" i="5"/>
  <c r="BK522" i="5"/>
  <c r="AQ444" i="5"/>
  <c r="AR444" i="5"/>
  <c r="BI444" i="5"/>
  <c r="BJ41" i="5"/>
  <c r="BK41" i="5"/>
  <c r="BK249" i="5"/>
  <c r="BJ249" i="5"/>
  <c r="BJ433" i="5"/>
  <c r="BK433" i="5"/>
  <c r="BJ109" i="5"/>
  <c r="BK109" i="5"/>
  <c r="BJ235" i="5"/>
  <c r="BK235" i="5"/>
  <c r="BK173" i="5"/>
  <c r="BJ173" i="5"/>
  <c r="BJ501" i="5"/>
  <c r="BK501" i="5"/>
  <c r="BI159" i="5"/>
  <c r="AQ159" i="5"/>
  <c r="AR159" i="5"/>
  <c r="BJ397" i="5"/>
  <c r="BK397" i="5"/>
  <c r="BK61" i="5"/>
  <c r="BJ61" i="5"/>
  <c r="BK195" i="5"/>
  <c r="BJ195" i="5"/>
  <c r="BK101" i="5"/>
  <c r="BJ101" i="5"/>
  <c r="BK59" i="5"/>
  <c r="BJ59" i="5"/>
  <c r="BJ519" i="5"/>
  <c r="BK519" i="5"/>
  <c r="BK331" i="5"/>
  <c r="BJ331" i="5"/>
  <c r="BJ120" i="5"/>
  <c r="BK120" i="5"/>
  <c r="BJ327" i="5"/>
  <c r="BK327" i="5"/>
  <c r="BK97" i="5"/>
  <c r="BJ97" i="5"/>
  <c r="BJ534" i="5"/>
  <c r="BK534" i="5"/>
  <c r="BJ105" i="5"/>
  <c r="BK105" i="5"/>
  <c r="AN87" i="4"/>
  <c r="AK87" i="4"/>
  <c r="AL87" i="4" s="1"/>
  <c r="AF87" i="4"/>
  <c r="AG87" i="4" s="1"/>
  <c r="AI87" i="4" s="1"/>
  <c r="AQ76" i="4"/>
  <c r="AP76" i="4"/>
  <c r="AC76" i="4"/>
  <c r="AD76" i="4" s="1"/>
  <c r="AN63" i="4"/>
  <c r="AP78" i="4"/>
  <c r="AQ78" i="4"/>
  <c r="AC78" i="4"/>
  <c r="AD78" i="4" s="1"/>
  <c r="AN47" i="4"/>
  <c r="AK47" i="4"/>
  <c r="AL47" i="4" s="1"/>
  <c r="AF47" i="4"/>
  <c r="AG47" i="4" s="1"/>
  <c r="AI47" i="4" s="1"/>
  <c r="AP27" i="4"/>
  <c r="AQ27" i="4"/>
  <c r="AC27" i="4"/>
  <c r="AD27" i="4" s="1"/>
  <c r="AK35" i="4"/>
  <c r="AL35" i="4" s="1"/>
  <c r="AN35" i="4"/>
  <c r="AF35" i="4"/>
  <c r="AG35" i="4" s="1"/>
  <c r="AI35" i="4" s="1"/>
  <c r="AK10" i="4"/>
  <c r="AL10" i="4" s="1"/>
  <c r="AN10" i="4"/>
  <c r="AF10" i="4"/>
  <c r="AG10" i="4" s="1"/>
  <c r="AI10" i="4" s="1"/>
  <c r="AK80" i="4"/>
  <c r="AL80" i="4" s="1"/>
  <c r="AN80" i="4"/>
  <c r="AF80" i="4"/>
  <c r="AG80" i="4" s="1"/>
  <c r="AI80" i="4" s="1"/>
  <c r="BJ335" i="5"/>
  <c r="BK335" i="5"/>
  <c r="BK296" i="5"/>
  <c r="BJ296" i="5"/>
  <c r="BJ303" i="5"/>
  <c r="BK303" i="5"/>
  <c r="BJ198" i="5"/>
  <c r="BK198" i="5"/>
  <c r="BK492" i="5"/>
  <c r="BJ492" i="5"/>
  <c r="AF16" i="4"/>
  <c r="AG16" i="4" s="1"/>
  <c r="AI16" i="4" s="1"/>
  <c r="AN16" i="4"/>
  <c r="AK16" i="4"/>
  <c r="AL16" i="4" s="1"/>
  <c r="BJ538" i="5"/>
  <c r="BK538" i="5"/>
  <c r="BJ546" i="5"/>
  <c r="BK546" i="5"/>
  <c r="BJ58" i="5"/>
  <c r="BK58" i="5"/>
  <c r="BJ533" i="5"/>
  <c r="BK533" i="5"/>
  <c r="BK448" i="5"/>
  <c r="BJ448" i="5"/>
  <c r="BJ489" i="5"/>
  <c r="BK489" i="5"/>
  <c r="BK515" i="5"/>
  <c r="BJ515" i="5"/>
  <c r="BK78" i="5"/>
  <c r="BJ78" i="5"/>
  <c r="AC151" i="4" l="1"/>
  <c r="AD151" i="4" s="1"/>
  <c r="AK90" i="4"/>
  <c r="AL90" i="4" s="1"/>
  <c r="AP113" i="4"/>
  <c r="AQ77" i="4"/>
  <c r="AF106" i="4"/>
  <c r="AG106" i="4" s="1"/>
  <c r="AI106" i="4" s="1"/>
  <c r="AK85" i="4"/>
  <c r="AL85" i="4" s="1"/>
  <c r="AK106" i="4"/>
  <c r="AL106" i="4" s="1"/>
  <c r="AC155" i="4"/>
  <c r="AD155" i="4" s="1"/>
  <c r="AQ155" i="4"/>
  <c r="AF134" i="4"/>
  <c r="AG134" i="4" s="1"/>
  <c r="AI134" i="4" s="1"/>
  <c r="AN118" i="4"/>
  <c r="AN134" i="4"/>
  <c r="AP105" i="4"/>
  <c r="AC89" i="4"/>
  <c r="AD89" i="4" s="1"/>
  <c r="AN90" i="4"/>
  <c r="AC105" i="4"/>
  <c r="AD105" i="4" s="1"/>
  <c r="AC13" i="4"/>
  <c r="AD13" i="4" s="1"/>
  <c r="AP77" i="4"/>
  <c r="AP11" i="4"/>
  <c r="AP89" i="4"/>
  <c r="AC81" i="4"/>
  <c r="AD81" i="4" s="1"/>
  <c r="AC117" i="4"/>
  <c r="AD117" i="4" s="1"/>
  <c r="AF118" i="4"/>
  <c r="AG118" i="4" s="1"/>
  <c r="AI118" i="4" s="1"/>
  <c r="AC62" i="4"/>
  <c r="AD62" i="4" s="1"/>
  <c r="AC95" i="4"/>
  <c r="AD95" i="4" s="1"/>
  <c r="AQ81" i="4"/>
  <c r="AP117" i="4"/>
  <c r="AQ62" i="4"/>
  <c r="AP95" i="4"/>
  <c r="AC11" i="4"/>
  <c r="AD11" i="4" s="1"/>
  <c r="AC134" i="4"/>
  <c r="AD134" i="4" s="1"/>
  <c r="AQ134" i="4"/>
  <c r="AC148" i="4"/>
  <c r="AD148" i="4" s="1"/>
  <c r="AQ148" i="4"/>
  <c r="AF63" i="4"/>
  <c r="AG63" i="4" s="1"/>
  <c r="AI63" i="4" s="1"/>
  <c r="AN116" i="4"/>
  <c r="AF117" i="4"/>
  <c r="AG117" i="4" s="1"/>
  <c r="AI117" i="4" s="1"/>
  <c r="AP129" i="4"/>
  <c r="AP61" i="4"/>
  <c r="AQ129" i="4"/>
  <c r="AF57" i="4"/>
  <c r="AG57" i="4" s="1"/>
  <c r="AI57" i="4" s="1"/>
  <c r="AC149" i="4"/>
  <c r="AD149" i="4" s="1"/>
  <c r="AP149" i="4"/>
  <c r="AC82" i="4"/>
  <c r="AD82" i="4" s="1"/>
  <c r="AP90" i="4"/>
  <c r="AK141" i="4"/>
  <c r="AL141" i="4" s="1"/>
  <c r="AO141" i="4" s="1"/>
  <c r="AP140" i="4"/>
  <c r="AP106" i="4"/>
  <c r="AF149" i="4"/>
  <c r="AG149" i="4" s="1"/>
  <c r="AI149" i="4" s="1"/>
  <c r="AQ13" i="4"/>
  <c r="AK129" i="4"/>
  <c r="AL129" i="4" s="1"/>
  <c r="AF133" i="4"/>
  <c r="AG133" i="4" s="1"/>
  <c r="AI133" i="4" s="1"/>
  <c r="AK76" i="4"/>
  <c r="AL76" i="4" s="1"/>
  <c r="AO76" i="4" s="1"/>
  <c r="AU76" i="4" s="1"/>
  <c r="AW76" i="4" s="1"/>
  <c r="AQ106" i="4"/>
  <c r="AN149" i="4"/>
  <c r="AF129" i="4"/>
  <c r="AG129" i="4" s="1"/>
  <c r="AI129" i="4" s="1"/>
  <c r="AP66" i="4"/>
  <c r="AQ74" i="4"/>
  <c r="AK133" i="4"/>
  <c r="AL133" i="4" s="1"/>
  <c r="AC122" i="4"/>
  <c r="AD122" i="4" s="1"/>
  <c r="AP122" i="4"/>
  <c r="AC141" i="4"/>
  <c r="AD141" i="4" s="1"/>
  <c r="AK62" i="4"/>
  <c r="AL62" i="4" s="1"/>
  <c r="AQ10" i="4"/>
  <c r="AQ90" i="4"/>
  <c r="AF141" i="4"/>
  <c r="AG141" i="4" s="1"/>
  <c r="AI141" i="4" s="1"/>
  <c r="AP141" i="4"/>
  <c r="AK60" i="4"/>
  <c r="AL60" i="4" s="1"/>
  <c r="AO60" i="4" s="1"/>
  <c r="AK136" i="4"/>
  <c r="AL136" i="4" s="1"/>
  <c r="AO136" i="4" s="1"/>
  <c r="AC79" i="4"/>
  <c r="AD79" i="4" s="1"/>
  <c r="AC59" i="4"/>
  <c r="AD59" i="4" s="1"/>
  <c r="AF69" i="4"/>
  <c r="AG69" i="4" s="1"/>
  <c r="AI69" i="4" s="1"/>
  <c r="AF61" i="4"/>
  <c r="AG61" i="4" s="1"/>
  <c r="AI61" i="4" s="1"/>
  <c r="AK61" i="4"/>
  <c r="AL61" i="4" s="1"/>
  <c r="AK110" i="4"/>
  <c r="AL110" i="4" s="1"/>
  <c r="AC63" i="4"/>
  <c r="AD63" i="4" s="1"/>
  <c r="AN112" i="4"/>
  <c r="AO112" i="4" s="1"/>
  <c r="AP63" i="4"/>
  <c r="AF135" i="4"/>
  <c r="AG135" i="4" s="1"/>
  <c r="AI135" i="4" s="1"/>
  <c r="AP108" i="4"/>
  <c r="AF113" i="4"/>
  <c r="AG113" i="4" s="1"/>
  <c r="AI113" i="4" s="1"/>
  <c r="AC69" i="4"/>
  <c r="AD69" i="4" s="1"/>
  <c r="AK135" i="4"/>
  <c r="AL135" i="4" s="1"/>
  <c r="AO135" i="4" s="1"/>
  <c r="AN113" i="4"/>
  <c r="AO113" i="4" s="1"/>
  <c r="AC98" i="4"/>
  <c r="AD98" i="4" s="1"/>
  <c r="AF122" i="4"/>
  <c r="AG122" i="4" s="1"/>
  <c r="AI122" i="4" s="1"/>
  <c r="AP69" i="4"/>
  <c r="AQ98" i="4"/>
  <c r="AQ133" i="4"/>
  <c r="AK122" i="4"/>
  <c r="AL122" i="4" s="1"/>
  <c r="AO122" i="4" s="1"/>
  <c r="AC94" i="4"/>
  <c r="AD94" i="4" s="1"/>
  <c r="AP144" i="4"/>
  <c r="AF74" i="4"/>
  <c r="AG74" i="4" s="1"/>
  <c r="AI74" i="4" s="1"/>
  <c r="AP94" i="4"/>
  <c r="AQ144" i="4"/>
  <c r="AK101" i="4"/>
  <c r="AL101" i="4" s="1"/>
  <c r="AF111" i="4"/>
  <c r="AG111" i="4" s="1"/>
  <c r="AI111" i="4" s="1"/>
  <c r="AK74" i="4"/>
  <c r="AL74" i="4" s="1"/>
  <c r="AO74" i="4" s="1"/>
  <c r="AN101" i="4"/>
  <c r="AN111" i="4"/>
  <c r="AO111" i="4" s="1"/>
  <c r="AC133" i="4"/>
  <c r="AD133" i="4" s="1"/>
  <c r="AQ109" i="4"/>
  <c r="AP9" i="4"/>
  <c r="AP112" i="4"/>
  <c r="AF110" i="4"/>
  <c r="AG110" i="4" s="1"/>
  <c r="AI110" i="4" s="1"/>
  <c r="AC109" i="4"/>
  <c r="AD109" i="4" s="1"/>
  <c r="AF112" i="4"/>
  <c r="AG112" i="4" s="1"/>
  <c r="AI112" i="4" s="1"/>
  <c r="AP67" i="4"/>
  <c r="AK124" i="4"/>
  <c r="AL124" i="4" s="1"/>
  <c r="AQ112" i="4"/>
  <c r="AC12" i="4"/>
  <c r="AD12" i="4" s="1"/>
  <c r="AC137" i="4"/>
  <c r="AD137" i="4" s="1"/>
  <c r="AQ137" i="4"/>
  <c r="AF152" i="4"/>
  <c r="AG152" i="4" s="1"/>
  <c r="AI152" i="4" s="1"/>
  <c r="AK94" i="4"/>
  <c r="AL94" i="4" s="1"/>
  <c r="AN89" i="4"/>
  <c r="AO89" i="4" s="1"/>
  <c r="AK152" i="4"/>
  <c r="AL152" i="4" s="1"/>
  <c r="AO152" i="4" s="1"/>
  <c r="AN94" i="4"/>
  <c r="AQ67" i="4"/>
  <c r="AC18" i="4"/>
  <c r="AD18" i="4" s="1"/>
  <c r="AC74" i="4"/>
  <c r="AD74" i="4" s="1"/>
  <c r="AF93" i="4"/>
  <c r="AG93" i="4" s="1"/>
  <c r="AI93" i="4" s="1"/>
  <c r="AP14" i="4"/>
  <c r="AK93" i="4"/>
  <c r="AL93" i="4" s="1"/>
  <c r="AC14" i="4"/>
  <c r="AD14" i="4" s="1"/>
  <c r="AQ8" i="4"/>
  <c r="AQ18" i="4"/>
  <c r="AQ24" i="4"/>
  <c r="AF136" i="4"/>
  <c r="AG136" i="4" s="1"/>
  <c r="AI136" i="4" s="1"/>
  <c r="AK59" i="4"/>
  <c r="AL59" i="4" s="1"/>
  <c r="AF116" i="4"/>
  <c r="AG116" i="4" s="1"/>
  <c r="AI116" i="4" s="1"/>
  <c r="AC93" i="4"/>
  <c r="AD93" i="4" s="1"/>
  <c r="AQ22" i="4"/>
  <c r="AQ136" i="4"/>
  <c r="AF60" i="4"/>
  <c r="AG60" i="4" s="1"/>
  <c r="AI60" i="4" s="1"/>
  <c r="AN59" i="4"/>
  <c r="AP93" i="4"/>
  <c r="AQ79" i="4"/>
  <c r="AP22" i="4"/>
  <c r="AP136" i="4"/>
  <c r="AP59" i="4"/>
  <c r="AC25" i="4"/>
  <c r="AD25" i="4" s="1"/>
  <c r="AK95" i="4"/>
  <c r="AL95" i="4" s="1"/>
  <c r="AO95" i="4" s="1"/>
  <c r="AQ25" i="4"/>
  <c r="AF95" i="4"/>
  <c r="AG95" i="4" s="1"/>
  <c r="AI95" i="4" s="1"/>
  <c r="AF143" i="4"/>
  <c r="AG143" i="4" s="1"/>
  <c r="AI143" i="4" s="1"/>
  <c r="AC60" i="4"/>
  <c r="AD60" i="4" s="1"/>
  <c r="AC24" i="4"/>
  <c r="AD24" i="4" s="1"/>
  <c r="AK143" i="4"/>
  <c r="AL143" i="4" s="1"/>
  <c r="AO143" i="4" s="1"/>
  <c r="AP60" i="4"/>
  <c r="AP135" i="4"/>
  <c r="AQ135" i="4"/>
  <c r="AC113" i="4"/>
  <c r="AD113" i="4" s="1"/>
  <c r="AC66" i="4"/>
  <c r="AD66" i="4" s="1"/>
  <c r="AP96" i="4"/>
  <c r="AK57" i="4"/>
  <c r="AL57" i="4" s="1"/>
  <c r="AO57" i="4" s="1"/>
  <c r="AC57" i="4"/>
  <c r="AD57" i="4" s="1"/>
  <c r="AP57" i="4"/>
  <c r="AK137" i="4"/>
  <c r="AL137" i="4" s="1"/>
  <c r="AF97" i="4"/>
  <c r="AG97" i="4" s="1"/>
  <c r="AI97" i="4" s="1"/>
  <c r="AQ16" i="4"/>
  <c r="AF144" i="4"/>
  <c r="AG144" i="4" s="1"/>
  <c r="AI144" i="4" s="1"/>
  <c r="AC11" i="5"/>
  <c r="AE11" i="5" s="1"/>
  <c r="AN97" i="4"/>
  <c r="AO97" i="4" s="1"/>
  <c r="AC92" i="4"/>
  <c r="AD92" i="4" s="1"/>
  <c r="AN82" i="4"/>
  <c r="AO82" i="4" s="1"/>
  <c r="AP7" i="4"/>
  <c r="AQ7" i="4"/>
  <c r="AC23" i="4"/>
  <c r="AD23" i="4" s="1"/>
  <c r="AN144" i="4"/>
  <c r="AO144" i="4" s="1"/>
  <c r="AP92" i="4"/>
  <c r="AF65" i="4"/>
  <c r="AG65" i="4" s="1"/>
  <c r="AI65" i="4" s="1"/>
  <c r="AF67" i="4"/>
  <c r="AG67" i="4" s="1"/>
  <c r="AI67" i="4" s="1"/>
  <c r="AF77" i="4"/>
  <c r="AG77" i="4" s="1"/>
  <c r="AI77" i="4" s="1"/>
  <c r="AQ23" i="4"/>
  <c r="AC111" i="4"/>
  <c r="AD111" i="4" s="1"/>
  <c r="AK65" i="4"/>
  <c r="AL65" i="4" s="1"/>
  <c r="AO65" i="4" s="1"/>
  <c r="AN67" i="4"/>
  <c r="AO67" i="4" s="1"/>
  <c r="AK77" i="4"/>
  <c r="AL77" i="4" s="1"/>
  <c r="AO77" i="4" s="1"/>
  <c r="AF128" i="4"/>
  <c r="AG128" i="4" s="1"/>
  <c r="AI128" i="4" s="1"/>
  <c r="AK81" i="4"/>
  <c r="AL81" i="4" s="1"/>
  <c r="AO81" i="4" s="1"/>
  <c r="AQ111" i="4"/>
  <c r="AN128" i="4"/>
  <c r="AO128" i="4" s="1"/>
  <c r="AF81" i="4"/>
  <c r="AG81" i="4" s="1"/>
  <c r="AI81" i="4" s="1"/>
  <c r="AC156" i="4"/>
  <c r="AD156" i="4" s="1"/>
  <c r="AF98" i="4"/>
  <c r="AG98" i="4" s="1"/>
  <c r="AI98" i="4" s="1"/>
  <c r="AF79" i="4"/>
  <c r="AG79" i="4" s="1"/>
  <c r="AI79" i="4" s="1"/>
  <c r="AP156" i="4"/>
  <c r="AP16" i="4"/>
  <c r="AF82" i="4"/>
  <c r="AG82" i="4" s="1"/>
  <c r="AI82" i="4" s="1"/>
  <c r="AN98" i="4"/>
  <c r="AO98" i="4" s="1"/>
  <c r="AK79" i="4"/>
  <c r="AL79" i="4" s="1"/>
  <c r="AO79" i="4" s="1"/>
  <c r="AO18" i="4"/>
  <c r="AC102" i="4"/>
  <c r="AD102" i="4" s="1"/>
  <c r="AP143" i="4"/>
  <c r="AN137" i="4"/>
  <c r="AP102" i="4"/>
  <c r="AC143" i="4"/>
  <c r="AD143" i="4" s="1"/>
  <c r="AN66" i="4"/>
  <c r="AN121" i="4"/>
  <c r="AO121" i="4" s="1"/>
  <c r="AF102" i="4"/>
  <c r="AG102" i="4" s="1"/>
  <c r="AI102" i="4" s="1"/>
  <c r="AK66" i="4"/>
  <c r="AL66" i="4" s="1"/>
  <c r="AF121" i="4"/>
  <c r="AG121" i="4" s="1"/>
  <c r="AI121" i="4" s="1"/>
  <c r="AP118" i="4"/>
  <c r="AP20" i="4"/>
  <c r="AK102" i="4"/>
  <c r="AL102" i="4" s="1"/>
  <c r="AO102" i="4" s="1"/>
  <c r="AC15" i="4"/>
  <c r="AD15" i="4" s="1"/>
  <c r="AC118" i="4"/>
  <c r="AD118" i="4" s="1"/>
  <c r="AP65" i="4"/>
  <c r="AC20" i="4"/>
  <c r="AD20" i="4" s="1"/>
  <c r="AP15" i="4"/>
  <c r="AC65" i="4"/>
  <c r="AD65" i="4" s="1"/>
  <c r="AC96" i="4"/>
  <c r="AD96" i="4" s="1"/>
  <c r="AP116" i="4"/>
  <c r="AQ9" i="4"/>
  <c r="AP12" i="4"/>
  <c r="AN124" i="4"/>
  <c r="AQ116" i="4"/>
  <c r="AF96" i="4"/>
  <c r="AG96" i="4" s="1"/>
  <c r="AI96" i="4" s="1"/>
  <c r="AC121" i="4"/>
  <c r="AD121" i="4" s="1"/>
  <c r="AK96" i="4"/>
  <c r="AL96" i="4" s="1"/>
  <c r="AO96" i="4" s="1"/>
  <c r="AQ121" i="4"/>
  <c r="AO107" i="4"/>
  <c r="AU107" i="4" s="1"/>
  <c r="AW107" i="4" s="1"/>
  <c r="AF125" i="4"/>
  <c r="AG125" i="4" s="1"/>
  <c r="AI125" i="4" s="1"/>
  <c r="AF89" i="4"/>
  <c r="AG89" i="4" s="1"/>
  <c r="AI89" i="4" s="1"/>
  <c r="AK125" i="4"/>
  <c r="AL125" i="4" s="1"/>
  <c r="AO125" i="4" s="1"/>
  <c r="AO150" i="4"/>
  <c r="AU150" i="4" s="1"/>
  <c r="AW150" i="4" s="1"/>
  <c r="AO34" i="4"/>
  <c r="AU34" i="4" s="1"/>
  <c r="AW34" i="4" s="1"/>
  <c r="AO157" i="4"/>
  <c r="AU157" i="4" s="1"/>
  <c r="AW157" i="4" s="1"/>
  <c r="AO58" i="4"/>
  <c r="AU58" i="4" s="1"/>
  <c r="AW58" i="4" s="1"/>
  <c r="AO22" i="4"/>
  <c r="AO48" i="4"/>
  <c r="AU48" i="4" s="1"/>
  <c r="AW48" i="4" s="1"/>
  <c r="AO130" i="4"/>
  <c r="AU130" i="4" s="1"/>
  <c r="AW130" i="4" s="1"/>
  <c r="AO155" i="4"/>
  <c r="AO26" i="4"/>
  <c r="AU26" i="4" s="1"/>
  <c r="AW26" i="4" s="1"/>
  <c r="AO132" i="4"/>
  <c r="AU132" i="4" s="1"/>
  <c r="AW132" i="4" s="1"/>
  <c r="AO106" i="4"/>
  <c r="AO7" i="4"/>
  <c r="AO19" i="4"/>
  <c r="AU19" i="4" s="1"/>
  <c r="AW19" i="4" s="1"/>
  <c r="AO127" i="4"/>
  <c r="AU127" i="4" s="1"/>
  <c r="AW127" i="4" s="1"/>
  <c r="AO11" i="4"/>
  <c r="AU11" i="4" s="1"/>
  <c r="AW11" i="4" s="1"/>
  <c r="AO103" i="4"/>
  <c r="AU103" i="4" s="1"/>
  <c r="AW103" i="4" s="1"/>
  <c r="AO133" i="4"/>
  <c r="AO87" i="4"/>
  <c r="AU87" i="4" s="1"/>
  <c r="AW87" i="4" s="1"/>
  <c r="AO91" i="4"/>
  <c r="AU91" i="4" s="1"/>
  <c r="AW91" i="4" s="1"/>
  <c r="AO138" i="4"/>
  <c r="AU138" i="4" s="1"/>
  <c r="AW138" i="4" s="1"/>
  <c r="AO78" i="4"/>
  <c r="AU78" i="4" s="1"/>
  <c r="AW78" i="4" s="1"/>
  <c r="AO80" i="4"/>
  <c r="AU80" i="4" s="1"/>
  <c r="AW80" i="4" s="1"/>
  <c r="BF418" i="5"/>
  <c r="AO16" i="4"/>
  <c r="AO9" i="4"/>
  <c r="AO53" i="4"/>
  <c r="AU53" i="4" s="1"/>
  <c r="AW53" i="4" s="1"/>
  <c r="AO42" i="4"/>
  <c r="AU42" i="4" s="1"/>
  <c r="AW42" i="4" s="1"/>
  <c r="AO32" i="4"/>
  <c r="AU32" i="4" s="1"/>
  <c r="AW32" i="4" s="1"/>
  <c r="AO21" i="4"/>
  <c r="AU21" i="4" s="1"/>
  <c r="AW21" i="4" s="1"/>
  <c r="AO134" i="4"/>
  <c r="AU134" i="4" s="1"/>
  <c r="AW134" i="4" s="1"/>
  <c r="AE418" i="5"/>
  <c r="AO123" i="4"/>
  <c r="AU123" i="4" s="1"/>
  <c r="AW123" i="4" s="1"/>
  <c r="AO72" i="4"/>
  <c r="AU72" i="4" s="1"/>
  <c r="AW72" i="4" s="1"/>
  <c r="AO38" i="4"/>
  <c r="AO52" i="4"/>
  <c r="AU52" i="4" s="1"/>
  <c r="AW52" i="4" s="1"/>
  <c r="AO86" i="4"/>
  <c r="AU86" i="4" s="1"/>
  <c r="AW86" i="4" s="1"/>
  <c r="AO147" i="4"/>
  <c r="AU147" i="4" s="1"/>
  <c r="AW147" i="4" s="1"/>
  <c r="AO88" i="4"/>
  <c r="AU88" i="4" s="1"/>
  <c r="AW88" i="4" s="1"/>
  <c r="AO55" i="4"/>
  <c r="AU55" i="4" s="1"/>
  <c r="AW55" i="4" s="1"/>
  <c r="AO49" i="4"/>
  <c r="AU49" i="4" s="1"/>
  <c r="AW49" i="4" s="1"/>
  <c r="AO73" i="4"/>
  <c r="AU73" i="4" s="1"/>
  <c r="AW73" i="4" s="1"/>
  <c r="AO151" i="4"/>
  <c r="AU151" i="4" s="1"/>
  <c r="AW151" i="4" s="1"/>
  <c r="AO15" i="4"/>
  <c r="AO8" i="4"/>
  <c r="AO24" i="4"/>
  <c r="AO36" i="4"/>
  <c r="AU36" i="4" s="1"/>
  <c r="AW36" i="4" s="1"/>
  <c r="AO40" i="4"/>
  <c r="AU40" i="4" s="1"/>
  <c r="AW40" i="4" s="1"/>
  <c r="AO68" i="4"/>
  <c r="AU68" i="4" s="1"/>
  <c r="AW68" i="4" s="1"/>
  <c r="AO109" i="4"/>
  <c r="AO129" i="4"/>
  <c r="AO31" i="4"/>
  <c r="AU31" i="4" s="1"/>
  <c r="AW31" i="4" s="1"/>
  <c r="AO13" i="4"/>
  <c r="AO10" i="4"/>
  <c r="AO27" i="4"/>
  <c r="AU27" i="4" s="1"/>
  <c r="AW27" i="4" s="1"/>
  <c r="AO50" i="4"/>
  <c r="AU50" i="4" s="1"/>
  <c r="AW50" i="4" s="1"/>
  <c r="AO108" i="4"/>
  <c r="AO20" i="4"/>
  <c r="AO84" i="4"/>
  <c r="AU84" i="4" s="1"/>
  <c r="AW84" i="4" s="1"/>
  <c r="AO37" i="4"/>
  <c r="AU37" i="4" s="1"/>
  <c r="AW37" i="4" s="1"/>
  <c r="AO117" i="4"/>
  <c r="AU117" i="4" s="1"/>
  <c r="AW117" i="4" s="1"/>
  <c r="AO12" i="4"/>
  <c r="AO45" i="4"/>
  <c r="AU45" i="4" s="1"/>
  <c r="AW45" i="4" s="1"/>
  <c r="AO25" i="4"/>
  <c r="AO63" i="4"/>
  <c r="AD559" i="5"/>
  <c r="BF559" i="5"/>
  <c r="AE559" i="5"/>
  <c r="AD27" i="5"/>
  <c r="BF27" i="5"/>
  <c r="AE27" i="5"/>
  <c r="AD69" i="5"/>
  <c r="BF69" i="5"/>
  <c r="AE69" i="5"/>
  <c r="AE384" i="5"/>
  <c r="AD384" i="5"/>
  <c r="BF384" i="5"/>
  <c r="AE101" i="5"/>
  <c r="AD101" i="5"/>
  <c r="BF101" i="5"/>
  <c r="BF391" i="5"/>
  <c r="AE391" i="5"/>
  <c r="AD391" i="5"/>
  <c r="AE409" i="5"/>
  <c r="AD409" i="5"/>
  <c r="BF409" i="5"/>
  <c r="AD385" i="5"/>
  <c r="AE385" i="5"/>
  <c r="BF385" i="5"/>
  <c r="AE197" i="5"/>
  <c r="AD197" i="5"/>
  <c r="BF197" i="5"/>
  <c r="AE183" i="5"/>
  <c r="AD183" i="5"/>
  <c r="BF183" i="5"/>
  <c r="AE478" i="5"/>
  <c r="BF478" i="5"/>
  <c r="AD478" i="5"/>
  <c r="AE368" i="5"/>
  <c r="AD368" i="5"/>
  <c r="BF368" i="5"/>
  <c r="AE436" i="5"/>
  <c r="AD436" i="5"/>
  <c r="BF436" i="5"/>
  <c r="AD26" i="5"/>
  <c r="AE26" i="5"/>
  <c r="BF26" i="5"/>
  <c r="BF52" i="5"/>
  <c r="AE52" i="5"/>
  <c r="AD52" i="5"/>
  <c r="AD361" i="5"/>
  <c r="BF361" i="5"/>
  <c r="AE361" i="5"/>
  <c r="AD103" i="5"/>
  <c r="AE103" i="5"/>
  <c r="BF103" i="5"/>
  <c r="AD140" i="5"/>
  <c r="BF140" i="5"/>
  <c r="AE140" i="5"/>
  <c r="AE206" i="5"/>
  <c r="BF206" i="5"/>
  <c r="AD206" i="5"/>
  <c r="AE261" i="5"/>
  <c r="AD261" i="5"/>
  <c r="BF261" i="5"/>
  <c r="BF142" i="5"/>
  <c r="AD142" i="5"/>
  <c r="AE142" i="5"/>
  <c r="BF50" i="5"/>
  <c r="AE50" i="5"/>
  <c r="AD50" i="5"/>
  <c r="AE459" i="5"/>
  <c r="BF459" i="5"/>
  <c r="AD459" i="5"/>
  <c r="BF96" i="5"/>
  <c r="AD96" i="5"/>
  <c r="AE96" i="5"/>
  <c r="BK260" i="5"/>
  <c r="BJ260" i="5"/>
  <c r="BK252" i="5"/>
  <c r="BJ252" i="5"/>
  <c r="AD297" i="5"/>
  <c r="AE297" i="5"/>
  <c r="BF297" i="5"/>
  <c r="AD97" i="5"/>
  <c r="AE97" i="5"/>
  <c r="BF97" i="5"/>
  <c r="AD358" i="5"/>
  <c r="AE358" i="5"/>
  <c r="BF358" i="5"/>
  <c r="AD260" i="5"/>
  <c r="AE260" i="5"/>
  <c r="BF260" i="5"/>
  <c r="AD38" i="5"/>
  <c r="BF38" i="5"/>
  <c r="AE38" i="5"/>
  <c r="BF141" i="5"/>
  <c r="AE141" i="5"/>
  <c r="AD141" i="5"/>
  <c r="AD45" i="5"/>
  <c r="BF45" i="5"/>
  <c r="AE45" i="5"/>
  <c r="AD265" i="5"/>
  <c r="AE265" i="5"/>
  <c r="BF265" i="5"/>
  <c r="AD531" i="5"/>
  <c r="BF531" i="5"/>
  <c r="AE531" i="5"/>
  <c r="BF513" i="5"/>
  <c r="AD513" i="5"/>
  <c r="AE513" i="5"/>
  <c r="AE134" i="5"/>
  <c r="BF134" i="5"/>
  <c r="AD134" i="5"/>
  <c r="BF104" i="5"/>
  <c r="AD104" i="5"/>
  <c r="AE104" i="5"/>
  <c r="AE479" i="5"/>
  <c r="AD479" i="5"/>
  <c r="BF479" i="5"/>
  <c r="BF122" i="5"/>
  <c r="AD122" i="5"/>
  <c r="AE122" i="5"/>
  <c r="BF383" i="5"/>
  <c r="AE383" i="5"/>
  <c r="AD383" i="5"/>
  <c r="AD519" i="5"/>
  <c r="AE519" i="5"/>
  <c r="BF519" i="5"/>
  <c r="AD470" i="5"/>
  <c r="AE470" i="5"/>
  <c r="BF470" i="5"/>
  <c r="BF139" i="5"/>
  <c r="AE139" i="5"/>
  <c r="AD139" i="5"/>
  <c r="AD208" i="5"/>
  <c r="BF208" i="5"/>
  <c r="AE208" i="5"/>
  <c r="AE308" i="5"/>
  <c r="AD308" i="5"/>
  <c r="BF308" i="5"/>
  <c r="BF510" i="5"/>
  <c r="AD510" i="5"/>
  <c r="AE510" i="5"/>
  <c r="AD552" i="5"/>
  <c r="AE552" i="5"/>
  <c r="BF552" i="5"/>
  <c r="BF182" i="5"/>
  <c r="AD182" i="5"/>
  <c r="AE182" i="5"/>
  <c r="AE20" i="5"/>
  <c r="BF20" i="5"/>
  <c r="AD20" i="5"/>
  <c r="AE516" i="5"/>
  <c r="AD516" i="5"/>
  <c r="BF516" i="5"/>
  <c r="AD205" i="5"/>
  <c r="BF205" i="5"/>
  <c r="AE205" i="5"/>
  <c r="AE106" i="5"/>
  <c r="BF106" i="5"/>
  <c r="AD106" i="5"/>
  <c r="AE318" i="5"/>
  <c r="BF318" i="5"/>
  <c r="AD318" i="5"/>
  <c r="AE334" i="5"/>
  <c r="BF334" i="5"/>
  <c r="AD334" i="5"/>
  <c r="AE157" i="5"/>
  <c r="BF157" i="5"/>
  <c r="AD157" i="5"/>
  <c r="AE503" i="5"/>
  <c r="BF503" i="5"/>
  <c r="AD503" i="5"/>
  <c r="AD232" i="5"/>
  <c r="BF232" i="5"/>
  <c r="AE232" i="5"/>
  <c r="BF345" i="5"/>
  <c r="AE345" i="5"/>
  <c r="AD345" i="5"/>
  <c r="AD541" i="5"/>
  <c r="BF541" i="5"/>
  <c r="AE541" i="5"/>
  <c r="AE21" i="5"/>
  <c r="AD21" i="5"/>
  <c r="BF21" i="5"/>
  <c r="AE210" i="5"/>
  <c r="BF210" i="5"/>
  <c r="AD210" i="5"/>
  <c r="AD437" i="5"/>
  <c r="BF437" i="5"/>
  <c r="AE437" i="5"/>
  <c r="BF372" i="5"/>
  <c r="AD372" i="5"/>
  <c r="AE372" i="5"/>
  <c r="AE549" i="5"/>
  <c r="BF549" i="5"/>
  <c r="AD549" i="5"/>
  <c r="AE150" i="5"/>
  <c r="AD150" i="5"/>
  <c r="BF150" i="5"/>
  <c r="AD279" i="5"/>
  <c r="BF279" i="5"/>
  <c r="AE279" i="5"/>
  <c r="AE207" i="5"/>
  <c r="AD207" i="5"/>
  <c r="BF207" i="5"/>
  <c r="BF128" i="5"/>
  <c r="AE128" i="5"/>
  <c r="AD128" i="5"/>
  <c r="AE544" i="5"/>
  <c r="AD544" i="5"/>
  <c r="BF544" i="5"/>
  <c r="AD287" i="5"/>
  <c r="BF287" i="5"/>
  <c r="AE287" i="5"/>
  <c r="AD432" i="5"/>
  <c r="AE432" i="5"/>
  <c r="BF432" i="5"/>
  <c r="AD253" i="5"/>
  <c r="BF253" i="5"/>
  <c r="AE253" i="5"/>
  <c r="AE295" i="5"/>
  <c r="AD295" i="5"/>
  <c r="BF295" i="5"/>
  <c r="AD452" i="5"/>
  <c r="BF452" i="5"/>
  <c r="AE452" i="5"/>
  <c r="AE512" i="5"/>
  <c r="BF512" i="5"/>
  <c r="AD512" i="5"/>
  <c r="AD53" i="5"/>
  <c r="AE53" i="5"/>
  <c r="BF53" i="5"/>
  <c r="AE388" i="5"/>
  <c r="AD388" i="5"/>
  <c r="BF388" i="5"/>
  <c r="AE288" i="5"/>
  <c r="AD288" i="5"/>
  <c r="BF288" i="5"/>
  <c r="AE351" i="5"/>
  <c r="AD351" i="5"/>
  <c r="BF351" i="5"/>
  <c r="AE547" i="5"/>
  <c r="AD547" i="5"/>
  <c r="BF547" i="5"/>
  <c r="AE493" i="5"/>
  <c r="AD493" i="5"/>
  <c r="BF493" i="5"/>
  <c r="BF428" i="5"/>
  <c r="AD428" i="5"/>
  <c r="AE428" i="5"/>
  <c r="BF48" i="5"/>
  <c r="AD48" i="5"/>
  <c r="AE48" i="5"/>
  <c r="AE117" i="5"/>
  <c r="AD117" i="5"/>
  <c r="BF117" i="5"/>
  <c r="AE173" i="5"/>
  <c r="BF173" i="5"/>
  <c r="AD173" i="5"/>
  <c r="AD228" i="5"/>
  <c r="AE228" i="5"/>
  <c r="BF228" i="5"/>
  <c r="AE94" i="5"/>
  <c r="AD94" i="5"/>
  <c r="BF94" i="5"/>
  <c r="AD456" i="5"/>
  <c r="BF456" i="5"/>
  <c r="AE456" i="5"/>
  <c r="AD413" i="5"/>
  <c r="AE413" i="5"/>
  <c r="BF413" i="5"/>
  <c r="AD92" i="5"/>
  <c r="AE92" i="5"/>
  <c r="BF92" i="5"/>
  <c r="BK411" i="5"/>
  <c r="BJ411" i="5"/>
  <c r="AD44" i="5"/>
  <c r="BF44" i="5"/>
  <c r="AE44" i="5"/>
  <c r="AD431" i="5"/>
  <c r="AE431" i="5"/>
  <c r="BF431" i="5"/>
  <c r="AE144" i="5"/>
  <c r="AD144" i="5"/>
  <c r="BF144" i="5"/>
  <c r="BF88" i="5"/>
  <c r="AE88" i="5"/>
  <c r="AD88" i="5"/>
  <c r="AD8" i="5"/>
  <c r="AE8" i="5"/>
  <c r="BF8" i="5"/>
  <c r="BF254" i="5"/>
  <c r="AE254" i="5"/>
  <c r="AD254" i="5"/>
  <c r="AD370" i="5"/>
  <c r="AE370" i="5"/>
  <c r="BF370" i="5"/>
  <c r="AD245" i="5"/>
  <c r="BF245" i="5"/>
  <c r="AE245" i="5"/>
  <c r="AE243" i="5"/>
  <c r="BF243" i="5"/>
  <c r="AD243" i="5"/>
  <c r="BF429" i="5"/>
  <c r="AD429" i="5"/>
  <c r="AE429" i="5"/>
  <c r="AE482" i="5"/>
  <c r="BF482" i="5"/>
  <c r="AD482" i="5"/>
  <c r="AE185" i="5"/>
  <c r="BF185" i="5"/>
  <c r="AD185" i="5"/>
  <c r="AD112" i="5"/>
  <c r="AE112" i="5"/>
  <c r="BF112" i="5"/>
  <c r="AE538" i="5"/>
  <c r="BF538" i="5"/>
  <c r="AD538" i="5"/>
  <c r="AD231" i="5"/>
  <c r="BF231" i="5"/>
  <c r="AE231" i="5"/>
  <c r="AE477" i="5"/>
  <c r="AD477" i="5"/>
  <c r="BF477" i="5"/>
  <c r="AE526" i="5"/>
  <c r="AD526" i="5"/>
  <c r="BF526" i="5"/>
  <c r="AE290" i="5"/>
  <c r="AD290" i="5"/>
  <c r="BF290" i="5"/>
  <c r="AD168" i="5"/>
  <c r="BF168" i="5"/>
  <c r="AE168" i="5"/>
  <c r="AE252" i="5"/>
  <c r="BF252" i="5"/>
  <c r="AD252" i="5"/>
  <c r="AD426" i="5"/>
  <c r="BF426" i="5"/>
  <c r="AE426" i="5"/>
  <c r="AE491" i="5"/>
  <c r="AD491" i="5"/>
  <c r="BF491" i="5"/>
  <c r="BF342" i="5"/>
  <c r="AE342" i="5"/>
  <c r="AD342" i="5"/>
  <c r="AE321" i="5"/>
  <c r="AD321" i="5"/>
  <c r="BF321" i="5"/>
  <c r="BF481" i="5"/>
  <c r="AE481" i="5"/>
  <c r="AD481" i="5"/>
  <c r="AD54" i="5"/>
  <c r="BF54" i="5"/>
  <c r="AE54" i="5"/>
  <c r="AE219" i="5"/>
  <c r="AD219" i="5"/>
  <c r="BF219" i="5"/>
  <c r="AE317" i="5"/>
  <c r="BF317" i="5"/>
  <c r="AD317" i="5"/>
  <c r="AE163" i="5"/>
  <c r="BF163" i="5"/>
  <c r="AD163" i="5"/>
  <c r="AE200" i="5"/>
  <c r="AD200" i="5"/>
  <c r="BF200" i="5"/>
  <c r="AD250" i="5"/>
  <c r="BF250" i="5"/>
  <c r="AE250" i="5"/>
  <c r="AE392" i="5"/>
  <c r="AD392" i="5"/>
  <c r="BF392" i="5"/>
  <c r="BF188" i="5"/>
  <c r="AD188" i="5"/>
  <c r="AE188" i="5"/>
  <c r="AE60" i="5"/>
  <c r="AD60" i="5"/>
  <c r="BF60" i="5"/>
  <c r="AE35" i="5"/>
  <c r="AD35" i="5"/>
  <c r="BF35" i="5"/>
  <c r="BK485" i="5"/>
  <c r="BJ485" i="5"/>
  <c r="AO71" i="4"/>
  <c r="AU71" i="4" s="1"/>
  <c r="AW71" i="4" s="1"/>
  <c r="AO92" i="4"/>
  <c r="AE218" i="5"/>
  <c r="BF218" i="5"/>
  <c r="AD218" i="5"/>
  <c r="AD235" i="5"/>
  <c r="BF235" i="5"/>
  <c r="AE235" i="5"/>
  <c r="AO54" i="4"/>
  <c r="AU54" i="4" s="1"/>
  <c r="AW54" i="4" s="1"/>
  <c r="BK209" i="5"/>
  <c r="BJ209" i="5"/>
  <c r="AO23" i="4"/>
  <c r="BK497" i="5"/>
  <c r="BJ497" i="5"/>
  <c r="AO90" i="4"/>
  <c r="AE167" i="5"/>
  <c r="AD167" i="5"/>
  <c r="BF167" i="5"/>
  <c r="AO99" i="4"/>
  <c r="AU99" i="4" s="1"/>
  <c r="AW99" i="4" s="1"/>
  <c r="BJ84" i="5"/>
  <c r="BK84" i="5"/>
  <c r="AO146" i="4"/>
  <c r="AU146" i="4" s="1"/>
  <c r="AW146" i="4" s="1"/>
  <c r="AO116" i="4"/>
  <c r="BJ127" i="5"/>
  <c r="BK127" i="5"/>
  <c r="AO61" i="4"/>
  <c r="AO30" i="4"/>
  <c r="AU30" i="4" s="1"/>
  <c r="AW30" i="4" s="1"/>
  <c r="AB11" i="5"/>
  <c r="AA11" i="5"/>
  <c r="U11" i="5"/>
  <c r="V11" i="5"/>
  <c r="AH11" i="5"/>
  <c r="AI11" i="5"/>
  <c r="AO148" i="4"/>
  <c r="AU148" i="4" s="1"/>
  <c r="AW148" i="4" s="1"/>
  <c r="BK284" i="5"/>
  <c r="BJ284" i="5"/>
  <c r="BK419" i="5"/>
  <c r="BJ419" i="5"/>
  <c r="BJ148" i="5"/>
  <c r="BK148" i="5"/>
  <c r="AO17" i="4"/>
  <c r="AU17" i="4" s="1"/>
  <c r="AW17" i="4" s="1"/>
  <c r="AD348" i="5"/>
  <c r="BF348" i="5"/>
  <c r="AE348" i="5"/>
  <c r="AE299" i="5"/>
  <c r="BF299" i="5"/>
  <c r="AD299" i="5"/>
  <c r="BF447" i="5"/>
  <c r="AE447" i="5"/>
  <c r="AD447" i="5"/>
  <c r="AE364" i="5"/>
  <c r="AD364" i="5"/>
  <c r="BF364" i="5"/>
  <c r="AE172" i="5"/>
  <c r="BF172" i="5"/>
  <c r="AD172" i="5"/>
  <c r="AO35" i="4"/>
  <c r="AU35" i="4" s="1"/>
  <c r="AW35" i="4" s="1"/>
  <c r="AO47" i="4"/>
  <c r="AU47" i="4" s="1"/>
  <c r="AW47" i="4" s="1"/>
  <c r="AE256" i="5"/>
  <c r="BF256" i="5"/>
  <c r="AD256" i="5"/>
  <c r="BF77" i="5"/>
  <c r="AE77" i="5"/>
  <c r="AD77" i="5"/>
  <c r="AD514" i="5"/>
  <c r="AE514" i="5"/>
  <c r="BF514" i="5"/>
  <c r="AE242" i="5"/>
  <c r="BF242" i="5"/>
  <c r="AD242" i="5"/>
  <c r="AD504" i="5"/>
  <c r="BF504" i="5"/>
  <c r="AE504" i="5"/>
  <c r="BF115" i="5"/>
  <c r="AE115" i="5"/>
  <c r="AD115" i="5"/>
  <c r="AD521" i="5"/>
  <c r="BF521" i="5"/>
  <c r="AE521" i="5"/>
  <c r="AD42" i="5"/>
  <c r="BF42" i="5"/>
  <c r="AE42" i="5"/>
  <c r="AD300" i="5"/>
  <c r="AE300" i="5"/>
  <c r="BF300" i="5"/>
  <c r="AE109" i="5"/>
  <c r="AD109" i="5"/>
  <c r="BF109" i="5"/>
  <c r="AD56" i="5"/>
  <c r="AE56" i="5"/>
  <c r="BF56" i="5"/>
  <c r="AE528" i="5"/>
  <c r="BF528" i="5"/>
  <c r="AD528" i="5"/>
  <c r="AD116" i="5"/>
  <c r="AE116" i="5"/>
  <c r="BF116" i="5"/>
  <c r="AE40" i="5"/>
  <c r="AD40" i="5"/>
  <c r="BF40" i="5"/>
  <c r="AE360" i="5"/>
  <c r="BF360" i="5"/>
  <c r="AD360" i="5"/>
  <c r="AD107" i="5"/>
  <c r="AE107" i="5"/>
  <c r="BF107" i="5"/>
  <c r="BF298" i="5"/>
  <c r="AD298" i="5"/>
  <c r="AE298" i="5"/>
  <c r="AD498" i="5"/>
  <c r="AE498" i="5"/>
  <c r="BF498" i="5"/>
  <c r="AE184" i="5"/>
  <c r="AD184" i="5"/>
  <c r="BF184" i="5"/>
  <c r="AE387" i="5"/>
  <c r="BF387" i="5"/>
  <c r="AD387" i="5"/>
  <c r="AD464" i="5"/>
  <c r="AE464" i="5"/>
  <c r="BF464" i="5"/>
  <c r="AE202" i="5"/>
  <c r="AD202" i="5"/>
  <c r="BF202" i="5"/>
  <c r="AE158" i="5"/>
  <c r="AD158" i="5"/>
  <c r="BF158" i="5"/>
  <c r="AE467" i="5"/>
  <c r="BF467" i="5"/>
  <c r="AD467" i="5"/>
  <c r="AE102" i="5"/>
  <c r="AD102" i="5"/>
  <c r="BF102" i="5"/>
  <c r="BF502" i="5"/>
  <c r="AD502" i="5"/>
  <c r="AE502" i="5"/>
  <c r="AD400" i="5"/>
  <c r="BF400" i="5"/>
  <c r="AE400" i="5"/>
  <c r="AE147" i="5"/>
  <c r="AD147" i="5"/>
  <c r="BF147" i="5"/>
  <c r="AE312" i="5"/>
  <c r="AD312" i="5"/>
  <c r="BF312" i="5"/>
  <c r="AD439" i="5"/>
  <c r="BF439" i="5"/>
  <c r="AE439" i="5"/>
  <c r="BF135" i="5"/>
  <c r="AE135" i="5"/>
  <c r="AD135" i="5"/>
  <c r="AE330" i="5"/>
  <c r="AD330" i="5"/>
  <c r="BF330" i="5"/>
  <c r="AE534" i="5"/>
  <c r="BF534" i="5"/>
  <c r="AD534" i="5"/>
  <c r="AE344" i="5"/>
  <c r="BF344" i="5"/>
  <c r="AD344" i="5"/>
  <c r="AD524" i="5"/>
  <c r="AE524" i="5"/>
  <c r="BF524" i="5"/>
  <c r="AD410" i="5"/>
  <c r="AE410" i="5"/>
  <c r="BF410" i="5"/>
  <c r="AD81" i="5"/>
  <c r="BF81" i="5"/>
  <c r="AE81" i="5"/>
  <c r="BF430" i="5"/>
  <c r="AD430" i="5"/>
  <c r="AE430" i="5"/>
  <c r="BF448" i="5"/>
  <c r="AE448" i="5"/>
  <c r="AD448" i="5"/>
  <c r="AD286" i="5"/>
  <c r="BF286" i="5"/>
  <c r="AE286" i="5"/>
  <c r="AD485" i="5"/>
  <c r="BF485" i="5"/>
  <c r="AE485" i="5"/>
  <c r="AD160" i="5"/>
  <c r="BF160" i="5"/>
  <c r="AE160" i="5"/>
  <c r="BF406" i="5"/>
  <c r="AD406" i="5"/>
  <c r="AE406" i="5"/>
  <c r="AE332" i="5"/>
  <c r="BF332" i="5"/>
  <c r="AD332" i="5"/>
  <c r="AD515" i="5"/>
  <c r="BF515" i="5"/>
  <c r="AE515" i="5"/>
  <c r="BF217" i="5"/>
  <c r="AD217" i="5"/>
  <c r="AE217" i="5"/>
  <c r="AD72" i="5"/>
  <c r="AE72" i="5"/>
  <c r="BF72" i="5"/>
  <c r="AE543" i="5"/>
  <c r="BF543" i="5"/>
  <c r="AD543" i="5"/>
  <c r="AE194" i="5"/>
  <c r="AD194" i="5"/>
  <c r="BF194" i="5"/>
  <c r="BF268" i="5"/>
  <c r="AE268" i="5"/>
  <c r="AD268" i="5"/>
  <c r="BF55" i="5"/>
  <c r="AD55" i="5"/>
  <c r="AE55" i="5"/>
  <c r="AE325" i="5"/>
  <c r="AD325" i="5"/>
  <c r="BF325" i="5"/>
  <c r="BF327" i="5"/>
  <c r="AD327" i="5"/>
  <c r="AE327" i="5"/>
  <c r="AE73" i="5"/>
  <c r="AD73" i="5"/>
  <c r="BF73" i="5"/>
  <c r="BF296" i="5"/>
  <c r="AE296" i="5"/>
  <c r="AD296" i="5"/>
  <c r="AE66" i="5"/>
  <c r="AD66" i="5"/>
  <c r="BF66" i="5"/>
  <c r="BF366" i="5"/>
  <c r="AD366" i="5"/>
  <c r="AE366" i="5"/>
  <c r="BF186" i="5"/>
  <c r="AE186" i="5"/>
  <c r="AD186" i="5"/>
  <c r="AD63" i="5"/>
  <c r="AE63" i="5"/>
  <c r="BF63" i="5"/>
  <c r="AD396" i="5"/>
  <c r="BF396" i="5"/>
  <c r="AE396" i="5"/>
  <c r="BF284" i="5"/>
  <c r="AD284" i="5"/>
  <c r="AE284" i="5"/>
  <c r="AE293" i="5"/>
  <c r="AD293" i="5"/>
  <c r="BF293" i="5"/>
  <c r="AD12" i="5"/>
  <c r="BF12" i="5"/>
  <c r="AE12" i="5"/>
  <c r="AE259" i="5"/>
  <c r="BF259" i="5"/>
  <c r="AD259" i="5"/>
  <c r="AD10" i="5"/>
  <c r="AE10" i="5"/>
  <c r="BF10" i="5"/>
  <c r="AD32" i="5"/>
  <c r="AE32" i="5"/>
  <c r="BF32" i="5"/>
  <c r="AE556" i="5"/>
  <c r="AD556" i="5"/>
  <c r="BF556" i="5"/>
  <c r="AO120" i="4"/>
  <c r="AU120" i="4" s="1"/>
  <c r="AW120" i="4" s="1"/>
  <c r="AE29" i="5"/>
  <c r="AD29" i="5"/>
  <c r="BF29" i="5"/>
  <c r="AE70" i="5"/>
  <c r="BF70" i="5"/>
  <c r="AD70" i="5"/>
  <c r="AD522" i="5"/>
  <c r="AE522" i="5"/>
  <c r="BF522" i="5"/>
  <c r="AE309" i="5"/>
  <c r="AD309" i="5"/>
  <c r="BF309" i="5"/>
  <c r="BF316" i="5"/>
  <c r="AE316" i="5"/>
  <c r="AD316" i="5"/>
  <c r="BF551" i="5"/>
  <c r="AD551" i="5"/>
  <c r="AE551" i="5"/>
  <c r="AE331" i="5"/>
  <c r="AD331" i="5"/>
  <c r="BF331" i="5"/>
  <c r="BF41" i="5"/>
  <c r="AE41" i="5"/>
  <c r="AD41" i="5"/>
  <c r="AD381" i="5"/>
  <c r="AE381" i="5"/>
  <c r="BF381" i="5"/>
  <c r="AE220" i="5"/>
  <c r="AD220" i="5"/>
  <c r="BF220" i="5"/>
  <c r="BF487" i="5"/>
  <c r="AE487" i="5"/>
  <c r="AD487" i="5"/>
  <c r="AD289" i="5"/>
  <c r="AE289" i="5"/>
  <c r="BF289" i="5"/>
  <c r="AE271" i="5"/>
  <c r="AD271" i="5"/>
  <c r="BF271" i="5"/>
  <c r="AE425" i="5"/>
  <c r="AD425" i="5"/>
  <c r="BF425" i="5"/>
  <c r="AE65" i="5"/>
  <c r="AD65" i="5"/>
  <c r="BF65" i="5"/>
  <c r="AD68" i="5"/>
  <c r="BF68" i="5"/>
  <c r="AE68" i="5"/>
  <c r="BF343" i="5"/>
  <c r="AE343" i="5"/>
  <c r="AD343" i="5"/>
  <c r="BF156" i="5"/>
  <c r="AD156" i="5"/>
  <c r="AE156" i="5"/>
  <c r="BF100" i="5"/>
  <c r="AE100" i="5"/>
  <c r="AD100" i="5"/>
  <c r="AE130" i="5"/>
  <c r="BF130" i="5"/>
  <c r="AD130" i="5"/>
  <c r="AD497" i="5"/>
  <c r="AE497" i="5"/>
  <c r="BF497" i="5"/>
  <c r="BF480" i="5"/>
  <c r="AD480" i="5"/>
  <c r="AE480" i="5"/>
  <c r="AD291" i="5"/>
  <c r="AE291" i="5"/>
  <c r="BF291" i="5"/>
  <c r="AD490" i="5"/>
  <c r="AE490" i="5"/>
  <c r="BF490" i="5"/>
  <c r="AD143" i="5"/>
  <c r="AE143" i="5"/>
  <c r="BF143" i="5"/>
  <c r="AD420" i="5"/>
  <c r="AE420" i="5"/>
  <c r="BF420" i="5"/>
  <c r="AE251" i="5"/>
  <c r="AD251" i="5"/>
  <c r="BF251" i="5"/>
  <c r="AE152" i="5"/>
  <c r="BF152" i="5"/>
  <c r="AD152" i="5"/>
  <c r="AD336" i="5"/>
  <c r="AE336" i="5"/>
  <c r="BF336" i="5"/>
  <c r="AD557" i="5"/>
  <c r="AE557" i="5"/>
  <c r="BF557" i="5"/>
  <c r="AE283" i="5"/>
  <c r="AD283" i="5"/>
  <c r="BF283" i="5"/>
  <c r="AE280" i="5"/>
  <c r="AD280" i="5"/>
  <c r="BF280" i="5"/>
  <c r="AE454" i="5"/>
  <c r="AD454" i="5"/>
  <c r="BF454" i="5"/>
  <c r="BJ446" i="5"/>
  <c r="BK446" i="5"/>
  <c r="AO69" i="4"/>
  <c r="AE28" i="5"/>
  <c r="BF28" i="5"/>
  <c r="AD28" i="5"/>
  <c r="AD542" i="5"/>
  <c r="AE542" i="5"/>
  <c r="BF542" i="5"/>
  <c r="BF415" i="5"/>
  <c r="AE415" i="5"/>
  <c r="AD415" i="5"/>
  <c r="AE421" i="5"/>
  <c r="BF421" i="5"/>
  <c r="AD421" i="5"/>
  <c r="AD473" i="5"/>
  <c r="AE473" i="5"/>
  <c r="BF473" i="5"/>
  <c r="AE277" i="5"/>
  <c r="AD277" i="5"/>
  <c r="BF277" i="5"/>
  <c r="AE324" i="5"/>
  <c r="BF324" i="5"/>
  <c r="AD324" i="5"/>
  <c r="AD402" i="5"/>
  <c r="AE402" i="5"/>
  <c r="BF402" i="5"/>
  <c r="AE162" i="5"/>
  <c r="AD162" i="5"/>
  <c r="BF162" i="5"/>
  <c r="BF124" i="5"/>
  <c r="AD124" i="5"/>
  <c r="AE124" i="5"/>
  <c r="AE171" i="5"/>
  <c r="AD171" i="5"/>
  <c r="BF171" i="5"/>
  <c r="AE457" i="5"/>
  <c r="BF457" i="5"/>
  <c r="AD457" i="5"/>
  <c r="BF435" i="5"/>
  <c r="AD435" i="5"/>
  <c r="AE435" i="5"/>
  <c r="AD535" i="5"/>
  <c r="AE535" i="5"/>
  <c r="BF535" i="5"/>
  <c r="BF449" i="5"/>
  <c r="AD449" i="5"/>
  <c r="AE449" i="5"/>
  <c r="AD121" i="5"/>
  <c r="AE121" i="5"/>
  <c r="BF121" i="5"/>
  <c r="BF307" i="5"/>
  <c r="AD307" i="5"/>
  <c r="AE307" i="5"/>
  <c r="AD266" i="5"/>
  <c r="AE266" i="5"/>
  <c r="BF266" i="5"/>
  <c r="AE476" i="5"/>
  <c r="AD476" i="5"/>
  <c r="BF476" i="5"/>
  <c r="AD267" i="5"/>
  <c r="BF267" i="5"/>
  <c r="AE267" i="5"/>
  <c r="BF285" i="5"/>
  <c r="AE285" i="5"/>
  <c r="AD285" i="5"/>
  <c r="AE263" i="5"/>
  <c r="BF263" i="5"/>
  <c r="AD263" i="5"/>
  <c r="AD255" i="5"/>
  <c r="BF255" i="5"/>
  <c r="AE255" i="5"/>
  <c r="AE23" i="5"/>
  <c r="BF23" i="5"/>
  <c r="AD23" i="5"/>
  <c r="AE138" i="5"/>
  <c r="BF138" i="5"/>
  <c r="AD138" i="5"/>
  <c r="AD365" i="5"/>
  <c r="BF365" i="5"/>
  <c r="AE365" i="5"/>
  <c r="AE340" i="5"/>
  <c r="AD340" i="5"/>
  <c r="BF340" i="5"/>
  <c r="AE216" i="5"/>
  <c r="BF216" i="5"/>
  <c r="AD216" i="5"/>
  <c r="AE179" i="5"/>
  <c r="AD179" i="5"/>
  <c r="BF179" i="5"/>
  <c r="AD398" i="5"/>
  <c r="BF398" i="5"/>
  <c r="AE398" i="5"/>
  <c r="AD354" i="5"/>
  <c r="BF354" i="5"/>
  <c r="AE354" i="5"/>
  <c r="AE529" i="5"/>
  <c r="AD529" i="5"/>
  <c r="BF529" i="5"/>
  <c r="BF239" i="5"/>
  <c r="AE239" i="5"/>
  <c r="AD239" i="5"/>
  <c r="AD367" i="5"/>
  <c r="AE367" i="5"/>
  <c r="BF367" i="5"/>
  <c r="BK524" i="5"/>
  <c r="BJ524" i="5"/>
  <c r="AD494" i="5"/>
  <c r="AE494" i="5"/>
  <c r="BF494" i="5"/>
  <c r="AE248" i="5"/>
  <c r="AD248" i="5"/>
  <c r="BF248" i="5"/>
  <c r="BJ151" i="5"/>
  <c r="BK151" i="5"/>
  <c r="BK73" i="5"/>
  <c r="BJ73" i="5"/>
  <c r="BJ33" i="5"/>
  <c r="BK33" i="5"/>
  <c r="AE315" i="5"/>
  <c r="BF315" i="5"/>
  <c r="AD315" i="5"/>
  <c r="AE249" i="5"/>
  <c r="BF249" i="5"/>
  <c r="AD249" i="5"/>
  <c r="BK416" i="5"/>
  <c r="BJ416" i="5"/>
  <c r="BJ77" i="5"/>
  <c r="BK77" i="5"/>
  <c r="BJ267" i="5"/>
  <c r="BK267" i="5"/>
  <c r="BK9" i="5"/>
  <c r="BJ9" i="5"/>
  <c r="X11" i="5"/>
  <c r="Y11" i="5"/>
  <c r="BB11" i="5"/>
  <c r="BA11" i="5"/>
  <c r="S11" i="5"/>
  <c r="R11" i="5"/>
  <c r="BJ386" i="5"/>
  <c r="BK386" i="5"/>
  <c r="BK186" i="5"/>
  <c r="BJ186" i="5"/>
  <c r="BJ462" i="5"/>
  <c r="BK462" i="5"/>
  <c r="AU38" i="4"/>
  <c r="AW38" i="4" s="1"/>
  <c r="AE37" i="5"/>
  <c r="BF37" i="5"/>
  <c r="AD37" i="5"/>
  <c r="AD180" i="5"/>
  <c r="BF180" i="5"/>
  <c r="AE180" i="5"/>
  <c r="AD64" i="5"/>
  <c r="AE64" i="5"/>
  <c r="BF64" i="5"/>
  <c r="BF91" i="5"/>
  <c r="AD91" i="5"/>
  <c r="AE91" i="5"/>
  <c r="AD518" i="5"/>
  <c r="AE518" i="5"/>
  <c r="BF518" i="5"/>
  <c r="BK444" i="5"/>
  <c r="BJ444" i="5"/>
  <c r="AO139" i="4"/>
  <c r="AU139" i="4" s="1"/>
  <c r="AW139" i="4" s="1"/>
  <c r="AE468" i="5"/>
  <c r="BF468" i="5"/>
  <c r="AD468" i="5"/>
  <c r="AE560" i="5"/>
  <c r="BF560" i="5"/>
  <c r="AD560" i="5"/>
  <c r="BF272" i="5"/>
  <c r="AD272" i="5"/>
  <c r="AE272" i="5"/>
  <c r="AD119" i="5"/>
  <c r="BF119" i="5"/>
  <c r="AE119" i="5"/>
  <c r="AD373" i="5"/>
  <c r="AE373" i="5"/>
  <c r="BF373" i="5"/>
  <c r="AE369" i="5"/>
  <c r="BF369" i="5"/>
  <c r="AD369" i="5"/>
  <c r="AD537" i="5"/>
  <c r="AE537" i="5"/>
  <c r="BF537" i="5"/>
  <c r="BF462" i="5"/>
  <c r="AE462" i="5"/>
  <c r="AD462" i="5"/>
  <c r="AE319" i="5"/>
  <c r="BF319" i="5"/>
  <c r="AD319" i="5"/>
  <c r="AD416" i="5"/>
  <c r="AE416" i="5"/>
  <c r="BF416" i="5"/>
  <c r="AD441" i="5"/>
  <c r="AE441" i="5"/>
  <c r="BF441" i="5"/>
  <c r="BF175" i="5"/>
  <c r="AD175" i="5"/>
  <c r="AE175" i="5"/>
  <c r="AD408" i="5"/>
  <c r="AE408" i="5"/>
  <c r="BF408" i="5"/>
  <c r="AD337" i="5"/>
  <c r="BF337" i="5"/>
  <c r="AE337" i="5"/>
  <c r="AD43" i="5"/>
  <c r="BF43" i="5"/>
  <c r="AE43" i="5"/>
  <c r="BF148" i="5"/>
  <c r="AE148" i="5"/>
  <c r="AD148" i="5"/>
  <c r="AD499" i="5"/>
  <c r="AE499" i="5"/>
  <c r="BF499" i="5"/>
  <c r="AE294" i="5"/>
  <c r="BF294" i="5"/>
  <c r="AD294" i="5"/>
  <c r="AE422" i="5"/>
  <c r="BF422" i="5"/>
  <c r="AD422" i="5"/>
  <c r="AD376" i="5"/>
  <c r="BF376" i="5"/>
  <c r="AE376" i="5"/>
  <c r="AE278" i="5"/>
  <c r="AD278" i="5"/>
  <c r="BF278" i="5"/>
  <c r="AD165" i="5"/>
  <c r="AE165" i="5"/>
  <c r="BF165" i="5"/>
  <c r="AE446" i="5"/>
  <c r="BF446" i="5"/>
  <c r="AD446" i="5"/>
  <c r="AE221" i="5"/>
  <c r="BF221" i="5"/>
  <c r="AD221" i="5"/>
  <c r="AD553" i="5"/>
  <c r="AE553" i="5"/>
  <c r="BF553" i="5"/>
  <c r="AD357" i="5"/>
  <c r="BF357" i="5"/>
  <c r="AE357" i="5"/>
  <c r="AE540" i="5"/>
  <c r="AD540" i="5"/>
  <c r="BF540" i="5"/>
  <c r="BF273" i="5"/>
  <c r="AD273" i="5"/>
  <c r="AE273" i="5"/>
  <c r="AE71" i="5"/>
  <c r="AD71" i="5"/>
  <c r="BF71" i="5"/>
  <c r="AE111" i="5"/>
  <c r="AD111" i="5"/>
  <c r="BF111" i="5"/>
  <c r="BF423" i="5"/>
  <c r="AE423" i="5"/>
  <c r="AD423" i="5"/>
  <c r="AE58" i="5"/>
  <c r="BF58" i="5"/>
  <c r="AD58" i="5"/>
  <c r="AE311" i="5"/>
  <c r="AD311" i="5"/>
  <c r="BF311" i="5"/>
  <c r="AE455" i="5"/>
  <c r="AD455" i="5"/>
  <c r="BF455" i="5"/>
  <c r="AO46" i="4"/>
  <c r="AU46" i="4" s="1"/>
  <c r="AW46" i="4" s="1"/>
  <c r="AO62" i="4"/>
  <c r="BK529" i="5"/>
  <c r="BJ529" i="5"/>
  <c r="BK154" i="5"/>
  <c r="BJ154" i="5"/>
  <c r="AO100" i="4"/>
  <c r="AU100" i="4" s="1"/>
  <c r="AW100" i="4" s="1"/>
  <c r="AD85" i="5"/>
  <c r="BF85" i="5"/>
  <c r="AE85" i="5"/>
  <c r="AD326" i="5"/>
  <c r="BF326" i="5"/>
  <c r="AE326" i="5"/>
  <c r="AD419" i="5"/>
  <c r="BF419" i="5"/>
  <c r="AE419" i="5"/>
  <c r="AD377" i="5"/>
  <c r="AE377" i="5"/>
  <c r="BF377" i="5"/>
  <c r="BF445" i="5"/>
  <c r="AD445" i="5"/>
  <c r="AE445" i="5"/>
  <c r="AE362" i="5"/>
  <c r="BF362" i="5"/>
  <c r="AD362" i="5"/>
  <c r="AE125" i="5"/>
  <c r="BF125" i="5"/>
  <c r="AD125" i="5"/>
  <c r="AE292" i="5"/>
  <c r="BF292" i="5"/>
  <c r="AD292" i="5"/>
  <c r="BF36" i="5"/>
  <c r="AD36" i="5"/>
  <c r="AE36" i="5"/>
  <c r="BF214" i="5"/>
  <c r="AD214" i="5"/>
  <c r="AE214" i="5"/>
  <c r="AE132" i="5"/>
  <c r="BF132" i="5"/>
  <c r="AD132" i="5"/>
  <c r="AD320" i="5"/>
  <c r="AE320" i="5"/>
  <c r="BF320" i="5"/>
  <c r="AE509" i="5"/>
  <c r="AD509" i="5"/>
  <c r="BF509" i="5"/>
  <c r="AE79" i="5"/>
  <c r="BF79" i="5"/>
  <c r="AD79" i="5"/>
  <c r="AE269" i="5"/>
  <c r="BF269" i="5"/>
  <c r="AD269" i="5"/>
  <c r="AD22" i="5"/>
  <c r="AE22" i="5"/>
  <c r="BF22" i="5"/>
  <c r="AD230" i="5"/>
  <c r="AE230" i="5"/>
  <c r="BF230" i="5"/>
  <c r="AD178" i="5"/>
  <c r="BF178" i="5"/>
  <c r="AE178" i="5"/>
  <c r="BF414" i="5"/>
  <c r="AE414" i="5"/>
  <c r="AD414" i="5"/>
  <c r="AE397" i="5"/>
  <c r="AD397" i="5"/>
  <c r="BF397" i="5"/>
  <c r="BF201" i="5"/>
  <c r="AD201" i="5"/>
  <c r="AE201" i="5"/>
  <c r="BF118" i="5"/>
  <c r="AD118" i="5"/>
  <c r="AE118" i="5"/>
  <c r="AD190" i="5"/>
  <c r="BF190" i="5"/>
  <c r="AE190" i="5"/>
  <c r="AD508" i="5"/>
  <c r="BF508" i="5"/>
  <c r="AE508" i="5"/>
  <c r="BF247" i="5"/>
  <c r="AD247" i="5"/>
  <c r="AE247" i="5"/>
  <c r="AD501" i="5"/>
  <c r="BF501" i="5"/>
  <c r="AE501" i="5"/>
  <c r="BF176" i="5"/>
  <c r="AD176" i="5"/>
  <c r="AE176" i="5"/>
  <c r="AD461" i="5"/>
  <c r="AE461" i="5"/>
  <c r="BF461" i="5"/>
  <c r="AE126" i="5"/>
  <c r="BF126" i="5"/>
  <c r="AD126" i="5"/>
  <c r="AD145" i="5"/>
  <c r="AE145" i="5"/>
  <c r="BF145" i="5"/>
  <c r="BF270" i="5"/>
  <c r="AD270" i="5"/>
  <c r="AE270" i="5"/>
  <c r="AE238" i="5"/>
  <c r="AD238" i="5"/>
  <c r="BF238" i="5"/>
  <c r="BK176" i="5"/>
  <c r="BJ176" i="5"/>
  <c r="AO114" i="4"/>
  <c r="AU114" i="4" s="1"/>
  <c r="AW114" i="4" s="1"/>
  <c r="BF282" i="5"/>
  <c r="AE282" i="5"/>
  <c r="AD282" i="5"/>
  <c r="AE258" i="5"/>
  <c r="AD258" i="5"/>
  <c r="BF258" i="5"/>
  <c r="BF558" i="5"/>
  <c r="AE558" i="5"/>
  <c r="AD558" i="5"/>
  <c r="AD187" i="5"/>
  <c r="AE187" i="5"/>
  <c r="BF187" i="5"/>
  <c r="AD234" i="5"/>
  <c r="AE234" i="5"/>
  <c r="BF234" i="5"/>
  <c r="AD352" i="5"/>
  <c r="BF352" i="5"/>
  <c r="AE352" i="5"/>
  <c r="AD393" i="5"/>
  <c r="AE393" i="5"/>
  <c r="BF393" i="5"/>
  <c r="AE424" i="5"/>
  <c r="AD424" i="5"/>
  <c r="BF424" i="5"/>
  <c r="AD322" i="5"/>
  <c r="BF322" i="5"/>
  <c r="AE322" i="5"/>
  <c r="BF453" i="5"/>
  <c r="AE453" i="5"/>
  <c r="AD453" i="5"/>
  <c r="BF488" i="5"/>
  <c r="AE488" i="5"/>
  <c r="AD488" i="5"/>
  <c r="AE120" i="5"/>
  <c r="BF120" i="5"/>
  <c r="AD120" i="5"/>
  <c r="AE450" i="5"/>
  <c r="AD450" i="5"/>
  <c r="BF450" i="5"/>
  <c r="AD47" i="5"/>
  <c r="AE47" i="5"/>
  <c r="BF47" i="5"/>
  <c r="BF539" i="5"/>
  <c r="AD539" i="5"/>
  <c r="AE539" i="5"/>
  <c r="AE314" i="5"/>
  <c r="AD314" i="5"/>
  <c r="BF314" i="5"/>
  <c r="AE303" i="5"/>
  <c r="BF303" i="5"/>
  <c r="AD303" i="5"/>
  <c r="BF264" i="5"/>
  <c r="AD264" i="5"/>
  <c r="AE264" i="5"/>
  <c r="AE505" i="5"/>
  <c r="AD505" i="5"/>
  <c r="BF505" i="5"/>
  <c r="AE427" i="5"/>
  <c r="BF427" i="5"/>
  <c r="AD427" i="5"/>
  <c r="AE105" i="5"/>
  <c r="BF105" i="5"/>
  <c r="AD105" i="5"/>
  <c r="AE374" i="5"/>
  <c r="AD374" i="5"/>
  <c r="BF374" i="5"/>
  <c r="BF177" i="5"/>
  <c r="AE177" i="5"/>
  <c r="AD177" i="5"/>
  <c r="AE57" i="5"/>
  <c r="AD57" i="5"/>
  <c r="BF57" i="5"/>
  <c r="AD89" i="5"/>
  <c r="AE89" i="5"/>
  <c r="BF89" i="5"/>
  <c r="AD407" i="5"/>
  <c r="BF407" i="5"/>
  <c r="AE407" i="5"/>
  <c r="AD395" i="5"/>
  <c r="AE395" i="5"/>
  <c r="BF395" i="5"/>
  <c r="AE198" i="5"/>
  <c r="BF198" i="5"/>
  <c r="AD198" i="5"/>
  <c r="BF460" i="5"/>
  <c r="AD460" i="5"/>
  <c r="AE460" i="5"/>
  <c r="AE371" i="5"/>
  <c r="BF371" i="5"/>
  <c r="AD371" i="5"/>
  <c r="AE356" i="5"/>
  <c r="AD356" i="5"/>
  <c r="BF356" i="5"/>
  <c r="AD193" i="5"/>
  <c r="AE193" i="5"/>
  <c r="BF193" i="5"/>
  <c r="BF133" i="5"/>
  <c r="AD133" i="5"/>
  <c r="AE133" i="5"/>
  <c r="AE19" i="5"/>
  <c r="AD19" i="5"/>
  <c r="BF19" i="5"/>
  <c r="AE341" i="5"/>
  <c r="AD341" i="5"/>
  <c r="BF341" i="5"/>
  <c r="AD181" i="5"/>
  <c r="BF181" i="5"/>
  <c r="AE181" i="5"/>
  <c r="AD209" i="5"/>
  <c r="BF209" i="5"/>
  <c r="AE209" i="5"/>
  <c r="AD353" i="5"/>
  <c r="AE353" i="5"/>
  <c r="BF353" i="5"/>
  <c r="AE87" i="5"/>
  <c r="AD87" i="5"/>
  <c r="BF87" i="5"/>
  <c r="AE458" i="5"/>
  <c r="BF458" i="5"/>
  <c r="AD458" i="5"/>
  <c r="AD301" i="5"/>
  <c r="AE301" i="5"/>
  <c r="BF301" i="5"/>
  <c r="BF153" i="5"/>
  <c r="AD153" i="5"/>
  <c r="AE153" i="5"/>
  <c r="AE74" i="5"/>
  <c r="BF74" i="5"/>
  <c r="AD74" i="5"/>
  <c r="AE399" i="5"/>
  <c r="AD399" i="5"/>
  <c r="BF399" i="5"/>
  <c r="AD346" i="5"/>
  <c r="AE346" i="5"/>
  <c r="BF346" i="5"/>
  <c r="AE82" i="5"/>
  <c r="AD82" i="5"/>
  <c r="BF82" i="5"/>
  <c r="AE33" i="5"/>
  <c r="AD33" i="5"/>
  <c r="BF33" i="5"/>
  <c r="AD323" i="5"/>
  <c r="BF323" i="5"/>
  <c r="AE323" i="5"/>
  <c r="AE155" i="5"/>
  <c r="AD155" i="5"/>
  <c r="BF155" i="5"/>
  <c r="AD223" i="5"/>
  <c r="BF223" i="5"/>
  <c r="AE223" i="5"/>
  <c r="AE335" i="5"/>
  <c r="BF335" i="5"/>
  <c r="AD335" i="5"/>
  <c r="AD389" i="5"/>
  <c r="AE389" i="5"/>
  <c r="BF389" i="5"/>
  <c r="AD530" i="5"/>
  <c r="AE530" i="5"/>
  <c r="BF530" i="5"/>
  <c r="BF154" i="5"/>
  <c r="AE154" i="5"/>
  <c r="AD154" i="5"/>
  <c r="AD347" i="5"/>
  <c r="BF347" i="5"/>
  <c r="AE347" i="5"/>
  <c r="AD306" i="5"/>
  <c r="BF306" i="5"/>
  <c r="AE306" i="5"/>
  <c r="BF305" i="5"/>
  <c r="AE305" i="5"/>
  <c r="AD305" i="5"/>
  <c r="AD536" i="5"/>
  <c r="BF536" i="5"/>
  <c r="AE536" i="5"/>
  <c r="AE196" i="5"/>
  <c r="AD196" i="5"/>
  <c r="BF196" i="5"/>
  <c r="AD215" i="5"/>
  <c r="AE215" i="5"/>
  <c r="BF215" i="5"/>
  <c r="AE78" i="5"/>
  <c r="BF78" i="5"/>
  <c r="AD78" i="5"/>
  <c r="AE192" i="5"/>
  <c r="BF192" i="5"/>
  <c r="AD192" i="5"/>
  <c r="AE404" i="5"/>
  <c r="AD404" i="5"/>
  <c r="BF404" i="5"/>
  <c r="AD355" i="5"/>
  <c r="AE355" i="5"/>
  <c r="BF355" i="5"/>
  <c r="BF386" i="5"/>
  <c r="AD386" i="5"/>
  <c r="AE386" i="5"/>
  <c r="AD302" i="5"/>
  <c r="AE302" i="5"/>
  <c r="BF302" i="5"/>
  <c r="BF444" i="5"/>
  <c r="AD444" i="5"/>
  <c r="AE444" i="5"/>
  <c r="AO41" i="4"/>
  <c r="AU41" i="4" s="1"/>
  <c r="AW41" i="4" s="1"/>
  <c r="BK54" i="5"/>
  <c r="BJ54" i="5"/>
  <c r="AO145" i="4"/>
  <c r="AU145" i="4" s="1"/>
  <c r="AW145" i="4" s="1"/>
  <c r="AO115" i="4"/>
  <c r="AU115" i="4" s="1"/>
  <c r="AW115" i="4" s="1"/>
  <c r="AE304" i="5"/>
  <c r="AD304" i="5"/>
  <c r="BF304" i="5"/>
  <c r="BJ219" i="5"/>
  <c r="BK219" i="5"/>
  <c r="BK13" i="5"/>
  <c r="BJ13" i="5"/>
  <c r="AO149" i="4"/>
  <c r="AU149" i="4" s="1"/>
  <c r="AW149" i="4" s="1"/>
  <c r="AO14" i="4"/>
  <c r="AU14" i="4" s="1"/>
  <c r="AW14" i="4" s="1"/>
  <c r="AE527" i="5"/>
  <c r="BF527" i="5"/>
  <c r="AD527" i="5"/>
  <c r="AD129" i="5"/>
  <c r="BF129" i="5"/>
  <c r="AE129" i="5"/>
  <c r="AO44" i="4"/>
  <c r="AU44" i="4" s="1"/>
  <c r="AW44" i="4" s="1"/>
  <c r="AK11" i="5"/>
  <c r="AL11" i="5"/>
  <c r="AP11" i="5"/>
  <c r="AO11" i="5"/>
  <c r="AN11" i="5"/>
  <c r="AO70" i="4"/>
  <c r="AU70" i="4" s="1"/>
  <c r="AW70" i="4" s="1"/>
  <c r="AO56" i="4"/>
  <c r="AU56" i="4" s="1"/>
  <c r="AW56" i="4" s="1"/>
  <c r="AO64" i="4"/>
  <c r="AU64" i="4" s="1"/>
  <c r="AW64" i="4" s="1"/>
  <c r="BK159" i="5"/>
  <c r="BJ159" i="5"/>
  <c r="BJ394" i="5"/>
  <c r="BK394" i="5"/>
  <c r="AO118" i="4"/>
  <c r="BF46" i="5"/>
  <c r="AD46" i="5"/>
  <c r="AE46" i="5"/>
  <c r="AD405" i="5"/>
  <c r="BF405" i="5"/>
  <c r="AE405" i="5"/>
  <c r="AE62" i="5"/>
  <c r="AD62" i="5"/>
  <c r="BF62" i="5"/>
  <c r="AD466" i="5"/>
  <c r="BF466" i="5"/>
  <c r="AE466" i="5"/>
  <c r="AD34" i="5"/>
  <c r="BF34" i="5"/>
  <c r="AE34" i="5"/>
  <c r="AE149" i="5"/>
  <c r="AD149" i="5"/>
  <c r="BF149" i="5"/>
  <c r="AE350" i="5"/>
  <c r="BF350" i="5"/>
  <c r="AD350" i="5"/>
  <c r="AE123" i="5"/>
  <c r="AD123" i="5"/>
  <c r="BF123" i="5"/>
  <c r="AE442" i="5"/>
  <c r="BF442" i="5"/>
  <c r="AD442" i="5"/>
  <c r="AE13" i="5"/>
  <c r="AD13" i="5"/>
  <c r="BF13" i="5"/>
  <c r="BF438" i="5"/>
  <c r="AE438" i="5"/>
  <c r="AD438" i="5"/>
  <c r="AD451" i="5"/>
  <c r="AE451" i="5"/>
  <c r="BF451" i="5"/>
  <c r="AD276" i="5"/>
  <c r="BF276" i="5"/>
  <c r="AE276" i="5"/>
  <c r="AE379" i="5"/>
  <c r="AD379" i="5"/>
  <c r="BF379" i="5"/>
  <c r="AE30" i="5"/>
  <c r="BF30" i="5"/>
  <c r="AD30" i="5"/>
  <c r="AD489" i="5"/>
  <c r="BF489" i="5"/>
  <c r="AE489" i="5"/>
  <c r="BF113" i="5"/>
  <c r="AE113" i="5"/>
  <c r="AD113" i="5"/>
  <c r="AE380" i="5"/>
  <c r="BF380" i="5"/>
  <c r="AD380" i="5"/>
  <c r="AE84" i="5"/>
  <c r="BF84" i="5"/>
  <c r="AD84" i="5"/>
  <c r="AD108" i="5"/>
  <c r="AE108" i="5"/>
  <c r="BF108" i="5"/>
  <c r="AE463" i="5"/>
  <c r="BF463" i="5"/>
  <c r="AD463" i="5"/>
  <c r="AE80" i="5"/>
  <c r="BF80" i="5"/>
  <c r="AD80" i="5"/>
  <c r="BF550" i="5"/>
  <c r="AD550" i="5"/>
  <c r="AE550" i="5"/>
  <c r="AE226" i="5"/>
  <c r="BF226" i="5"/>
  <c r="AD226" i="5"/>
  <c r="BF338" i="5"/>
  <c r="AE338" i="5"/>
  <c r="AD338" i="5"/>
  <c r="AD390" i="5"/>
  <c r="AE390" i="5"/>
  <c r="BF390" i="5"/>
  <c r="AD375" i="5"/>
  <c r="AE375" i="5"/>
  <c r="BF375" i="5"/>
  <c r="AE131" i="5"/>
  <c r="AD131" i="5"/>
  <c r="BF131" i="5"/>
  <c r="AE257" i="5"/>
  <c r="BF257" i="5"/>
  <c r="AD257" i="5"/>
  <c r="BF24" i="5"/>
  <c r="AE24" i="5"/>
  <c r="AD24" i="5"/>
  <c r="AE224" i="5"/>
  <c r="BF224" i="5"/>
  <c r="AD224" i="5"/>
  <c r="AE313" i="5"/>
  <c r="AD313" i="5"/>
  <c r="BF313" i="5"/>
  <c r="AD363" i="5"/>
  <c r="AE363" i="5"/>
  <c r="BF363" i="5"/>
  <c r="AD382" i="5"/>
  <c r="AE382" i="5"/>
  <c r="BF382" i="5"/>
  <c r="AE9" i="5"/>
  <c r="AD9" i="5"/>
  <c r="BF9" i="5"/>
  <c r="BJ68" i="5"/>
  <c r="BK68" i="5"/>
  <c r="AO104" i="4"/>
  <c r="AU104" i="4" s="1"/>
  <c r="AW104" i="4" s="1"/>
  <c r="AE281" i="5"/>
  <c r="BF281" i="5"/>
  <c r="AD281" i="5"/>
  <c r="AD49" i="5"/>
  <c r="AE49" i="5"/>
  <c r="BF49" i="5"/>
  <c r="BF225" i="5"/>
  <c r="AD225" i="5"/>
  <c r="AE225" i="5"/>
  <c r="BF213" i="5"/>
  <c r="AE213" i="5"/>
  <c r="AD213" i="5"/>
  <c r="BF90" i="5"/>
  <c r="AD90" i="5"/>
  <c r="AE90" i="5"/>
  <c r="AE475" i="5"/>
  <c r="AD475" i="5"/>
  <c r="BF475" i="5"/>
  <c r="AD443" i="5"/>
  <c r="BF443" i="5"/>
  <c r="AE443" i="5"/>
  <c r="AD98" i="5"/>
  <c r="BF98" i="5"/>
  <c r="AE98" i="5"/>
  <c r="AE31" i="5"/>
  <c r="AD31" i="5"/>
  <c r="BF31" i="5"/>
  <c r="BF440" i="5"/>
  <c r="AE440" i="5"/>
  <c r="AD440" i="5"/>
  <c r="AE401" i="5"/>
  <c r="BF401" i="5"/>
  <c r="AD401" i="5"/>
  <c r="BF403" i="5"/>
  <c r="AD403" i="5"/>
  <c r="AE403" i="5"/>
  <c r="BF465" i="5"/>
  <c r="AE465" i="5"/>
  <c r="AD465" i="5"/>
  <c r="AD492" i="5"/>
  <c r="AE492" i="5"/>
  <c r="BF492" i="5"/>
  <c r="AD61" i="5"/>
  <c r="AE61" i="5"/>
  <c r="BF61" i="5"/>
  <c r="AD411" i="5"/>
  <c r="AE411" i="5"/>
  <c r="BF411" i="5"/>
  <c r="BF555" i="5"/>
  <c r="AE555" i="5"/>
  <c r="AD555" i="5"/>
  <c r="AD240" i="5"/>
  <c r="AE240" i="5"/>
  <c r="BF240" i="5"/>
  <c r="AD204" i="5"/>
  <c r="AE204" i="5"/>
  <c r="BF204" i="5"/>
  <c r="AE222" i="5"/>
  <c r="AD222" i="5"/>
  <c r="BF222" i="5"/>
  <c r="AE506" i="5"/>
  <c r="AD506" i="5"/>
  <c r="BF506" i="5"/>
  <c r="BF434" i="5"/>
  <c r="AD434" i="5"/>
  <c r="AE434" i="5"/>
  <c r="BF246" i="5"/>
  <c r="AE246" i="5"/>
  <c r="AD246" i="5"/>
  <c r="AE533" i="5"/>
  <c r="BF533" i="5"/>
  <c r="AD533" i="5"/>
  <c r="BF511" i="5"/>
  <c r="AE511" i="5"/>
  <c r="AD511" i="5"/>
  <c r="BF86" i="5"/>
  <c r="AE86" i="5"/>
  <c r="AD86" i="5"/>
  <c r="AD114" i="5"/>
  <c r="AE114" i="5"/>
  <c r="BF114" i="5"/>
  <c r="BF161" i="5"/>
  <c r="AE161" i="5"/>
  <c r="AD161" i="5"/>
  <c r="BF227" i="5"/>
  <c r="AD227" i="5"/>
  <c r="AE227" i="5"/>
  <c r="AD212" i="5"/>
  <c r="BF212" i="5"/>
  <c r="AE212" i="5"/>
  <c r="AD127" i="5"/>
  <c r="BF127" i="5"/>
  <c r="AE127" i="5"/>
  <c r="AE233" i="5"/>
  <c r="AD233" i="5"/>
  <c r="BF233" i="5"/>
  <c r="AO29" i="4"/>
  <c r="AU29" i="4" s="1"/>
  <c r="AW29" i="4" s="1"/>
  <c r="AO51" i="4"/>
  <c r="AU51" i="4" s="1"/>
  <c r="AW51" i="4" s="1"/>
  <c r="AD76" i="5"/>
  <c r="AE76" i="5"/>
  <c r="BF76" i="5"/>
  <c r="BF166" i="5"/>
  <c r="AE166" i="5"/>
  <c r="AD166" i="5"/>
  <c r="BF507" i="5"/>
  <c r="AE507" i="5"/>
  <c r="AD507" i="5"/>
  <c r="BF51" i="5"/>
  <c r="AE51" i="5"/>
  <c r="AD51" i="5"/>
  <c r="AE83" i="5"/>
  <c r="AD83" i="5"/>
  <c r="BF83" i="5"/>
  <c r="AD236" i="5"/>
  <c r="BF236" i="5"/>
  <c r="AE236" i="5"/>
  <c r="AE93" i="5"/>
  <c r="AD93" i="5"/>
  <c r="BF93" i="5"/>
  <c r="AD474" i="5"/>
  <c r="BF474" i="5"/>
  <c r="AE474" i="5"/>
  <c r="BF191" i="5"/>
  <c r="AD191" i="5"/>
  <c r="AE191" i="5"/>
  <c r="AD203" i="5"/>
  <c r="BF203" i="5"/>
  <c r="AE203" i="5"/>
  <c r="AD486" i="5"/>
  <c r="AE486" i="5"/>
  <c r="BF486" i="5"/>
  <c r="BF95" i="5"/>
  <c r="AD95" i="5"/>
  <c r="AE95" i="5"/>
  <c r="AD333" i="5"/>
  <c r="BF333" i="5"/>
  <c r="AE333" i="5"/>
  <c r="AD545" i="5"/>
  <c r="BF545" i="5"/>
  <c r="AE545" i="5"/>
  <c r="BF378" i="5"/>
  <c r="AE378" i="5"/>
  <c r="AD378" i="5"/>
  <c r="AE67" i="5"/>
  <c r="AD67" i="5"/>
  <c r="BF67" i="5"/>
  <c r="BF275" i="5"/>
  <c r="AE275" i="5"/>
  <c r="AD275" i="5"/>
  <c r="BF151" i="5"/>
  <c r="AE151" i="5"/>
  <c r="AD151" i="5"/>
  <c r="BF483" i="5"/>
  <c r="AE483" i="5"/>
  <c r="AD483" i="5"/>
  <c r="AD25" i="5"/>
  <c r="BF25" i="5"/>
  <c r="AE25" i="5"/>
  <c r="AD433" i="5"/>
  <c r="BF433" i="5"/>
  <c r="AE433" i="5"/>
  <c r="AD199" i="5"/>
  <c r="AE199" i="5"/>
  <c r="BF199" i="5"/>
  <c r="BF472" i="5"/>
  <c r="AE472" i="5"/>
  <c r="AD472" i="5"/>
  <c r="AE211" i="5"/>
  <c r="AD211" i="5"/>
  <c r="BF211" i="5"/>
  <c r="AE471" i="5"/>
  <c r="BF471" i="5"/>
  <c r="AD471" i="5"/>
  <c r="BF241" i="5"/>
  <c r="AE241" i="5"/>
  <c r="AD241" i="5"/>
  <c r="AE469" i="5"/>
  <c r="AD469" i="5"/>
  <c r="BF469" i="5"/>
  <c r="BF174" i="5"/>
  <c r="AE174" i="5"/>
  <c r="AD174" i="5"/>
  <c r="AE484" i="5"/>
  <c r="BF484" i="5"/>
  <c r="AD484" i="5"/>
  <c r="AE546" i="5"/>
  <c r="AD546" i="5"/>
  <c r="BF546" i="5"/>
  <c r="AD244" i="5"/>
  <c r="BF244" i="5"/>
  <c r="AE244" i="5"/>
  <c r="BF75" i="5"/>
  <c r="AE75" i="5"/>
  <c r="AD75" i="5"/>
  <c r="AO142" i="4"/>
  <c r="AU142" i="4" s="1"/>
  <c r="AW142" i="4" s="1"/>
  <c r="AE137" i="5"/>
  <c r="AD137" i="5"/>
  <c r="BF137" i="5"/>
  <c r="AE328" i="5"/>
  <c r="AD328" i="5"/>
  <c r="BF328" i="5"/>
  <c r="BF110" i="5"/>
  <c r="AD110" i="5"/>
  <c r="AE110" i="5"/>
  <c r="BF500" i="5"/>
  <c r="AE500" i="5"/>
  <c r="AD500" i="5"/>
  <c r="AD164" i="5"/>
  <c r="AE164" i="5"/>
  <c r="BF164" i="5"/>
  <c r="BF554" i="5"/>
  <c r="AD554" i="5"/>
  <c r="AE554" i="5"/>
  <c r="AE329" i="5"/>
  <c r="BF329" i="5"/>
  <c r="AD329" i="5"/>
  <c r="AE195" i="5"/>
  <c r="BF195" i="5"/>
  <c r="AD195" i="5"/>
  <c r="AE349" i="5"/>
  <c r="AD349" i="5"/>
  <c r="BF349" i="5"/>
  <c r="AE339" i="5"/>
  <c r="AD339" i="5"/>
  <c r="BF339" i="5"/>
  <c r="BF417" i="5"/>
  <c r="AD417" i="5"/>
  <c r="AE417" i="5"/>
  <c r="BF262" i="5"/>
  <c r="AE262" i="5"/>
  <c r="AD262" i="5"/>
  <c r="AE412" i="5"/>
  <c r="AD412" i="5"/>
  <c r="BF412" i="5"/>
  <c r="BF495" i="5"/>
  <c r="AD495" i="5"/>
  <c r="AE495" i="5"/>
  <c r="AD394" i="5"/>
  <c r="AE394" i="5"/>
  <c r="BF394" i="5"/>
  <c r="AD229" i="5"/>
  <c r="AE229" i="5"/>
  <c r="BF229" i="5"/>
  <c r="AE99" i="5"/>
  <c r="BF99" i="5"/>
  <c r="AD99" i="5"/>
  <c r="AD159" i="5"/>
  <c r="AE159" i="5"/>
  <c r="BF159" i="5"/>
  <c r="AD523" i="5"/>
  <c r="BF523" i="5"/>
  <c r="AE523" i="5"/>
  <c r="AE532" i="5"/>
  <c r="BF532" i="5"/>
  <c r="AD532" i="5"/>
  <c r="AE237" i="5"/>
  <c r="BF237" i="5"/>
  <c r="AD237" i="5"/>
  <c r="BF274" i="5"/>
  <c r="AE274" i="5"/>
  <c r="AD274" i="5"/>
  <c r="AE359" i="5"/>
  <c r="AD359" i="5"/>
  <c r="BF359" i="5"/>
  <c r="AD136" i="5"/>
  <c r="BF136" i="5"/>
  <c r="AE136" i="5"/>
  <c r="BF548" i="5"/>
  <c r="AE548" i="5"/>
  <c r="AD548" i="5"/>
  <c r="AD189" i="5"/>
  <c r="BF189" i="5"/>
  <c r="AE189" i="5"/>
  <c r="AD146" i="5"/>
  <c r="BF146" i="5"/>
  <c r="AE146" i="5"/>
  <c r="AD169" i="5"/>
  <c r="AE169" i="5"/>
  <c r="BF169" i="5"/>
  <c r="AD520" i="5"/>
  <c r="AE520" i="5"/>
  <c r="BF520" i="5"/>
  <c r="AE310" i="5"/>
  <c r="BF310" i="5"/>
  <c r="AD310" i="5"/>
  <c r="AD59" i="5"/>
  <c r="BF59" i="5"/>
  <c r="AE59" i="5"/>
  <c r="AD39" i="5"/>
  <c r="BF39" i="5"/>
  <c r="AE39" i="5"/>
  <c r="AE496" i="5"/>
  <c r="AD496" i="5"/>
  <c r="BF496" i="5"/>
  <c r="AD517" i="5"/>
  <c r="AE517" i="5"/>
  <c r="BF517" i="5"/>
  <c r="BK372" i="5"/>
  <c r="BJ372" i="5"/>
  <c r="AO140" i="4"/>
  <c r="AU140" i="4" s="1"/>
  <c r="AW140" i="4" s="1"/>
  <c r="AO105" i="4"/>
  <c r="AO39" i="4"/>
  <c r="AU39" i="4" s="1"/>
  <c r="AW39" i="4" s="1"/>
  <c r="BK452" i="5"/>
  <c r="BJ452" i="5"/>
  <c r="AO75" i="4"/>
  <c r="AU75" i="4" s="1"/>
  <c r="AW75" i="4" s="1"/>
  <c r="BF525" i="5"/>
  <c r="AE525" i="5"/>
  <c r="AD525" i="5"/>
  <c r="BH418" i="5"/>
  <c r="BM418" i="5" s="1"/>
  <c r="BG418" i="5"/>
  <c r="BL418" i="5" s="1"/>
  <c r="AO153" i="4"/>
  <c r="AU153" i="4" s="1"/>
  <c r="AW153" i="4" s="1"/>
  <c r="AO126" i="4"/>
  <c r="AU126" i="4" s="1"/>
  <c r="AW126" i="4" s="1"/>
  <c r="AO156" i="4"/>
  <c r="AO154" i="4"/>
  <c r="AU154" i="4" s="1"/>
  <c r="AW154" i="4" s="1"/>
  <c r="AD170" i="5"/>
  <c r="BF170" i="5"/>
  <c r="AE170" i="5"/>
  <c r="AO110" i="4"/>
  <c r="AO131" i="4"/>
  <c r="AU131" i="4" s="1"/>
  <c r="AW131" i="4" s="1"/>
  <c r="AO83" i="4"/>
  <c r="AU83" i="4" s="1"/>
  <c r="AW83" i="4" s="1"/>
  <c r="BK500" i="5"/>
  <c r="BJ500" i="5"/>
  <c r="AO33" i="4"/>
  <c r="AU33" i="4" s="1"/>
  <c r="AW33" i="4" s="1"/>
  <c r="AX11" i="5"/>
  <c r="AY11" i="5"/>
  <c r="AU11" i="5"/>
  <c r="BC11" i="5"/>
  <c r="AV11" i="5"/>
  <c r="AO43" i="4"/>
  <c r="AU43" i="4" s="1"/>
  <c r="AW43" i="4" s="1"/>
  <c r="AO119" i="4"/>
  <c r="AU119" i="4" s="1"/>
  <c r="AW119" i="4" s="1"/>
  <c r="AO85" i="4"/>
  <c r="AU85" i="4" s="1"/>
  <c r="AW85" i="4" s="1"/>
  <c r="BJ504" i="5"/>
  <c r="BK504" i="5"/>
  <c r="AO93" i="4"/>
  <c r="AO28" i="4"/>
  <c r="AU28" i="4" s="1"/>
  <c r="AW28" i="4" s="1"/>
  <c r="AU105" i="4" l="1"/>
  <c r="AW105" i="4" s="1"/>
  <c r="AU155" i="4"/>
  <c r="AW155" i="4" s="1"/>
  <c r="AU62" i="4"/>
  <c r="AW62" i="4" s="1"/>
  <c r="AU141" i="4"/>
  <c r="AW141" i="4" s="1"/>
  <c r="AU13" i="4"/>
  <c r="AW13" i="4" s="1"/>
  <c r="AU90" i="4"/>
  <c r="AW90" i="4" s="1"/>
  <c r="AO124" i="4"/>
  <c r="AU124" i="4" s="1"/>
  <c r="AW124" i="4" s="1"/>
  <c r="AU10" i="4"/>
  <c r="AW10" i="4" s="1"/>
  <c r="AU129" i="4"/>
  <c r="AW129" i="4" s="1"/>
  <c r="AU106" i="4"/>
  <c r="AW106" i="4" s="1"/>
  <c r="AU63" i="4"/>
  <c r="AW63" i="4" s="1"/>
  <c r="AU110" i="4"/>
  <c r="AW110" i="4" s="1"/>
  <c r="AU61" i="4"/>
  <c r="AW61" i="4" s="1"/>
  <c r="AU133" i="4"/>
  <c r="AW133" i="4" s="1"/>
  <c r="AO94" i="4"/>
  <c r="AU94" i="4" s="1"/>
  <c r="AW94" i="4" s="1"/>
  <c r="AO101" i="4"/>
  <c r="AU101" i="4" s="1"/>
  <c r="AW101" i="4" s="1"/>
  <c r="AU122" i="4"/>
  <c r="AW122" i="4" s="1"/>
  <c r="AU74" i="4"/>
  <c r="AW74" i="4" s="1"/>
  <c r="AU152" i="4"/>
  <c r="AW152" i="4" s="1"/>
  <c r="AU108" i="4"/>
  <c r="AW108" i="4" s="1"/>
  <c r="AU109" i="4"/>
  <c r="AW109" i="4" s="1"/>
  <c r="AU97" i="4"/>
  <c r="AW97" i="4" s="1"/>
  <c r="AU118" i="4"/>
  <c r="AW118" i="4" s="1"/>
  <c r="AU69" i="4"/>
  <c r="AW69" i="4" s="1"/>
  <c r="AU93" i="4"/>
  <c r="AW93" i="4" s="1"/>
  <c r="AU144" i="4"/>
  <c r="AW144" i="4" s="1"/>
  <c r="AU112" i="4"/>
  <c r="AW112" i="4" s="1"/>
  <c r="AU25" i="4"/>
  <c r="AW25" i="4" s="1"/>
  <c r="AU24" i="4"/>
  <c r="AW24" i="4" s="1"/>
  <c r="AU12" i="4"/>
  <c r="AW12" i="4" s="1"/>
  <c r="AD11" i="5"/>
  <c r="AU135" i="4"/>
  <c r="AW135" i="4" s="1"/>
  <c r="AU18" i="4"/>
  <c r="AW18" i="4" s="1"/>
  <c r="AU125" i="4"/>
  <c r="AW125" i="4" s="1"/>
  <c r="AU95" i="4"/>
  <c r="AW95" i="4" s="1"/>
  <c r="AU22" i="4"/>
  <c r="AW22" i="4" s="1"/>
  <c r="AU92" i="4"/>
  <c r="AW92" i="4" s="1"/>
  <c r="AU136" i="4"/>
  <c r="AW136" i="4" s="1"/>
  <c r="AU16" i="4"/>
  <c r="AW16" i="4" s="1"/>
  <c r="AU156" i="4"/>
  <c r="AW156" i="4" s="1"/>
  <c r="AU89" i="4"/>
  <c r="AW89" i="4" s="1"/>
  <c r="AU113" i="4"/>
  <c r="AW113" i="4" s="1"/>
  <c r="AO59" i="4"/>
  <c r="AU59" i="4" s="1"/>
  <c r="AW59" i="4" s="1"/>
  <c r="AU20" i="4"/>
  <c r="AW20" i="4" s="1"/>
  <c r="AO137" i="4"/>
  <c r="AU137" i="4" s="1"/>
  <c r="AW137" i="4" s="1"/>
  <c r="AU60" i="4"/>
  <c r="AW60" i="4" s="1"/>
  <c r="AU8" i="4"/>
  <c r="AW8" i="4" s="1"/>
  <c r="AU57" i="4"/>
  <c r="AW57" i="4" s="1"/>
  <c r="AU102" i="4"/>
  <c r="AW102" i="4" s="1"/>
  <c r="AU81" i="4"/>
  <c r="AW81" i="4" s="1"/>
  <c r="AU79" i="4"/>
  <c r="AW79" i="4" s="1"/>
  <c r="AU82" i="4"/>
  <c r="AW82" i="4" s="1"/>
  <c r="AO66" i="4"/>
  <c r="AU66" i="4" s="1"/>
  <c r="AW66" i="4" s="1"/>
  <c r="AU98" i="4"/>
  <c r="AW98" i="4" s="1"/>
  <c r="AU128" i="4"/>
  <c r="AW128" i="4" s="1"/>
  <c r="AU67" i="4"/>
  <c r="AW67" i="4" s="1"/>
  <c r="AU143" i="4"/>
  <c r="AW143" i="4" s="1"/>
  <c r="AU77" i="4"/>
  <c r="AW77" i="4" s="1"/>
  <c r="AU116" i="4"/>
  <c r="AW116" i="4" s="1"/>
  <c r="AU111" i="4"/>
  <c r="AW111" i="4" s="1"/>
  <c r="AU23" i="4"/>
  <c r="AW23" i="4" s="1"/>
  <c r="AU7" i="4"/>
  <c r="AW7" i="4" s="1"/>
  <c r="AU121" i="4"/>
  <c r="AW121" i="4" s="1"/>
  <c r="AU15" i="4"/>
  <c r="AW15" i="4" s="1"/>
  <c r="AU9" i="4"/>
  <c r="AW9" i="4" s="1"/>
  <c r="AU96" i="4"/>
  <c r="AW96" i="4" s="1"/>
  <c r="AU65" i="4"/>
  <c r="AW65" i="4" s="1"/>
  <c r="BH170" i="5"/>
  <c r="BM170" i="5" s="1"/>
  <c r="BG170" i="5"/>
  <c r="BL170" i="5" s="1"/>
  <c r="BH237" i="5"/>
  <c r="BM237" i="5" s="1"/>
  <c r="BG237" i="5"/>
  <c r="BL237" i="5" s="1"/>
  <c r="BH262" i="5"/>
  <c r="BM262" i="5" s="1"/>
  <c r="BG262" i="5"/>
  <c r="BL262" i="5" s="1"/>
  <c r="BG500" i="5"/>
  <c r="BL500" i="5" s="1"/>
  <c r="BH500" i="5"/>
  <c r="BM500" i="5" s="1"/>
  <c r="BG244" i="5"/>
  <c r="BL244" i="5" s="1"/>
  <c r="BH244" i="5"/>
  <c r="BM244" i="5" s="1"/>
  <c r="BG241" i="5"/>
  <c r="BL241" i="5" s="1"/>
  <c r="BH241" i="5"/>
  <c r="BM241" i="5" s="1"/>
  <c r="BG211" i="5"/>
  <c r="BL211" i="5" s="1"/>
  <c r="BH211" i="5"/>
  <c r="BM211" i="5" s="1"/>
  <c r="BG151" i="5"/>
  <c r="BL151" i="5" s="1"/>
  <c r="BH151" i="5"/>
  <c r="BM151" i="5" s="1"/>
  <c r="BG67" i="5"/>
  <c r="BL67" i="5" s="1"/>
  <c r="BH67" i="5"/>
  <c r="BM67" i="5" s="1"/>
  <c r="BG166" i="5"/>
  <c r="BL166" i="5" s="1"/>
  <c r="BH166" i="5"/>
  <c r="BM166" i="5" s="1"/>
  <c r="BG233" i="5"/>
  <c r="BL233" i="5" s="1"/>
  <c r="BH233" i="5"/>
  <c r="BM233" i="5" s="1"/>
  <c r="BG127" i="5"/>
  <c r="BL127" i="5" s="1"/>
  <c r="BH127" i="5"/>
  <c r="BM127" i="5" s="1"/>
  <c r="BH86" i="5"/>
  <c r="BM86" i="5" s="1"/>
  <c r="BG86" i="5"/>
  <c r="BL86" i="5" s="1"/>
  <c r="BH434" i="5"/>
  <c r="BM434" i="5" s="1"/>
  <c r="BG434" i="5"/>
  <c r="BL434" i="5" s="1"/>
  <c r="BG222" i="5"/>
  <c r="BL222" i="5" s="1"/>
  <c r="BH222" i="5"/>
  <c r="BM222" i="5" s="1"/>
  <c r="BG411" i="5"/>
  <c r="BL411" i="5" s="1"/>
  <c r="BH411" i="5"/>
  <c r="BM411" i="5" s="1"/>
  <c r="BG401" i="5"/>
  <c r="BL401" i="5" s="1"/>
  <c r="BH401" i="5"/>
  <c r="BM401" i="5" s="1"/>
  <c r="BH440" i="5"/>
  <c r="BM440" i="5" s="1"/>
  <c r="BG440" i="5"/>
  <c r="BL440" i="5" s="1"/>
  <c r="BG443" i="5"/>
  <c r="BL443" i="5" s="1"/>
  <c r="BH443" i="5"/>
  <c r="BM443" i="5" s="1"/>
  <c r="BH313" i="5"/>
  <c r="BM313" i="5" s="1"/>
  <c r="BG313" i="5"/>
  <c r="BL313" i="5" s="1"/>
  <c r="BG224" i="5"/>
  <c r="BL224" i="5" s="1"/>
  <c r="BH224" i="5"/>
  <c r="BM224" i="5" s="1"/>
  <c r="BG24" i="5"/>
  <c r="BL24" i="5" s="1"/>
  <c r="BH24" i="5"/>
  <c r="BM24" i="5" s="1"/>
  <c r="BG131" i="5"/>
  <c r="BL131" i="5" s="1"/>
  <c r="BH131" i="5"/>
  <c r="BM131" i="5" s="1"/>
  <c r="BH108" i="5"/>
  <c r="BM108" i="5" s="1"/>
  <c r="BG108" i="5"/>
  <c r="BL108" i="5" s="1"/>
  <c r="BH84" i="5"/>
  <c r="BM84" i="5" s="1"/>
  <c r="BG84" i="5"/>
  <c r="BL84" i="5" s="1"/>
  <c r="BG30" i="5"/>
  <c r="BL30" i="5" s="1"/>
  <c r="BH30" i="5"/>
  <c r="BM30" i="5" s="1"/>
  <c r="BH451" i="5"/>
  <c r="BM451" i="5" s="1"/>
  <c r="BG451" i="5"/>
  <c r="BL451" i="5" s="1"/>
  <c r="BH123" i="5"/>
  <c r="BM123" i="5" s="1"/>
  <c r="BG123" i="5"/>
  <c r="BL123" i="5" s="1"/>
  <c r="BH350" i="5"/>
  <c r="BM350" i="5" s="1"/>
  <c r="BG350" i="5"/>
  <c r="BL350" i="5" s="1"/>
  <c r="BH444" i="5"/>
  <c r="BM444" i="5" s="1"/>
  <c r="BG444" i="5"/>
  <c r="BL444" i="5" s="1"/>
  <c r="BG306" i="5"/>
  <c r="BL306" i="5" s="1"/>
  <c r="BH306" i="5"/>
  <c r="BM306" i="5" s="1"/>
  <c r="BH530" i="5"/>
  <c r="BM530" i="5" s="1"/>
  <c r="BG530" i="5"/>
  <c r="BL530" i="5" s="1"/>
  <c r="BH155" i="5"/>
  <c r="BM155" i="5" s="1"/>
  <c r="BG155" i="5"/>
  <c r="BL155" i="5" s="1"/>
  <c r="BH323" i="5"/>
  <c r="BM323" i="5" s="1"/>
  <c r="BG323" i="5"/>
  <c r="BL323" i="5" s="1"/>
  <c r="BH346" i="5"/>
  <c r="BM346" i="5" s="1"/>
  <c r="BG346" i="5"/>
  <c r="BL346" i="5" s="1"/>
  <c r="BG301" i="5"/>
  <c r="BL301" i="5" s="1"/>
  <c r="BH301" i="5"/>
  <c r="BM301" i="5" s="1"/>
  <c r="BG458" i="5"/>
  <c r="BL458" i="5" s="1"/>
  <c r="BH458" i="5"/>
  <c r="BM458" i="5" s="1"/>
  <c r="BH181" i="5"/>
  <c r="BM181" i="5" s="1"/>
  <c r="BG181" i="5"/>
  <c r="BL181" i="5" s="1"/>
  <c r="BG198" i="5"/>
  <c r="BL198" i="5" s="1"/>
  <c r="BH198" i="5"/>
  <c r="BM198" i="5" s="1"/>
  <c r="BH89" i="5"/>
  <c r="BM89" i="5" s="1"/>
  <c r="BG89" i="5"/>
  <c r="BL89" i="5" s="1"/>
  <c r="BG177" i="5"/>
  <c r="BL177" i="5" s="1"/>
  <c r="BH177" i="5"/>
  <c r="BM177" i="5" s="1"/>
  <c r="BG427" i="5"/>
  <c r="BL427" i="5" s="1"/>
  <c r="BH427" i="5"/>
  <c r="BM427" i="5" s="1"/>
  <c r="BG539" i="5"/>
  <c r="BL539" i="5" s="1"/>
  <c r="BH539" i="5"/>
  <c r="BM539" i="5" s="1"/>
  <c r="BG450" i="5"/>
  <c r="BL450" i="5" s="1"/>
  <c r="BH450" i="5"/>
  <c r="BM450" i="5" s="1"/>
  <c r="BH120" i="5"/>
  <c r="BM120" i="5" s="1"/>
  <c r="BG120" i="5"/>
  <c r="BL120" i="5" s="1"/>
  <c r="BH488" i="5"/>
  <c r="BM488" i="5" s="1"/>
  <c r="BG488" i="5"/>
  <c r="BL488" i="5" s="1"/>
  <c r="BG234" i="5"/>
  <c r="BL234" i="5" s="1"/>
  <c r="BH234" i="5"/>
  <c r="BM234" i="5" s="1"/>
  <c r="BH558" i="5"/>
  <c r="BM558" i="5" s="1"/>
  <c r="BG558" i="5"/>
  <c r="BL558" i="5" s="1"/>
  <c r="BH238" i="5"/>
  <c r="BM238" i="5" s="1"/>
  <c r="BG238" i="5"/>
  <c r="BL238" i="5" s="1"/>
  <c r="BH461" i="5"/>
  <c r="BM461" i="5" s="1"/>
  <c r="BG461" i="5"/>
  <c r="BL461" i="5" s="1"/>
  <c r="BH190" i="5"/>
  <c r="BM190" i="5" s="1"/>
  <c r="BG190" i="5"/>
  <c r="BL190" i="5" s="1"/>
  <c r="BH118" i="5"/>
  <c r="BM118" i="5" s="1"/>
  <c r="BG118" i="5"/>
  <c r="BL118" i="5" s="1"/>
  <c r="BH397" i="5"/>
  <c r="BM397" i="5" s="1"/>
  <c r="BG397" i="5"/>
  <c r="BL397" i="5" s="1"/>
  <c r="BH22" i="5"/>
  <c r="BM22" i="5" s="1"/>
  <c r="BG22" i="5"/>
  <c r="BL22" i="5" s="1"/>
  <c r="BG269" i="5"/>
  <c r="BL269" i="5" s="1"/>
  <c r="BH269" i="5"/>
  <c r="BM269" i="5" s="1"/>
  <c r="BH320" i="5"/>
  <c r="BM320" i="5" s="1"/>
  <c r="BG320" i="5"/>
  <c r="BL320" i="5" s="1"/>
  <c r="BG132" i="5"/>
  <c r="BL132" i="5" s="1"/>
  <c r="BH132" i="5"/>
  <c r="BM132" i="5" s="1"/>
  <c r="BG214" i="5"/>
  <c r="BL214" i="5" s="1"/>
  <c r="BH214" i="5"/>
  <c r="BM214" i="5" s="1"/>
  <c r="BG125" i="5"/>
  <c r="BL125" i="5" s="1"/>
  <c r="BH125" i="5"/>
  <c r="BM125" i="5" s="1"/>
  <c r="BG377" i="5"/>
  <c r="BL377" i="5" s="1"/>
  <c r="BH377" i="5"/>
  <c r="BM377" i="5" s="1"/>
  <c r="BG419" i="5"/>
  <c r="BL419" i="5" s="1"/>
  <c r="BH419" i="5"/>
  <c r="BM419" i="5" s="1"/>
  <c r="BH540" i="5"/>
  <c r="BM540" i="5" s="1"/>
  <c r="BG540" i="5"/>
  <c r="BL540" i="5" s="1"/>
  <c r="BG357" i="5"/>
  <c r="BL357" i="5" s="1"/>
  <c r="BH357" i="5"/>
  <c r="BM357" i="5" s="1"/>
  <c r="BH294" i="5"/>
  <c r="BM294" i="5" s="1"/>
  <c r="BG294" i="5"/>
  <c r="BL294" i="5" s="1"/>
  <c r="BG337" i="5"/>
  <c r="BL337" i="5" s="1"/>
  <c r="BH337" i="5"/>
  <c r="BM337" i="5" s="1"/>
  <c r="BH441" i="5"/>
  <c r="BM441" i="5" s="1"/>
  <c r="BG441" i="5"/>
  <c r="BL441" i="5" s="1"/>
  <c r="BH537" i="5"/>
  <c r="BM537" i="5" s="1"/>
  <c r="BG537" i="5"/>
  <c r="BL537" i="5" s="1"/>
  <c r="BG369" i="5"/>
  <c r="BL369" i="5" s="1"/>
  <c r="BH369" i="5"/>
  <c r="BM369" i="5" s="1"/>
  <c r="BH560" i="5"/>
  <c r="BM560" i="5" s="1"/>
  <c r="BG560" i="5"/>
  <c r="BL560" i="5" s="1"/>
  <c r="BG518" i="5"/>
  <c r="BL518" i="5" s="1"/>
  <c r="BH518" i="5"/>
  <c r="BM518" i="5" s="1"/>
  <c r="BG249" i="5"/>
  <c r="BL249" i="5" s="1"/>
  <c r="BH249" i="5"/>
  <c r="BM249" i="5" s="1"/>
  <c r="BH494" i="5"/>
  <c r="BM494" i="5" s="1"/>
  <c r="BG494" i="5"/>
  <c r="BL494" i="5" s="1"/>
  <c r="BH239" i="5"/>
  <c r="BM239" i="5" s="1"/>
  <c r="BG239" i="5"/>
  <c r="BL239" i="5" s="1"/>
  <c r="BH398" i="5"/>
  <c r="BM398" i="5" s="1"/>
  <c r="BG398" i="5"/>
  <c r="BL398" i="5" s="1"/>
  <c r="BG340" i="5"/>
  <c r="BL340" i="5" s="1"/>
  <c r="BH340" i="5"/>
  <c r="BM340" i="5" s="1"/>
  <c r="BG365" i="5"/>
  <c r="BL365" i="5" s="1"/>
  <c r="BH365" i="5"/>
  <c r="BM365" i="5" s="1"/>
  <c r="BH263" i="5"/>
  <c r="BM263" i="5" s="1"/>
  <c r="BG263" i="5"/>
  <c r="BL263" i="5" s="1"/>
  <c r="BG285" i="5"/>
  <c r="BL285" i="5" s="1"/>
  <c r="BH285" i="5"/>
  <c r="BM285" i="5" s="1"/>
  <c r="BH476" i="5"/>
  <c r="BM476" i="5" s="1"/>
  <c r="BG476" i="5"/>
  <c r="BL476" i="5" s="1"/>
  <c r="BG307" i="5"/>
  <c r="BL307" i="5" s="1"/>
  <c r="BH307" i="5"/>
  <c r="BM307" i="5" s="1"/>
  <c r="BG435" i="5"/>
  <c r="BL435" i="5" s="1"/>
  <c r="BH435" i="5"/>
  <c r="BM435" i="5" s="1"/>
  <c r="BG171" i="5"/>
  <c r="BL171" i="5" s="1"/>
  <c r="BH171" i="5"/>
  <c r="BM171" i="5" s="1"/>
  <c r="BH557" i="5"/>
  <c r="BM557" i="5" s="1"/>
  <c r="BG557" i="5"/>
  <c r="BL557" i="5" s="1"/>
  <c r="BG420" i="5"/>
  <c r="BL420" i="5" s="1"/>
  <c r="BH420" i="5"/>
  <c r="BM420" i="5" s="1"/>
  <c r="BG425" i="5"/>
  <c r="BL425" i="5" s="1"/>
  <c r="BH425" i="5"/>
  <c r="BM425" i="5" s="1"/>
  <c r="BG220" i="5"/>
  <c r="BL220" i="5" s="1"/>
  <c r="BH220" i="5"/>
  <c r="BM220" i="5" s="1"/>
  <c r="BG41" i="5"/>
  <c r="BL41" i="5" s="1"/>
  <c r="BH41" i="5"/>
  <c r="BM41" i="5" s="1"/>
  <c r="BG556" i="5"/>
  <c r="BL556" i="5" s="1"/>
  <c r="BH556" i="5"/>
  <c r="BM556" i="5" s="1"/>
  <c r="BG284" i="5"/>
  <c r="BL284" i="5" s="1"/>
  <c r="BH284" i="5"/>
  <c r="BM284" i="5" s="1"/>
  <c r="BH63" i="5"/>
  <c r="BM63" i="5" s="1"/>
  <c r="BG63" i="5"/>
  <c r="BL63" i="5" s="1"/>
  <c r="BG366" i="5"/>
  <c r="BL366" i="5" s="1"/>
  <c r="BH366" i="5"/>
  <c r="BM366" i="5" s="1"/>
  <c r="BG327" i="5"/>
  <c r="BL327" i="5" s="1"/>
  <c r="BH327" i="5"/>
  <c r="BM327" i="5" s="1"/>
  <c r="BH72" i="5"/>
  <c r="BM72" i="5" s="1"/>
  <c r="BG72" i="5"/>
  <c r="BL72" i="5" s="1"/>
  <c r="BG160" i="5"/>
  <c r="BL160" i="5" s="1"/>
  <c r="BH160" i="5"/>
  <c r="BM160" i="5" s="1"/>
  <c r="BH524" i="5"/>
  <c r="BM524" i="5" s="1"/>
  <c r="BG524" i="5"/>
  <c r="BL524" i="5" s="1"/>
  <c r="BH135" i="5"/>
  <c r="BM135" i="5" s="1"/>
  <c r="BG135" i="5"/>
  <c r="BL135" i="5" s="1"/>
  <c r="BG312" i="5"/>
  <c r="BL312" i="5" s="1"/>
  <c r="BH312" i="5"/>
  <c r="BM312" i="5" s="1"/>
  <c r="BH102" i="5"/>
  <c r="BM102" i="5" s="1"/>
  <c r="BG102" i="5"/>
  <c r="BL102" i="5" s="1"/>
  <c r="BH467" i="5"/>
  <c r="BM467" i="5" s="1"/>
  <c r="BG467" i="5"/>
  <c r="BL467" i="5" s="1"/>
  <c r="BH464" i="5"/>
  <c r="BM464" i="5" s="1"/>
  <c r="BG464" i="5"/>
  <c r="BL464" i="5" s="1"/>
  <c r="BH387" i="5"/>
  <c r="BM387" i="5" s="1"/>
  <c r="BG387" i="5"/>
  <c r="BL387" i="5" s="1"/>
  <c r="BG116" i="5"/>
  <c r="BL116" i="5" s="1"/>
  <c r="BH116" i="5"/>
  <c r="BM116" i="5" s="1"/>
  <c r="BH528" i="5"/>
  <c r="BM528" i="5" s="1"/>
  <c r="BG528" i="5"/>
  <c r="BL528" i="5" s="1"/>
  <c r="BH300" i="5"/>
  <c r="BM300" i="5" s="1"/>
  <c r="BG300" i="5"/>
  <c r="BL300" i="5" s="1"/>
  <c r="BG42" i="5"/>
  <c r="BL42" i="5" s="1"/>
  <c r="BH42" i="5"/>
  <c r="BM42" i="5" s="1"/>
  <c r="BG242" i="5"/>
  <c r="BL242" i="5" s="1"/>
  <c r="BH242" i="5"/>
  <c r="BM242" i="5" s="1"/>
  <c r="BG447" i="5"/>
  <c r="BL447" i="5" s="1"/>
  <c r="BH447" i="5"/>
  <c r="BM447" i="5" s="1"/>
  <c r="BG35" i="5"/>
  <c r="BL35" i="5" s="1"/>
  <c r="BH35" i="5"/>
  <c r="BM35" i="5" s="1"/>
  <c r="BG188" i="5"/>
  <c r="BL188" i="5" s="1"/>
  <c r="BH188" i="5"/>
  <c r="BM188" i="5" s="1"/>
  <c r="BG219" i="5"/>
  <c r="BL219" i="5" s="1"/>
  <c r="BH219" i="5"/>
  <c r="BM219" i="5" s="1"/>
  <c r="BG54" i="5"/>
  <c r="BL54" i="5" s="1"/>
  <c r="BH54" i="5"/>
  <c r="BM54" i="5" s="1"/>
  <c r="BG481" i="5"/>
  <c r="BL481" i="5" s="1"/>
  <c r="BH481" i="5"/>
  <c r="BM481" i="5" s="1"/>
  <c r="BG538" i="5"/>
  <c r="BL538" i="5" s="1"/>
  <c r="BH538" i="5"/>
  <c r="BM538" i="5" s="1"/>
  <c r="BH370" i="5"/>
  <c r="BM370" i="5" s="1"/>
  <c r="BG370" i="5"/>
  <c r="BL370" i="5" s="1"/>
  <c r="BG144" i="5"/>
  <c r="BL144" i="5" s="1"/>
  <c r="BH144" i="5"/>
  <c r="BM144" i="5" s="1"/>
  <c r="BH413" i="5"/>
  <c r="BM413" i="5" s="1"/>
  <c r="BG413" i="5"/>
  <c r="BL413" i="5" s="1"/>
  <c r="BG456" i="5"/>
  <c r="BL456" i="5" s="1"/>
  <c r="BH456" i="5"/>
  <c r="BM456" i="5" s="1"/>
  <c r="BG48" i="5"/>
  <c r="BL48" i="5" s="1"/>
  <c r="BH48" i="5"/>
  <c r="BM48" i="5" s="1"/>
  <c r="BH493" i="5"/>
  <c r="BM493" i="5" s="1"/>
  <c r="BG493" i="5"/>
  <c r="BL493" i="5" s="1"/>
  <c r="BH388" i="5"/>
  <c r="BM388" i="5" s="1"/>
  <c r="BG388" i="5"/>
  <c r="BL388" i="5" s="1"/>
  <c r="BG295" i="5"/>
  <c r="BL295" i="5" s="1"/>
  <c r="BH295" i="5"/>
  <c r="BM295" i="5" s="1"/>
  <c r="BH253" i="5"/>
  <c r="BM253" i="5" s="1"/>
  <c r="BG253" i="5"/>
  <c r="BL253" i="5" s="1"/>
  <c r="BG544" i="5"/>
  <c r="BL544" i="5" s="1"/>
  <c r="BH544" i="5"/>
  <c r="BM544" i="5" s="1"/>
  <c r="BG210" i="5"/>
  <c r="BL210" i="5" s="1"/>
  <c r="BH210" i="5"/>
  <c r="BM210" i="5" s="1"/>
  <c r="BH232" i="5"/>
  <c r="BM232" i="5" s="1"/>
  <c r="BG232" i="5"/>
  <c r="BL232" i="5" s="1"/>
  <c r="BG318" i="5"/>
  <c r="BL318" i="5" s="1"/>
  <c r="BH318" i="5"/>
  <c r="BM318" i="5" s="1"/>
  <c r="BH516" i="5"/>
  <c r="BM516" i="5" s="1"/>
  <c r="BG516" i="5"/>
  <c r="BL516" i="5" s="1"/>
  <c r="BH20" i="5"/>
  <c r="BM20" i="5" s="1"/>
  <c r="BG20" i="5"/>
  <c r="BL20" i="5" s="1"/>
  <c r="BH182" i="5"/>
  <c r="BM182" i="5" s="1"/>
  <c r="BG182" i="5"/>
  <c r="BL182" i="5" s="1"/>
  <c r="BH470" i="5"/>
  <c r="BM470" i="5" s="1"/>
  <c r="BG470" i="5"/>
  <c r="BL470" i="5" s="1"/>
  <c r="BH383" i="5"/>
  <c r="BM383" i="5" s="1"/>
  <c r="BG383" i="5"/>
  <c r="BL383" i="5" s="1"/>
  <c r="BH479" i="5"/>
  <c r="BM479" i="5" s="1"/>
  <c r="BG479" i="5"/>
  <c r="BL479" i="5" s="1"/>
  <c r="BG297" i="5"/>
  <c r="BL297" i="5" s="1"/>
  <c r="BH297" i="5"/>
  <c r="BM297" i="5" s="1"/>
  <c r="BH103" i="5"/>
  <c r="BM103" i="5" s="1"/>
  <c r="BG103" i="5"/>
  <c r="BL103" i="5" s="1"/>
  <c r="BH361" i="5"/>
  <c r="BM361" i="5" s="1"/>
  <c r="BG361" i="5"/>
  <c r="BL361" i="5" s="1"/>
  <c r="BG52" i="5"/>
  <c r="BL52" i="5" s="1"/>
  <c r="BH52" i="5"/>
  <c r="BM52" i="5" s="1"/>
  <c r="BH436" i="5"/>
  <c r="BM436" i="5" s="1"/>
  <c r="BG436" i="5"/>
  <c r="BL436" i="5" s="1"/>
  <c r="BG197" i="5"/>
  <c r="BL197" i="5" s="1"/>
  <c r="BH197" i="5"/>
  <c r="BM197" i="5" s="1"/>
  <c r="BG101" i="5"/>
  <c r="BL101" i="5" s="1"/>
  <c r="BH101" i="5"/>
  <c r="BM101" i="5" s="1"/>
  <c r="BG496" i="5"/>
  <c r="BL496" i="5" s="1"/>
  <c r="BH496" i="5"/>
  <c r="BM496" i="5" s="1"/>
  <c r="BG159" i="5"/>
  <c r="BL159" i="5" s="1"/>
  <c r="BH159" i="5"/>
  <c r="BM159" i="5" s="1"/>
  <c r="BG339" i="5"/>
  <c r="BL339" i="5" s="1"/>
  <c r="BH339" i="5"/>
  <c r="BM339" i="5" s="1"/>
  <c r="BG328" i="5"/>
  <c r="BL328" i="5" s="1"/>
  <c r="BH328" i="5"/>
  <c r="BM328" i="5" s="1"/>
  <c r="BD11" i="5"/>
  <c r="BE11" i="5"/>
  <c r="BG310" i="5"/>
  <c r="BL310" i="5" s="1"/>
  <c r="BH310" i="5"/>
  <c r="BM310" i="5" s="1"/>
  <c r="BG189" i="5"/>
  <c r="BL189" i="5" s="1"/>
  <c r="BH189" i="5"/>
  <c r="BM189" i="5" s="1"/>
  <c r="BG548" i="5"/>
  <c r="BL548" i="5" s="1"/>
  <c r="BH548" i="5"/>
  <c r="BM548" i="5" s="1"/>
  <c r="BG359" i="5"/>
  <c r="BL359" i="5" s="1"/>
  <c r="BH359" i="5"/>
  <c r="BM359" i="5" s="1"/>
  <c r="BG394" i="5"/>
  <c r="BL394" i="5" s="1"/>
  <c r="BH394" i="5"/>
  <c r="BM394" i="5" s="1"/>
  <c r="BG472" i="5"/>
  <c r="BL472" i="5" s="1"/>
  <c r="BH472" i="5"/>
  <c r="BM472" i="5" s="1"/>
  <c r="BG25" i="5"/>
  <c r="BL25" i="5" s="1"/>
  <c r="BH25" i="5"/>
  <c r="BM25" i="5" s="1"/>
  <c r="BG483" i="5"/>
  <c r="BL483" i="5" s="1"/>
  <c r="BH483" i="5"/>
  <c r="BM483" i="5" s="1"/>
  <c r="BH378" i="5"/>
  <c r="BM378" i="5" s="1"/>
  <c r="BG378" i="5"/>
  <c r="BL378" i="5" s="1"/>
  <c r="BH474" i="5"/>
  <c r="BM474" i="5" s="1"/>
  <c r="BG474" i="5"/>
  <c r="BL474" i="5" s="1"/>
  <c r="BH83" i="5"/>
  <c r="BM83" i="5" s="1"/>
  <c r="BG83" i="5"/>
  <c r="BL83" i="5" s="1"/>
  <c r="BH507" i="5"/>
  <c r="BM507" i="5" s="1"/>
  <c r="BG507" i="5"/>
  <c r="BL507" i="5" s="1"/>
  <c r="BG76" i="5"/>
  <c r="BL76" i="5" s="1"/>
  <c r="BH76" i="5"/>
  <c r="BM76" i="5" s="1"/>
  <c r="BH533" i="5"/>
  <c r="BM533" i="5" s="1"/>
  <c r="BG533" i="5"/>
  <c r="BL533" i="5" s="1"/>
  <c r="BG246" i="5"/>
  <c r="BL246" i="5" s="1"/>
  <c r="BH246" i="5"/>
  <c r="BM246" i="5" s="1"/>
  <c r="BG506" i="5"/>
  <c r="BL506" i="5" s="1"/>
  <c r="BH506" i="5"/>
  <c r="BM506" i="5" s="1"/>
  <c r="BG31" i="5"/>
  <c r="BL31" i="5" s="1"/>
  <c r="BH31" i="5"/>
  <c r="BM31" i="5" s="1"/>
  <c r="BG98" i="5"/>
  <c r="BL98" i="5" s="1"/>
  <c r="BH98" i="5"/>
  <c r="BM98" i="5" s="1"/>
  <c r="BG225" i="5"/>
  <c r="BL225" i="5" s="1"/>
  <c r="BH225" i="5"/>
  <c r="BM225" i="5" s="1"/>
  <c r="BH363" i="5"/>
  <c r="BM363" i="5" s="1"/>
  <c r="BG363" i="5"/>
  <c r="BL363" i="5" s="1"/>
  <c r="BH226" i="5"/>
  <c r="BM226" i="5" s="1"/>
  <c r="BG226" i="5"/>
  <c r="BL226" i="5" s="1"/>
  <c r="BG550" i="5"/>
  <c r="BL550" i="5" s="1"/>
  <c r="BH550" i="5"/>
  <c r="BM550" i="5" s="1"/>
  <c r="BH489" i="5"/>
  <c r="BM489" i="5" s="1"/>
  <c r="BG489" i="5"/>
  <c r="BL489" i="5" s="1"/>
  <c r="BH438" i="5"/>
  <c r="BM438" i="5" s="1"/>
  <c r="BG438" i="5"/>
  <c r="BL438" i="5" s="1"/>
  <c r="BH466" i="5"/>
  <c r="BM466" i="5" s="1"/>
  <c r="BG466" i="5"/>
  <c r="BL466" i="5" s="1"/>
  <c r="AQ11" i="5"/>
  <c r="BI11" i="5"/>
  <c r="AR11" i="5"/>
  <c r="BH527" i="5"/>
  <c r="BM527" i="5" s="1"/>
  <c r="BG527" i="5"/>
  <c r="BL527" i="5" s="1"/>
  <c r="BG302" i="5"/>
  <c r="BL302" i="5" s="1"/>
  <c r="BH302" i="5"/>
  <c r="BM302" i="5" s="1"/>
  <c r="BH78" i="5"/>
  <c r="BM78" i="5" s="1"/>
  <c r="BG78" i="5"/>
  <c r="BL78" i="5" s="1"/>
  <c r="BH82" i="5"/>
  <c r="BM82" i="5" s="1"/>
  <c r="BG82" i="5"/>
  <c r="BL82" i="5" s="1"/>
  <c r="BH353" i="5"/>
  <c r="BM353" i="5" s="1"/>
  <c r="BG353" i="5"/>
  <c r="BL353" i="5" s="1"/>
  <c r="BG209" i="5"/>
  <c r="BL209" i="5" s="1"/>
  <c r="BH209" i="5"/>
  <c r="BM209" i="5" s="1"/>
  <c r="BH19" i="5"/>
  <c r="BM19" i="5" s="1"/>
  <c r="BG19" i="5"/>
  <c r="BL19" i="5" s="1"/>
  <c r="BG374" i="5"/>
  <c r="BL374" i="5" s="1"/>
  <c r="BH374" i="5"/>
  <c r="BM374" i="5" s="1"/>
  <c r="BH105" i="5"/>
  <c r="BM105" i="5" s="1"/>
  <c r="BG105" i="5"/>
  <c r="BL105" i="5" s="1"/>
  <c r="BG303" i="5"/>
  <c r="BL303" i="5" s="1"/>
  <c r="BH303" i="5"/>
  <c r="BM303" i="5" s="1"/>
  <c r="BG47" i="5"/>
  <c r="BL47" i="5" s="1"/>
  <c r="BH47" i="5"/>
  <c r="BM47" i="5" s="1"/>
  <c r="BH322" i="5"/>
  <c r="BM322" i="5" s="1"/>
  <c r="BG322" i="5"/>
  <c r="BL322" i="5" s="1"/>
  <c r="BG258" i="5"/>
  <c r="BL258" i="5" s="1"/>
  <c r="BH258" i="5"/>
  <c r="BM258" i="5" s="1"/>
  <c r="BG270" i="5"/>
  <c r="BL270" i="5" s="1"/>
  <c r="BH270" i="5"/>
  <c r="BM270" i="5" s="1"/>
  <c r="BG176" i="5"/>
  <c r="BL176" i="5" s="1"/>
  <c r="BH176" i="5"/>
  <c r="BM176" i="5" s="1"/>
  <c r="BH508" i="5"/>
  <c r="BM508" i="5" s="1"/>
  <c r="BG508" i="5"/>
  <c r="BL508" i="5" s="1"/>
  <c r="BG414" i="5"/>
  <c r="BL414" i="5" s="1"/>
  <c r="BH414" i="5"/>
  <c r="BM414" i="5" s="1"/>
  <c r="BH230" i="5"/>
  <c r="BM230" i="5" s="1"/>
  <c r="BG230" i="5"/>
  <c r="BL230" i="5" s="1"/>
  <c r="BH509" i="5"/>
  <c r="BM509" i="5" s="1"/>
  <c r="BG509" i="5"/>
  <c r="BL509" i="5" s="1"/>
  <c r="BG292" i="5"/>
  <c r="BL292" i="5" s="1"/>
  <c r="BH292" i="5"/>
  <c r="BM292" i="5" s="1"/>
  <c r="BG446" i="5"/>
  <c r="BL446" i="5" s="1"/>
  <c r="BH446" i="5"/>
  <c r="BM446" i="5" s="1"/>
  <c r="BH422" i="5"/>
  <c r="BM422" i="5" s="1"/>
  <c r="BG422" i="5"/>
  <c r="BL422" i="5" s="1"/>
  <c r="BG43" i="5"/>
  <c r="BL43" i="5" s="1"/>
  <c r="BH43" i="5"/>
  <c r="BM43" i="5" s="1"/>
  <c r="BG91" i="5"/>
  <c r="BL91" i="5" s="1"/>
  <c r="BH91" i="5"/>
  <c r="BM91" i="5" s="1"/>
  <c r="BH37" i="5"/>
  <c r="BM37" i="5" s="1"/>
  <c r="BG37" i="5"/>
  <c r="BL37" i="5" s="1"/>
  <c r="BH248" i="5"/>
  <c r="BM248" i="5" s="1"/>
  <c r="BG248" i="5"/>
  <c r="BL248" i="5" s="1"/>
  <c r="BH529" i="5"/>
  <c r="BM529" i="5" s="1"/>
  <c r="BG529" i="5"/>
  <c r="BL529" i="5" s="1"/>
  <c r="BG354" i="5"/>
  <c r="BL354" i="5" s="1"/>
  <c r="BH354" i="5"/>
  <c r="BM354" i="5" s="1"/>
  <c r="BH255" i="5"/>
  <c r="BM255" i="5" s="1"/>
  <c r="BG255" i="5"/>
  <c r="BL255" i="5" s="1"/>
  <c r="BG121" i="5"/>
  <c r="BL121" i="5" s="1"/>
  <c r="BH121" i="5"/>
  <c r="BM121" i="5" s="1"/>
  <c r="BH124" i="5"/>
  <c r="BM124" i="5" s="1"/>
  <c r="BG124" i="5"/>
  <c r="BL124" i="5" s="1"/>
  <c r="BG402" i="5"/>
  <c r="BL402" i="5" s="1"/>
  <c r="BH402" i="5"/>
  <c r="BM402" i="5" s="1"/>
  <c r="BH324" i="5"/>
  <c r="BM324" i="5" s="1"/>
  <c r="BG324" i="5"/>
  <c r="BL324" i="5" s="1"/>
  <c r="BG283" i="5"/>
  <c r="BL283" i="5" s="1"/>
  <c r="BH283" i="5"/>
  <c r="BM283" i="5" s="1"/>
  <c r="BG251" i="5"/>
  <c r="BL251" i="5" s="1"/>
  <c r="BH251" i="5"/>
  <c r="BM251" i="5" s="1"/>
  <c r="BG291" i="5"/>
  <c r="BL291" i="5" s="1"/>
  <c r="BH291" i="5"/>
  <c r="BM291" i="5" s="1"/>
  <c r="BG343" i="5"/>
  <c r="BL343" i="5" s="1"/>
  <c r="BH343" i="5"/>
  <c r="BM343" i="5" s="1"/>
  <c r="BG65" i="5"/>
  <c r="BL65" i="5" s="1"/>
  <c r="BH65" i="5"/>
  <c r="BM65" i="5" s="1"/>
  <c r="BH331" i="5"/>
  <c r="BM331" i="5" s="1"/>
  <c r="BG331" i="5"/>
  <c r="BL331" i="5" s="1"/>
  <c r="BG316" i="5"/>
  <c r="BL316" i="5" s="1"/>
  <c r="BH316" i="5"/>
  <c r="BM316" i="5" s="1"/>
  <c r="BG522" i="5"/>
  <c r="BL522" i="5" s="1"/>
  <c r="BH522" i="5"/>
  <c r="BM522" i="5" s="1"/>
  <c r="BG70" i="5"/>
  <c r="BL70" i="5" s="1"/>
  <c r="BH70" i="5"/>
  <c r="BM70" i="5" s="1"/>
  <c r="BH12" i="5"/>
  <c r="BM12" i="5" s="1"/>
  <c r="BG12" i="5"/>
  <c r="BL12" i="5" s="1"/>
  <c r="BG186" i="5"/>
  <c r="BL186" i="5" s="1"/>
  <c r="BH186" i="5"/>
  <c r="BM186" i="5" s="1"/>
  <c r="BG66" i="5"/>
  <c r="BL66" i="5" s="1"/>
  <c r="BH66" i="5"/>
  <c r="BM66" i="5" s="1"/>
  <c r="BG325" i="5"/>
  <c r="BL325" i="5" s="1"/>
  <c r="BH325" i="5"/>
  <c r="BM325" i="5" s="1"/>
  <c r="BG268" i="5"/>
  <c r="BL268" i="5" s="1"/>
  <c r="BH268" i="5"/>
  <c r="BM268" i="5" s="1"/>
  <c r="BG217" i="5"/>
  <c r="BL217" i="5" s="1"/>
  <c r="BH217" i="5"/>
  <c r="BM217" i="5" s="1"/>
  <c r="BG430" i="5"/>
  <c r="BL430" i="5" s="1"/>
  <c r="BH430" i="5"/>
  <c r="BM430" i="5" s="1"/>
  <c r="BH410" i="5"/>
  <c r="BM410" i="5" s="1"/>
  <c r="BG410" i="5"/>
  <c r="BL410" i="5" s="1"/>
  <c r="BG534" i="5"/>
  <c r="BL534" i="5" s="1"/>
  <c r="BH534" i="5"/>
  <c r="BM534" i="5" s="1"/>
  <c r="BH202" i="5"/>
  <c r="BM202" i="5" s="1"/>
  <c r="BG202" i="5"/>
  <c r="BL202" i="5" s="1"/>
  <c r="BG498" i="5"/>
  <c r="BL498" i="5" s="1"/>
  <c r="BH498" i="5"/>
  <c r="BM498" i="5" s="1"/>
  <c r="BG40" i="5"/>
  <c r="BL40" i="5" s="1"/>
  <c r="BH40" i="5"/>
  <c r="BM40" i="5" s="1"/>
  <c r="BG109" i="5"/>
  <c r="BL109" i="5" s="1"/>
  <c r="BH109" i="5"/>
  <c r="BM109" i="5" s="1"/>
  <c r="BG504" i="5"/>
  <c r="BL504" i="5" s="1"/>
  <c r="BH504" i="5"/>
  <c r="BM504" i="5" s="1"/>
  <c r="BG256" i="5"/>
  <c r="BL256" i="5" s="1"/>
  <c r="BH256" i="5"/>
  <c r="BM256" i="5" s="1"/>
  <c r="BH172" i="5"/>
  <c r="BM172" i="5" s="1"/>
  <c r="BG172" i="5"/>
  <c r="BL172" i="5" s="1"/>
  <c r="BH348" i="5"/>
  <c r="BM348" i="5" s="1"/>
  <c r="BG348" i="5"/>
  <c r="BL348" i="5" s="1"/>
  <c r="BH218" i="5"/>
  <c r="BM218" i="5" s="1"/>
  <c r="BG218" i="5"/>
  <c r="BL218" i="5" s="1"/>
  <c r="BG392" i="5"/>
  <c r="BL392" i="5" s="1"/>
  <c r="BH392" i="5"/>
  <c r="BM392" i="5" s="1"/>
  <c r="BH250" i="5"/>
  <c r="BM250" i="5" s="1"/>
  <c r="BG250" i="5"/>
  <c r="BL250" i="5" s="1"/>
  <c r="BH321" i="5"/>
  <c r="BM321" i="5" s="1"/>
  <c r="BG321" i="5"/>
  <c r="BL321" i="5" s="1"/>
  <c r="BG168" i="5"/>
  <c r="BL168" i="5" s="1"/>
  <c r="BH168" i="5"/>
  <c r="BM168" i="5" s="1"/>
  <c r="BG477" i="5"/>
  <c r="BL477" i="5" s="1"/>
  <c r="BH477" i="5"/>
  <c r="BM477" i="5" s="1"/>
  <c r="BG231" i="5"/>
  <c r="BL231" i="5" s="1"/>
  <c r="BH231" i="5"/>
  <c r="BM231" i="5" s="1"/>
  <c r="BH482" i="5"/>
  <c r="BM482" i="5" s="1"/>
  <c r="BG482" i="5"/>
  <c r="BL482" i="5" s="1"/>
  <c r="BG429" i="5"/>
  <c r="BL429" i="5" s="1"/>
  <c r="BH429" i="5"/>
  <c r="BM429" i="5" s="1"/>
  <c r="BG254" i="5"/>
  <c r="BL254" i="5" s="1"/>
  <c r="BH254" i="5"/>
  <c r="BM254" i="5" s="1"/>
  <c r="BH92" i="5"/>
  <c r="BM92" i="5" s="1"/>
  <c r="BG92" i="5"/>
  <c r="BL92" i="5" s="1"/>
  <c r="BG228" i="5"/>
  <c r="BL228" i="5" s="1"/>
  <c r="BH228" i="5"/>
  <c r="BM228" i="5" s="1"/>
  <c r="BH173" i="5"/>
  <c r="BM173" i="5" s="1"/>
  <c r="BG173" i="5"/>
  <c r="BL173" i="5" s="1"/>
  <c r="BG288" i="5"/>
  <c r="BL288" i="5" s="1"/>
  <c r="BH288" i="5"/>
  <c r="BM288" i="5" s="1"/>
  <c r="BH128" i="5"/>
  <c r="BM128" i="5" s="1"/>
  <c r="BG128" i="5"/>
  <c r="BL128" i="5" s="1"/>
  <c r="BH207" i="5"/>
  <c r="BM207" i="5" s="1"/>
  <c r="BG207" i="5"/>
  <c r="BL207" i="5" s="1"/>
  <c r="BG279" i="5"/>
  <c r="BL279" i="5" s="1"/>
  <c r="BH279" i="5"/>
  <c r="BM279" i="5" s="1"/>
  <c r="BG437" i="5"/>
  <c r="BL437" i="5" s="1"/>
  <c r="BH437" i="5"/>
  <c r="BM437" i="5" s="1"/>
  <c r="BG334" i="5"/>
  <c r="BL334" i="5" s="1"/>
  <c r="BH334" i="5"/>
  <c r="BM334" i="5" s="1"/>
  <c r="BG552" i="5"/>
  <c r="BL552" i="5" s="1"/>
  <c r="BH552" i="5"/>
  <c r="BM552" i="5" s="1"/>
  <c r="BG104" i="5"/>
  <c r="BL104" i="5" s="1"/>
  <c r="BH104" i="5"/>
  <c r="BM104" i="5" s="1"/>
  <c r="BG531" i="5"/>
  <c r="BL531" i="5" s="1"/>
  <c r="BH531" i="5"/>
  <c r="BM531" i="5" s="1"/>
  <c r="BG38" i="5"/>
  <c r="BL38" i="5" s="1"/>
  <c r="BH38" i="5"/>
  <c r="BM38" i="5" s="1"/>
  <c r="BH97" i="5"/>
  <c r="BM97" i="5" s="1"/>
  <c r="BG97" i="5"/>
  <c r="BL97" i="5" s="1"/>
  <c r="BH96" i="5"/>
  <c r="BM96" i="5" s="1"/>
  <c r="BG96" i="5"/>
  <c r="BL96" i="5" s="1"/>
  <c r="BH26" i="5"/>
  <c r="BM26" i="5" s="1"/>
  <c r="BG26" i="5"/>
  <c r="BL26" i="5" s="1"/>
  <c r="BG183" i="5"/>
  <c r="BL183" i="5" s="1"/>
  <c r="BH183" i="5"/>
  <c r="BM183" i="5" s="1"/>
  <c r="BH559" i="5"/>
  <c r="BM559" i="5" s="1"/>
  <c r="BG559" i="5"/>
  <c r="BL559" i="5" s="1"/>
  <c r="BH39" i="5"/>
  <c r="BM39" i="5" s="1"/>
  <c r="BG39" i="5"/>
  <c r="BL39" i="5" s="1"/>
  <c r="BH517" i="5"/>
  <c r="BM517" i="5" s="1"/>
  <c r="BG517" i="5"/>
  <c r="BL517" i="5" s="1"/>
  <c r="BH99" i="5"/>
  <c r="BM99" i="5" s="1"/>
  <c r="BG99" i="5"/>
  <c r="BL99" i="5" s="1"/>
  <c r="BG525" i="5"/>
  <c r="BL525" i="5" s="1"/>
  <c r="BH525" i="5"/>
  <c r="BM525" i="5" s="1"/>
  <c r="BG59" i="5"/>
  <c r="BL59" i="5" s="1"/>
  <c r="BH59" i="5"/>
  <c r="BM59" i="5" s="1"/>
  <c r="BG169" i="5"/>
  <c r="BL169" i="5" s="1"/>
  <c r="BH169" i="5"/>
  <c r="BM169" i="5" s="1"/>
  <c r="BG146" i="5"/>
  <c r="BL146" i="5" s="1"/>
  <c r="BH146" i="5"/>
  <c r="BM146" i="5" s="1"/>
  <c r="BH274" i="5"/>
  <c r="BM274" i="5" s="1"/>
  <c r="BG274" i="5"/>
  <c r="BL274" i="5" s="1"/>
  <c r="BH523" i="5"/>
  <c r="BM523" i="5" s="1"/>
  <c r="BG523" i="5"/>
  <c r="BL523" i="5" s="1"/>
  <c r="BG229" i="5"/>
  <c r="BL229" i="5" s="1"/>
  <c r="BH229" i="5"/>
  <c r="BM229" i="5" s="1"/>
  <c r="BH495" i="5"/>
  <c r="BM495" i="5" s="1"/>
  <c r="BG495" i="5"/>
  <c r="BL495" i="5" s="1"/>
  <c r="BH329" i="5"/>
  <c r="BM329" i="5" s="1"/>
  <c r="BG329" i="5"/>
  <c r="BL329" i="5" s="1"/>
  <c r="BH554" i="5"/>
  <c r="BM554" i="5" s="1"/>
  <c r="BG554" i="5"/>
  <c r="BL554" i="5" s="1"/>
  <c r="BG75" i="5"/>
  <c r="BL75" i="5" s="1"/>
  <c r="BH75" i="5"/>
  <c r="BM75" i="5" s="1"/>
  <c r="BH546" i="5"/>
  <c r="BM546" i="5" s="1"/>
  <c r="BG546" i="5"/>
  <c r="BL546" i="5" s="1"/>
  <c r="BH484" i="5"/>
  <c r="BM484" i="5" s="1"/>
  <c r="BG484" i="5"/>
  <c r="BL484" i="5" s="1"/>
  <c r="BH174" i="5"/>
  <c r="BM174" i="5" s="1"/>
  <c r="BG174" i="5"/>
  <c r="BL174" i="5" s="1"/>
  <c r="BH471" i="5"/>
  <c r="BM471" i="5" s="1"/>
  <c r="BG471" i="5"/>
  <c r="BL471" i="5" s="1"/>
  <c r="BH199" i="5"/>
  <c r="BM199" i="5" s="1"/>
  <c r="BG199" i="5"/>
  <c r="BL199" i="5" s="1"/>
  <c r="BG433" i="5"/>
  <c r="BL433" i="5" s="1"/>
  <c r="BH433" i="5"/>
  <c r="BM433" i="5" s="1"/>
  <c r="BG333" i="5"/>
  <c r="BL333" i="5" s="1"/>
  <c r="BH333" i="5"/>
  <c r="BM333" i="5" s="1"/>
  <c r="BH95" i="5"/>
  <c r="BM95" i="5" s="1"/>
  <c r="BG95" i="5"/>
  <c r="BL95" i="5" s="1"/>
  <c r="BG51" i="5"/>
  <c r="BL51" i="5" s="1"/>
  <c r="BH51" i="5"/>
  <c r="BM51" i="5" s="1"/>
  <c r="BH161" i="5"/>
  <c r="BM161" i="5" s="1"/>
  <c r="BG161" i="5"/>
  <c r="BL161" i="5" s="1"/>
  <c r="BH240" i="5"/>
  <c r="BM240" i="5" s="1"/>
  <c r="BG240" i="5"/>
  <c r="BL240" i="5" s="1"/>
  <c r="BH492" i="5"/>
  <c r="BM492" i="5" s="1"/>
  <c r="BG492" i="5"/>
  <c r="BL492" i="5" s="1"/>
  <c r="BG403" i="5"/>
  <c r="BL403" i="5" s="1"/>
  <c r="BH403" i="5"/>
  <c r="BM403" i="5" s="1"/>
  <c r="BH475" i="5"/>
  <c r="BM475" i="5" s="1"/>
  <c r="BG475" i="5"/>
  <c r="BL475" i="5" s="1"/>
  <c r="BH213" i="5"/>
  <c r="BM213" i="5" s="1"/>
  <c r="BG213" i="5"/>
  <c r="BL213" i="5" s="1"/>
  <c r="BH49" i="5"/>
  <c r="BM49" i="5" s="1"/>
  <c r="BG49" i="5"/>
  <c r="BL49" i="5" s="1"/>
  <c r="BH281" i="5"/>
  <c r="BM281" i="5" s="1"/>
  <c r="BG281" i="5"/>
  <c r="BL281" i="5" s="1"/>
  <c r="BG382" i="5"/>
  <c r="BL382" i="5" s="1"/>
  <c r="BH382" i="5"/>
  <c r="BM382" i="5" s="1"/>
  <c r="BH257" i="5"/>
  <c r="BM257" i="5" s="1"/>
  <c r="BG257" i="5"/>
  <c r="BL257" i="5" s="1"/>
  <c r="BG390" i="5"/>
  <c r="BL390" i="5" s="1"/>
  <c r="BH390" i="5"/>
  <c r="BM390" i="5" s="1"/>
  <c r="BG463" i="5"/>
  <c r="BL463" i="5" s="1"/>
  <c r="BH463" i="5"/>
  <c r="BM463" i="5" s="1"/>
  <c r="BG379" i="5"/>
  <c r="BL379" i="5" s="1"/>
  <c r="BH379" i="5"/>
  <c r="BM379" i="5" s="1"/>
  <c r="BG276" i="5"/>
  <c r="BL276" i="5" s="1"/>
  <c r="BH276" i="5"/>
  <c r="BM276" i="5" s="1"/>
  <c r="BG13" i="5"/>
  <c r="BL13" i="5" s="1"/>
  <c r="BH13" i="5"/>
  <c r="BM13" i="5" s="1"/>
  <c r="BH442" i="5"/>
  <c r="BM442" i="5" s="1"/>
  <c r="BG442" i="5"/>
  <c r="BL442" i="5" s="1"/>
  <c r="BH149" i="5"/>
  <c r="BM149" i="5" s="1"/>
  <c r="BG149" i="5"/>
  <c r="BL149" i="5" s="1"/>
  <c r="BH34" i="5"/>
  <c r="BM34" i="5" s="1"/>
  <c r="BG34" i="5"/>
  <c r="BL34" i="5" s="1"/>
  <c r="BH129" i="5"/>
  <c r="BM129" i="5" s="1"/>
  <c r="BG129" i="5"/>
  <c r="BL129" i="5" s="1"/>
  <c r="BH386" i="5"/>
  <c r="BM386" i="5" s="1"/>
  <c r="BG386" i="5"/>
  <c r="BL386" i="5" s="1"/>
  <c r="BH404" i="5"/>
  <c r="BM404" i="5" s="1"/>
  <c r="BG404" i="5"/>
  <c r="BL404" i="5" s="1"/>
  <c r="BH192" i="5"/>
  <c r="BM192" i="5" s="1"/>
  <c r="BG192" i="5"/>
  <c r="BL192" i="5" s="1"/>
  <c r="BG196" i="5"/>
  <c r="BL196" i="5" s="1"/>
  <c r="BH196" i="5"/>
  <c r="BM196" i="5" s="1"/>
  <c r="BG536" i="5"/>
  <c r="BL536" i="5" s="1"/>
  <c r="BH536" i="5"/>
  <c r="BM536" i="5" s="1"/>
  <c r="BG305" i="5"/>
  <c r="BL305" i="5" s="1"/>
  <c r="BH305" i="5"/>
  <c r="BM305" i="5" s="1"/>
  <c r="BH223" i="5"/>
  <c r="BM223" i="5" s="1"/>
  <c r="BG223" i="5"/>
  <c r="BL223" i="5" s="1"/>
  <c r="BH33" i="5"/>
  <c r="BM33" i="5" s="1"/>
  <c r="BG33" i="5"/>
  <c r="BL33" i="5" s="1"/>
  <c r="BG87" i="5"/>
  <c r="BL87" i="5" s="1"/>
  <c r="BH87" i="5"/>
  <c r="BM87" i="5" s="1"/>
  <c r="BH341" i="5"/>
  <c r="BM341" i="5" s="1"/>
  <c r="BG341" i="5"/>
  <c r="BL341" i="5" s="1"/>
  <c r="BH133" i="5"/>
  <c r="BM133" i="5" s="1"/>
  <c r="BG133" i="5"/>
  <c r="BL133" i="5" s="1"/>
  <c r="BG356" i="5"/>
  <c r="BL356" i="5" s="1"/>
  <c r="BH356" i="5"/>
  <c r="BM356" i="5" s="1"/>
  <c r="BG371" i="5"/>
  <c r="BL371" i="5" s="1"/>
  <c r="BH371" i="5"/>
  <c r="BM371" i="5" s="1"/>
  <c r="BG460" i="5"/>
  <c r="BL460" i="5" s="1"/>
  <c r="BH460" i="5"/>
  <c r="BM460" i="5" s="1"/>
  <c r="BG395" i="5"/>
  <c r="BL395" i="5" s="1"/>
  <c r="BH395" i="5"/>
  <c r="BM395" i="5" s="1"/>
  <c r="BH407" i="5"/>
  <c r="BM407" i="5" s="1"/>
  <c r="BG407" i="5"/>
  <c r="BL407" i="5" s="1"/>
  <c r="BH505" i="5"/>
  <c r="BM505" i="5" s="1"/>
  <c r="BG505" i="5"/>
  <c r="BL505" i="5" s="1"/>
  <c r="BG393" i="5"/>
  <c r="BL393" i="5" s="1"/>
  <c r="BH393" i="5"/>
  <c r="BM393" i="5" s="1"/>
  <c r="BG352" i="5"/>
  <c r="BL352" i="5" s="1"/>
  <c r="BH352" i="5"/>
  <c r="BM352" i="5" s="1"/>
  <c r="BG282" i="5"/>
  <c r="BL282" i="5" s="1"/>
  <c r="BH282" i="5"/>
  <c r="BM282" i="5" s="1"/>
  <c r="BG145" i="5"/>
  <c r="BL145" i="5" s="1"/>
  <c r="BH145" i="5"/>
  <c r="BM145" i="5" s="1"/>
  <c r="BG126" i="5"/>
  <c r="BL126" i="5" s="1"/>
  <c r="BH126" i="5"/>
  <c r="BM126" i="5" s="1"/>
  <c r="BH85" i="5"/>
  <c r="BM85" i="5" s="1"/>
  <c r="BG85" i="5"/>
  <c r="BL85" i="5" s="1"/>
  <c r="BH311" i="5"/>
  <c r="BM311" i="5" s="1"/>
  <c r="BG311" i="5"/>
  <c r="BL311" i="5" s="1"/>
  <c r="BG58" i="5"/>
  <c r="BL58" i="5" s="1"/>
  <c r="BH58" i="5"/>
  <c r="BM58" i="5" s="1"/>
  <c r="BH423" i="5"/>
  <c r="BM423" i="5" s="1"/>
  <c r="BG423" i="5"/>
  <c r="BL423" i="5" s="1"/>
  <c r="BG71" i="5"/>
  <c r="BL71" i="5" s="1"/>
  <c r="BH71" i="5"/>
  <c r="BM71" i="5" s="1"/>
  <c r="BG553" i="5"/>
  <c r="BL553" i="5" s="1"/>
  <c r="BH553" i="5"/>
  <c r="BM553" i="5" s="1"/>
  <c r="BG221" i="5"/>
  <c r="BL221" i="5" s="1"/>
  <c r="BH221" i="5"/>
  <c r="BM221" i="5" s="1"/>
  <c r="BG278" i="5"/>
  <c r="BL278" i="5" s="1"/>
  <c r="BH278" i="5"/>
  <c r="BM278" i="5" s="1"/>
  <c r="BH376" i="5"/>
  <c r="BM376" i="5" s="1"/>
  <c r="BG376" i="5"/>
  <c r="BL376" i="5" s="1"/>
  <c r="BG499" i="5"/>
  <c r="BL499" i="5" s="1"/>
  <c r="BH499" i="5"/>
  <c r="BM499" i="5" s="1"/>
  <c r="BG408" i="5"/>
  <c r="BL408" i="5" s="1"/>
  <c r="BH408" i="5"/>
  <c r="BM408" i="5" s="1"/>
  <c r="BG373" i="5"/>
  <c r="BL373" i="5" s="1"/>
  <c r="BH373" i="5"/>
  <c r="BM373" i="5" s="1"/>
  <c r="BG119" i="5"/>
  <c r="BL119" i="5" s="1"/>
  <c r="BH119" i="5"/>
  <c r="BM119" i="5" s="1"/>
  <c r="BG272" i="5"/>
  <c r="BL272" i="5" s="1"/>
  <c r="BH272" i="5"/>
  <c r="BM272" i="5" s="1"/>
  <c r="BG64" i="5"/>
  <c r="BL64" i="5" s="1"/>
  <c r="BH64" i="5"/>
  <c r="BM64" i="5" s="1"/>
  <c r="BG180" i="5"/>
  <c r="BL180" i="5" s="1"/>
  <c r="BH180" i="5"/>
  <c r="BM180" i="5" s="1"/>
  <c r="BG179" i="5"/>
  <c r="BL179" i="5" s="1"/>
  <c r="BH179" i="5"/>
  <c r="BM179" i="5" s="1"/>
  <c r="BH216" i="5"/>
  <c r="BM216" i="5" s="1"/>
  <c r="BG216" i="5"/>
  <c r="BL216" i="5" s="1"/>
  <c r="BG23" i="5"/>
  <c r="BL23" i="5" s="1"/>
  <c r="BH23" i="5"/>
  <c r="BM23" i="5" s="1"/>
  <c r="BG267" i="5"/>
  <c r="BL267" i="5" s="1"/>
  <c r="BH267" i="5"/>
  <c r="BM267" i="5" s="1"/>
  <c r="BH449" i="5"/>
  <c r="BM449" i="5" s="1"/>
  <c r="BG449" i="5"/>
  <c r="BL449" i="5" s="1"/>
  <c r="BG457" i="5"/>
  <c r="BL457" i="5" s="1"/>
  <c r="BH457" i="5"/>
  <c r="BM457" i="5" s="1"/>
  <c r="BH162" i="5"/>
  <c r="BM162" i="5" s="1"/>
  <c r="BG162" i="5"/>
  <c r="BL162" i="5" s="1"/>
  <c r="BG473" i="5"/>
  <c r="BL473" i="5" s="1"/>
  <c r="BH473" i="5"/>
  <c r="BM473" i="5" s="1"/>
  <c r="BG421" i="5"/>
  <c r="BL421" i="5" s="1"/>
  <c r="BH421" i="5"/>
  <c r="BM421" i="5" s="1"/>
  <c r="BH415" i="5"/>
  <c r="BM415" i="5" s="1"/>
  <c r="BG415" i="5"/>
  <c r="BL415" i="5" s="1"/>
  <c r="BG280" i="5"/>
  <c r="BL280" i="5" s="1"/>
  <c r="BH280" i="5"/>
  <c r="BM280" i="5" s="1"/>
  <c r="BG490" i="5"/>
  <c r="BL490" i="5" s="1"/>
  <c r="BH490" i="5"/>
  <c r="BM490" i="5" s="1"/>
  <c r="BG480" i="5"/>
  <c r="BL480" i="5" s="1"/>
  <c r="BH480" i="5"/>
  <c r="BM480" i="5" s="1"/>
  <c r="BH156" i="5"/>
  <c r="BM156" i="5" s="1"/>
  <c r="BG156" i="5"/>
  <c r="BL156" i="5" s="1"/>
  <c r="BH289" i="5"/>
  <c r="BM289" i="5" s="1"/>
  <c r="BG289" i="5"/>
  <c r="BL289" i="5" s="1"/>
  <c r="BG551" i="5"/>
  <c r="BL551" i="5" s="1"/>
  <c r="BH551" i="5"/>
  <c r="BM551" i="5" s="1"/>
  <c r="BG309" i="5"/>
  <c r="BL309" i="5" s="1"/>
  <c r="BH309" i="5"/>
  <c r="BM309" i="5" s="1"/>
  <c r="BG10" i="5"/>
  <c r="BL10" i="5" s="1"/>
  <c r="BH10" i="5"/>
  <c r="BM10" i="5" s="1"/>
  <c r="BG259" i="5"/>
  <c r="BL259" i="5" s="1"/>
  <c r="BH259" i="5"/>
  <c r="BM259" i="5" s="1"/>
  <c r="BG396" i="5"/>
  <c r="BL396" i="5" s="1"/>
  <c r="BH396" i="5"/>
  <c r="BM396" i="5" s="1"/>
  <c r="BH296" i="5"/>
  <c r="BM296" i="5" s="1"/>
  <c r="BG296" i="5"/>
  <c r="BL296" i="5" s="1"/>
  <c r="BH55" i="5"/>
  <c r="BM55" i="5" s="1"/>
  <c r="BG55" i="5"/>
  <c r="BL55" i="5" s="1"/>
  <c r="BG194" i="5"/>
  <c r="BL194" i="5" s="1"/>
  <c r="BH194" i="5"/>
  <c r="BM194" i="5" s="1"/>
  <c r="BH543" i="5"/>
  <c r="BM543" i="5" s="1"/>
  <c r="BG543" i="5"/>
  <c r="BL543" i="5" s="1"/>
  <c r="BH332" i="5"/>
  <c r="BM332" i="5" s="1"/>
  <c r="BG332" i="5"/>
  <c r="BL332" i="5" s="1"/>
  <c r="BH406" i="5"/>
  <c r="BM406" i="5" s="1"/>
  <c r="BG406" i="5"/>
  <c r="BL406" i="5" s="1"/>
  <c r="BH286" i="5"/>
  <c r="BM286" i="5" s="1"/>
  <c r="BG286" i="5"/>
  <c r="BL286" i="5" s="1"/>
  <c r="BH448" i="5"/>
  <c r="BM448" i="5" s="1"/>
  <c r="BG448" i="5"/>
  <c r="BL448" i="5" s="1"/>
  <c r="BG344" i="5"/>
  <c r="BL344" i="5" s="1"/>
  <c r="BH344" i="5"/>
  <c r="BM344" i="5" s="1"/>
  <c r="BH439" i="5"/>
  <c r="BM439" i="5" s="1"/>
  <c r="BG439" i="5"/>
  <c r="BL439" i="5" s="1"/>
  <c r="BH158" i="5"/>
  <c r="BM158" i="5" s="1"/>
  <c r="BG158" i="5"/>
  <c r="BL158" i="5" s="1"/>
  <c r="BG184" i="5"/>
  <c r="BL184" i="5" s="1"/>
  <c r="BH184" i="5"/>
  <c r="BM184" i="5" s="1"/>
  <c r="BG298" i="5"/>
  <c r="BL298" i="5" s="1"/>
  <c r="BH298" i="5"/>
  <c r="BM298" i="5" s="1"/>
  <c r="BG56" i="5"/>
  <c r="BL56" i="5" s="1"/>
  <c r="BH56" i="5"/>
  <c r="BM56" i="5" s="1"/>
  <c r="BH514" i="5"/>
  <c r="BM514" i="5" s="1"/>
  <c r="BG514" i="5"/>
  <c r="BL514" i="5" s="1"/>
  <c r="BH299" i="5"/>
  <c r="BM299" i="5" s="1"/>
  <c r="BG299" i="5"/>
  <c r="BL299" i="5" s="1"/>
  <c r="BH167" i="5"/>
  <c r="BM167" i="5" s="1"/>
  <c r="BG167" i="5"/>
  <c r="BL167" i="5" s="1"/>
  <c r="BG235" i="5"/>
  <c r="BL235" i="5" s="1"/>
  <c r="BH235" i="5"/>
  <c r="BM235" i="5" s="1"/>
  <c r="BG317" i="5"/>
  <c r="BL317" i="5" s="1"/>
  <c r="BH317" i="5"/>
  <c r="BM317" i="5" s="1"/>
  <c r="BG342" i="5"/>
  <c r="BL342" i="5" s="1"/>
  <c r="BH342" i="5"/>
  <c r="BM342" i="5" s="1"/>
  <c r="BG252" i="5"/>
  <c r="BL252" i="5" s="1"/>
  <c r="BH252" i="5"/>
  <c r="BM252" i="5" s="1"/>
  <c r="BH526" i="5"/>
  <c r="BM526" i="5" s="1"/>
  <c r="BG526" i="5"/>
  <c r="BL526" i="5" s="1"/>
  <c r="BH112" i="5"/>
  <c r="BM112" i="5" s="1"/>
  <c r="BG112" i="5"/>
  <c r="BL112" i="5" s="1"/>
  <c r="BG185" i="5"/>
  <c r="BL185" i="5" s="1"/>
  <c r="BH185" i="5"/>
  <c r="BM185" i="5" s="1"/>
  <c r="BG245" i="5"/>
  <c r="BL245" i="5" s="1"/>
  <c r="BH245" i="5"/>
  <c r="BM245" i="5" s="1"/>
  <c r="BG8" i="5"/>
  <c r="BL8" i="5" s="1"/>
  <c r="BH8" i="5"/>
  <c r="BM8" i="5" s="1"/>
  <c r="BG94" i="5"/>
  <c r="BL94" i="5" s="1"/>
  <c r="BH94" i="5"/>
  <c r="BM94" i="5" s="1"/>
  <c r="BG351" i="5"/>
  <c r="BL351" i="5" s="1"/>
  <c r="BH351" i="5"/>
  <c r="BM351" i="5" s="1"/>
  <c r="BG452" i="5"/>
  <c r="BL452" i="5" s="1"/>
  <c r="BH452" i="5"/>
  <c r="BM452" i="5" s="1"/>
  <c r="BH432" i="5"/>
  <c r="BM432" i="5" s="1"/>
  <c r="BG432" i="5"/>
  <c r="BL432" i="5" s="1"/>
  <c r="BG287" i="5"/>
  <c r="BL287" i="5" s="1"/>
  <c r="BH287" i="5"/>
  <c r="BM287" i="5" s="1"/>
  <c r="BH21" i="5"/>
  <c r="BM21" i="5" s="1"/>
  <c r="BG21" i="5"/>
  <c r="BL21" i="5" s="1"/>
  <c r="BG541" i="5"/>
  <c r="BL541" i="5" s="1"/>
  <c r="BH541" i="5"/>
  <c r="BM541" i="5" s="1"/>
  <c r="BH345" i="5"/>
  <c r="BM345" i="5" s="1"/>
  <c r="BG345" i="5"/>
  <c r="BL345" i="5" s="1"/>
  <c r="BH157" i="5"/>
  <c r="BM157" i="5" s="1"/>
  <c r="BG157" i="5"/>
  <c r="BL157" i="5" s="1"/>
  <c r="BH205" i="5"/>
  <c r="BM205" i="5" s="1"/>
  <c r="BG205" i="5"/>
  <c r="BL205" i="5" s="1"/>
  <c r="BH510" i="5"/>
  <c r="BM510" i="5" s="1"/>
  <c r="BG510" i="5"/>
  <c r="BL510" i="5" s="1"/>
  <c r="BG358" i="5"/>
  <c r="BL358" i="5" s="1"/>
  <c r="BH358" i="5"/>
  <c r="BM358" i="5" s="1"/>
  <c r="BH142" i="5"/>
  <c r="BM142" i="5" s="1"/>
  <c r="BG142" i="5"/>
  <c r="BL142" i="5" s="1"/>
  <c r="BG140" i="5"/>
  <c r="BL140" i="5" s="1"/>
  <c r="BH140" i="5"/>
  <c r="BM140" i="5" s="1"/>
  <c r="BH409" i="5"/>
  <c r="BM409" i="5" s="1"/>
  <c r="BG409" i="5"/>
  <c r="BL409" i="5" s="1"/>
  <c r="BH27" i="5"/>
  <c r="BM27" i="5" s="1"/>
  <c r="BG27" i="5"/>
  <c r="BL27" i="5" s="1"/>
  <c r="BH520" i="5"/>
  <c r="BM520" i="5" s="1"/>
  <c r="BG520" i="5"/>
  <c r="BL520" i="5" s="1"/>
  <c r="BH136" i="5"/>
  <c r="BM136" i="5" s="1"/>
  <c r="BG136" i="5"/>
  <c r="BL136" i="5" s="1"/>
  <c r="BG532" i="5"/>
  <c r="BL532" i="5" s="1"/>
  <c r="BH532" i="5"/>
  <c r="BM532" i="5" s="1"/>
  <c r="BH412" i="5"/>
  <c r="BM412" i="5" s="1"/>
  <c r="BG412" i="5"/>
  <c r="BL412" i="5" s="1"/>
  <c r="BG417" i="5"/>
  <c r="BL417" i="5" s="1"/>
  <c r="BH417" i="5"/>
  <c r="BM417" i="5" s="1"/>
  <c r="BH349" i="5"/>
  <c r="BM349" i="5" s="1"/>
  <c r="BG349" i="5"/>
  <c r="BL349" i="5" s="1"/>
  <c r="BG195" i="5"/>
  <c r="BL195" i="5" s="1"/>
  <c r="BH195" i="5"/>
  <c r="BM195" i="5" s="1"/>
  <c r="BG164" i="5"/>
  <c r="BL164" i="5" s="1"/>
  <c r="BH164" i="5"/>
  <c r="BM164" i="5" s="1"/>
  <c r="BG110" i="5"/>
  <c r="BL110" i="5" s="1"/>
  <c r="BH110" i="5"/>
  <c r="BM110" i="5" s="1"/>
  <c r="BH137" i="5"/>
  <c r="BM137" i="5" s="1"/>
  <c r="BG137" i="5"/>
  <c r="BL137" i="5" s="1"/>
  <c r="BG469" i="5"/>
  <c r="BL469" i="5" s="1"/>
  <c r="BH469" i="5"/>
  <c r="BM469" i="5" s="1"/>
  <c r="BH275" i="5"/>
  <c r="BM275" i="5" s="1"/>
  <c r="BG275" i="5"/>
  <c r="BL275" i="5" s="1"/>
  <c r="BG545" i="5"/>
  <c r="BL545" i="5" s="1"/>
  <c r="BH545" i="5"/>
  <c r="BM545" i="5" s="1"/>
  <c r="BH486" i="5"/>
  <c r="BM486" i="5" s="1"/>
  <c r="BG486" i="5"/>
  <c r="BL486" i="5" s="1"/>
  <c r="BH203" i="5"/>
  <c r="BM203" i="5" s="1"/>
  <c r="BG203" i="5"/>
  <c r="BL203" i="5" s="1"/>
  <c r="BG191" i="5"/>
  <c r="BL191" i="5" s="1"/>
  <c r="BH191" i="5"/>
  <c r="BM191" i="5" s="1"/>
  <c r="BH93" i="5"/>
  <c r="BM93" i="5" s="1"/>
  <c r="BG93" i="5"/>
  <c r="BL93" i="5" s="1"/>
  <c r="BG236" i="5"/>
  <c r="BL236" i="5" s="1"/>
  <c r="BH236" i="5"/>
  <c r="BM236" i="5" s="1"/>
  <c r="BH212" i="5"/>
  <c r="BM212" i="5" s="1"/>
  <c r="BG212" i="5"/>
  <c r="BL212" i="5" s="1"/>
  <c r="BG227" i="5"/>
  <c r="BL227" i="5" s="1"/>
  <c r="BH227" i="5"/>
  <c r="BM227" i="5" s="1"/>
  <c r="BH114" i="5"/>
  <c r="BM114" i="5" s="1"/>
  <c r="BG114" i="5"/>
  <c r="BL114" i="5" s="1"/>
  <c r="BG511" i="5"/>
  <c r="BL511" i="5" s="1"/>
  <c r="BH511" i="5"/>
  <c r="BM511" i="5" s="1"/>
  <c r="BH204" i="5"/>
  <c r="BM204" i="5" s="1"/>
  <c r="BG204" i="5"/>
  <c r="BL204" i="5" s="1"/>
  <c r="BG555" i="5"/>
  <c r="BL555" i="5" s="1"/>
  <c r="BH555" i="5"/>
  <c r="BM555" i="5" s="1"/>
  <c r="BH61" i="5"/>
  <c r="BM61" i="5" s="1"/>
  <c r="BG61" i="5"/>
  <c r="BL61" i="5" s="1"/>
  <c r="BH465" i="5"/>
  <c r="BM465" i="5" s="1"/>
  <c r="BG465" i="5"/>
  <c r="BL465" i="5" s="1"/>
  <c r="BH90" i="5"/>
  <c r="BM90" i="5" s="1"/>
  <c r="BG90" i="5"/>
  <c r="BL90" i="5" s="1"/>
  <c r="BG9" i="5"/>
  <c r="BL9" i="5" s="1"/>
  <c r="BH9" i="5"/>
  <c r="BM9" i="5" s="1"/>
  <c r="BG375" i="5"/>
  <c r="BL375" i="5" s="1"/>
  <c r="BH375" i="5"/>
  <c r="BM375" i="5" s="1"/>
  <c r="BG338" i="5"/>
  <c r="BL338" i="5" s="1"/>
  <c r="BH338" i="5"/>
  <c r="BM338" i="5" s="1"/>
  <c r="BG80" i="5"/>
  <c r="BL80" i="5" s="1"/>
  <c r="BH80" i="5"/>
  <c r="BM80" i="5" s="1"/>
  <c r="BH380" i="5"/>
  <c r="BM380" i="5" s="1"/>
  <c r="BG380" i="5"/>
  <c r="BL380" i="5" s="1"/>
  <c r="BG113" i="5"/>
  <c r="BL113" i="5" s="1"/>
  <c r="BH113" i="5"/>
  <c r="BM113" i="5" s="1"/>
  <c r="BH62" i="5"/>
  <c r="BM62" i="5" s="1"/>
  <c r="BG62" i="5"/>
  <c r="BL62" i="5" s="1"/>
  <c r="BG405" i="5"/>
  <c r="BL405" i="5" s="1"/>
  <c r="BH405" i="5"/>
  <c r="BM405" i="5" s="1"/>
  <c r="BH46" i="5"/>
  <c r="BM46" i="5" s="1"/>
  <c r="BG46" i="5"/>
  <c r="BL46" i="5" s="1"/>
  <c r="BG304" i="5"/>
  <c r="BL304" i="5" s="1"/>
  <c r="BH304" i="5"/>
  <c r="BM304" i="5" s="1"/>
  <c r="BG355" i="5"/>
  <c r="BL355" i="5" s="1"/>
  <c r="BH355" i="5"/>
  <c r="BM355" i="5" s="1"/>
  <c r="BG215" i="5"/>
  <c r="BL215" i="5" s="1"/>
  <c r="BH215" i="5"/>
  <c r="BM215" i="5" s="1"/>
  <c r="BH347" i="5"/>
  <c r="BM347" i="5" s="1"/>
  <c r="BG347" i="5"/>
  <c r="BL347" i="5" s="1"/>
  <c r="BG154" i="5"/>
  <c r="BL154" i="5" s="1"/>
  <c r="BH154" i="5"/>
  <c r="BM154" i="5" s="1"/>
  <c r="BG389" i="5"/>
  <c r="BL389" i="5" s="1"/>
  <c r="BH389" i="5"/>
  <c r="BM389" i="5" s="1"/>
  <c r="BH335" i="5"/>
  <c r="BM335" i="5" s="1"/>
  <c r="BG335" i="5"/>
  <c r="BL335" i="5" s="1"/>
  <c r="BH399" i="5"/>
  <c r="BM399" i="5" s="1"/>
  <c r="BG399" i="5"/>
  <c r="BL399" i="5" s="1"/>
  <c r="BH74" i="5"/>
  <c r="BM74" i="5" s="1"/>
  <c r="BG74" i="5"/>
  <c r="BL74" i="5" s="1"/>
  <c r="BG153" i="5"/>
  <c r="BL153" i="5" s="1"/>
  <c r="BH153" i="5"/>
  <c r="BM153" i="5" s="1"/>
  <c r="BH193" i="5"/>
  <c r="BM193" i="5" s="1"/>
  <c r="BG193" i="5"/>
  <c r="BL193" i="5" s="1"/>
  <c r="BG57" i="5"/>
  <c r="BL57" i="5" s="1"/>
  <c r="BH57" i="5"/>
  <c r="BM57" i="5" s="1"/>
  <c r="BG264" i="5"/>
  <c r="BL264" i="5" s="1"/>
  <c r="BH264" i="5"/>
  <c r="BM264" i="5" s="1"/>
  <c r="BG314" i="5"/>
  <c r="BL314" i="5" s="1"/>
  <c r="BH314" i="5"/>
  <c r="BM314" i="5" s="1"/>
  <c r="BH453" i="5"/>
  <c r="BM453" i="5" s="1"/>
  <c r="BG453" i="5"/>
  <c r="BL453" i="5" s="1"/>
  <c r="BG424" i="5"/>
  <c r="BL424" i="5" s="1"/>
  <c r="BH424" i="5"/>
  <c r="BM424" i="5" s="1"/>
  <c r="BH187" i="5"/>
  <c r="BM187" i="5" s="1"/>
  <c r="BG187" i="5"/>
  <c r="BL187" i="5" s="1"/>
  <c r="BH501" i="5"/>
  <c r="BM501" i="5" s="1"/>
  <c r="BG501" i="5"/>
  <c r="BL501" i="5" s="1"/>
  <c r="BH247" i="5"/>
  <c r="BM247" i="5" s="1"/>
  <c r="BG247" i="5"/>
  <c r="BL247" i="5" s="1"/>
  <c r="BG201" i="5"/>
  <c r="BL201" i="5" s="1"/>
  <c r="BH201" i="5"/>
  <c r="BM201" i="5" s="1"/>
  <c r="BH178" i="5"/>
  <c r="BM178" i="5" s="1"/>
  <c r="BG178" i="5"/>
  <c r="BL178" i="5" s="1"/>
  <c r="BH79" i="5"/>
  <c r="BM79" i="5" s="1"/>
  <c r="BG79" i="5"/>
  <c r="BL79" i="5" s="1"/>
  <c r="BG36" i="5"/>
  <c r="BL36" i="5" s="1"/>
  <c r="BH36" i="5"/>
  <c r="BM36" i="5" s="1"/>
  <c r="BH362" i="5"/>
  <c r="BM362" i="5" s="1"/>
  <c r="BG362" i="5"/>
  <c r="BL362" i="5" s="1"/>
  <c r="BG445" i="5"/>
  <c r="BL445" i="5" s="1"/>
  <c r="BH445" i="5"/>
  <c r="BM445" i="5" s="1"/>
  <c r="BG326" i="5"/>
  <c r="BL326" i="5" s="1"/>
  <c r="BH326" i="5"/>
  <c r="BM326" i="5" s="1"/>
  <c r="BG455" i="5"/>
  <c r="BL455" i="5" s="1"/>
  <c r="BH455" i="5"/>
  <c r="BM455" i="5" s="1"/>
  <c r="BH111" i="5"/>
  <c r="BM111" i="5" s="1"/>
  <c r="BG111" i="5"/>
  <c r="BL111" i="5" s="1"/>
  <c r="BH273" i="5"/>
  <c r="BM273" i="5" s="1"/>
  <c r="BG273" i="5"/>
  <c r="BL273" i="5" s="1"/>
  <c r="BG165" i="5"/>
  <c r="BL165" i="5" s="1"/>
  <c r="BH165" i="5"/>
  <c r="BM165" i="5" s="1"/>
  <c r="BH148" i="5"/>
  <c r="BM148" i="5" s="1"/>
  <c r="BG148" i="5"/>
  <c r="BL148" i="5" s="1"/>
  <c r="BG175" i="5"/>
  <c r="BL175" i="5" s="1"/>
  <c r="BH175" i="5"/>
  <c r="BM175" i="5" s="1"/>
  <c r="BH416" i="5"/>
  <c r="BM416" i="5" s="1"/>
  <c r="BG416" i="5"/>
  <c r="BL416" i="5" s="1"/>
  <c r="BH319" i="5"/>
  <c r="BM319" i="5" s="1"/>
  <c r="BG319" i="5"/>
  <c r="BL319" i="5" s="1"/>
  <c r="BH462" i="5"/>
  <c r="BM462" i="5" s="1"/>
  <c r="BG462" i="5"/>
  <c r="BL462" i="5" s="1"/>
  <c r="BG468" i="5"/>
  <c r="BL468" i="5" s="1"/>
  <c r="BH468" i="5"/>
  <c r="BM468" i="5" s="1"/>
  <c r="BH315" i="5"/>
  <c r="BM315" i="5" s="1"/>
  <c r="BG315" i="5"/>
  <c r="BL315" i="5" s="1"/>
  <c r="BG367" i="5"/>
  <c r="BL367" i="5" s="1"/>
  <c r="BH367" i="5"/>
  <c r="BM367" i="5" s="1"/>
  <c r="BH138" i="5"/>
  <c r="BM138" i="5" s="1"/>
  <c r="BG138" i="5"/>
  <c r="BL138" i="5" s="1"/>
  <c r="BG266" i="5"/>
  <c r="BL266" i="5" s="1"/>
  <c r="BH266" i="5"/>
  <c r="BM266" i="5" s="1"/>
  <c r="BG535" i="5"/>
  <c r="BL535" i="5" s="1"/>
  <c r="BH535" i="5"/>
  <c r="BM535" i="5" s="1"/>
  <c r="BH277" i="5"/>
  <c r="BM277" i="5" s="1"/>
  <c r="BG277" i="5"/>
  <c r="BL277" i="5" s="1"/>
  <c r="BG542" i="5"/>
  <c r="BL542" i="5" s="1"/>
  <c r="BH542" i="5"/>
  <c r="BM542" i="5" s="1"/>
  <c r="BH28" i="5"/>
  <c r="BM28" i="5" s="1"/>
  <c r="BG28" i="5"/>
  <c r="BL28" i="5" s="1"/>
  <c r="BG454" i="5"/>
  <c r="BL454" i="5" s="1"/>
  <c r="BH454" i="5"/>
  <c r="BM454" i="5" s="1"/>
  <c r="BG336" i="5"/>
  <c r="BL336" i="5" s="1"/>
  <c r="BH336" i="5"/>
  <c r="BM336" i="5" s="1"/>
  <c r="BG152" i="5"/>
  <c r="BL152" i="5" s="1"/>
  <c r="BH152" i="5"/>
  <c r="BM152" i="5" s="1"/>
  <c r="BH143" i="5"/>
  <c r="BM143" i="5" s="1"/>
  <c r="BG143" i="5"/>
  <c r="BL143" i="5" s="1"/>
  <c r="BG497" i="5"/>
  <c r="BL497" i="5" s="1"/>
  <c r="BH497" i="5"/>
  <c r="BM497" i="5" s="1"/>
  <c r="BG130" i="5"/>
  <c r="BL130" i="5" s="1"/>
  <c r="BH130" i="5"/>
  <c r="BM130" i="5" s="1"/>
  <c r="BG100" i="5"/>
  <c r="BL100" i="5" s="1"/>
  <c r="BH100" i="5"/>
  <c r="BM100" i="5" s="1"/>
  <c r="BG68" i="5"/>
  <c r="BL68" i="5" s="1"/>
  <c r="BH68" i="5"/>
  <c r="BM68" i="5" s="1"/>
  <c r="BG271" i="5"/>
  <c r="BL271" i="5" s="1"/>
  <c r="BH271" i="5"/>
  <c r="BM271" i="5" s="1"/>
  <c r="BG487" i="5"/>
  <c r="BL487" i="5" s="1"/>
  <c r="BH487" i="5"/>
  <c r="BM487" i="5" s="1"/>
  <c r="BG381" i="5"/>
  <c r="BL381" i="5" s="1"/>
  <c r="BH381" i="5"/>
  <c r="BM381" i="5" s="1"/>
  <c r="BG29" i="5"/>
  <c r="BL29" i="5" s="1"/>
  <c r="BH29" i="5"/>
  <c r="BM29" i="5" s="1"/>
  <c r="BH32" i="5"/>
  <c r="BM32" i="5" s="1"/>
  <c r="BG32" i="5"/>
  <c r="BL32" i="5" s="1"/>
  <c r="BH293" i="5"/>
  <c r="BM293" i="5" s="1"/>
  <c r="BG293" i="5"/>
  <c r="BL293" i="5" s="1"/>
  <c r="BG73" i="5"/>
  <c r="BL73" i="5" s="1"/>
  <c r="BH73" i="5"/>
  <c r="BM73" i="5" s="1"/>
  <c r="BG515" i="5"/>
  <c r="BL515" i="5" s="1"/>
  <c r="BH515" i="5"/>
  <c r="BM515" i="5" s="1"/>
  <c r="BG485" i="5"/>
  <c r="BL485" i="5" s="1"/>
  <c r="BH485" i="5"/>
  <c r="BM485" i="5" s="1"/>
  <c r="BH81" i="5"/>
  <c r="BM81" i="5" s="1"/>
  <c r="BG81" i="5"/>
  <c r="BL81" i="5" s="1"/>
  <c r="BH330" i="5"/>
  <c r="BM330" i="5" s="1"/>
  <c r="BG330" i="5"/>
  <c r="BL330" i="5" s="1"/>
  <c r="BH147" i="5"/>
  <c r="BM147" i="5" s="1"/>
  <c r="BG147" i="5"/>
  <c r="BL147" i="5" s="1"/>
  <c r="BG400" i="5"/>
  <c r="BL400" i="5" s="1"/>
  <c r="BH400" i="5"/>
  <c r="BM400" i="5" s="1"/>
  <c r="BG502" i="5"/>
  <c r="BL502" i="5" s="1"/>
  <c r="BH502" i="5"/>
  <c r="BM502" i="5" s="1"/>
  <c r="BH107" i="5"/>
  <c r="BM107" i="5" s="1"/>
  <c r="BG107" i="5"/>
  <c r="BL107" i="5" s="1"/>
  <c r="BH360" i="5"/>
  <c r="BM360" i="5" s="1"/>
  <c r="BG360" i="5"/>
  <c r="BL360" i="5" s="1"/>
  <c r="BH521" i="5"/>
  <c r="BM521" i="5" s="1"/>
  <c r="BG521" i="5"/>
  <c r="BL521" i="5" s="1"/>
  <c r="BH115" i="5"/>
  <c r="BM115" i="5" s="1"/>
  <c r="BG115" i="5"/>
  <c r="BL115" i="5" s="1"/>
  <c r="BG77" i="5"/>
  <c r="BL77" i="5" s="1"/>
  <c r="BH77" i="5"/>
  <c r="BM77" i="5" s="1"/>
  <c r="BG364" i="5"/>
  <c r="BL364" i="5" s="1"/>
  <c r="BH364" i="5"/>
  <c r="BM364" i="5" s="1"/>
  <c r="BG60" i="5"/>
  <c r="BL60" i="5" s="1"/>
  <c r="BH60" i="5"/>
  <c r="BM60" i="5" s="1"/>
  <c r="BG200" i="5"/>
  <c r="BL200" i="5" s="1"/>
  <c r="BH200" i="5"/>
  <c r="BM200" i="5" s="1"/>
  <c r="BG163" i="5"/>
  <c r="BL163" i="5" s="1"/>
  <c r="BH163" i="5"/>
  <c r="BM163" i="5" s="1"/>
  <c r="BG491" i="5"/>
  <c r="BL491" i="5" s="1"/>
  <c r="BH491" i="5"/>
  <c r="BM491" i="5" s="1"/>
  <c r="BH426" i="5"/>
  <c r="BM426" i="5" s="1"/>
  <c r="BG426" i="5"/>
  <c r="BL426" i="5" s="1"/>
  <c r="BH290" i="5"/>
  <c r="BM290" i="5" s="1"/>
  <c r="BG290" i="5"/>
  <c r="BL290" i="5" s="1"/>
  <c r="BG243" i="5"/>
  <c r="BL243" i="5" s="1"/>
  <c r="BH243" i="5"/>
  <c r="BM243" i="5" s="1"/>
  <c r="BH88" i="5"/>
  <c r="BM88" i="5" s="1"/>
  <c r="BG88" i="5"/>
  <c r="BL88" i="5" s="1"/>
  <c r="BH431" i="5"/>
  <c r="BM431" i="5" s="1"/>
  <c r="BG431" i="5"/>
  <c r="BL431" i="5" s="1"/>
  <c r="BG44" i="5"/>
  <c r="BL44" i="5" s="1"/>
  <c r="BH44" i="5"/>
  <c r="BM44" i="5" s="1"/>
  <c r="BH117" i="5"/>
  <c r="BM117" i="5" s="1"/>
  <c r="BG117" i="5"/>
  <c r="BL117" i="5" s="1"/>
  <c r="BG428" i="5"/>
  <c r="BL428" i="5" s="1"/>
  <c r="BH428" i="5"/>
  <c r="BM428" i="5" s="1"/>
  <c r="BG547" i="5"/>
  <c r="BL547" i="5" s="1"/>
  <c r="BH547" i="5"/>
  <c r="BM547" i="5" s="1"/>
  <c r="BH53" i="5"/>
  <c r="BM53" i="5" s="1"/>
  <c r="BG53" i="5"/>
  <c r="BL53" i="5" s="1"/>
  <c r="BG512" i="5"/>
  <c r="BL512" i="5" s="1"/>
  <c r="BH512" i="5"/>
  <c r="BM512" i="5" s="1"/>
  <c r="BF11" i="5"/>
  <c r="BG150" i="5"/>
  <c r="BL150" i="5" s="1"/>
  <c r="BH150" i="5"/>
  <c r="BM150" i="5" s="1"/>
  <c r="BG549" i="5"/>
  <c r="BL549" i="5" s="1"/>
  <c r="BH549" i="5"/>
  <c r="BM549" i="5" s="1"/>
  <c r="BH372" i="5"/>
  <c r="BM372" i="5" s="1"/>
  <c r="BG372" i="5"/>
  <c r="BL372" i="5" s="1"/>
  <c r="BH503" i="5"/>
  <c r="BM503" i="5" s="1"/>
  <c r="BG503" i="5"/>
  <c r="BL503" i="5" s="1"/>
  <c r="BG106" i="5"/>
  <c r="BL106" i="5" s="1"/>
  <c r="BH106" i="5"/>
  <c r="BM106" i="5" s="1"/>
  <c r="BG308" i="5"/>
  <c r="BL308" i="5" s="1"/>
  <c r="BH308" i="5"/>
  <c r="BM308" i="5" s="1"/>
  <c r="BG208" i="5"/>
  <c r="BL208" i="5" s="1"/>
  <c r="BH208" i="5"/>
  <c r="BM208" i="5" s="1"/>
  <c r="BG139" i="5"/>
  <c r="BL139" i="5" s="1"/>
  <c r="BH139" i="5"/>
  <c r="BM139" i="5" s="1"/>
  <c r="BG519" i="5"/>
  <c r="BL519" i="5" s="1"/>
  <c r="BH519" i="5"/>
  <c r="BM519" i="5" s="1"/>
  <c r="BG122" i="5"/>
  <c r="BL122" i="5" s="1"/>
  <c r="BH122" i="5"/>
  <c r="BM122" i="5" s="1"/>
  <c r="BG134" i="5"/>
  <c r="BL134" i="5" s="1"/>
  <c r="BH134" i="5"/>
  <c r="BM134" i="5" s="1"/>
  <c r="BH513" i="5"/>
  <c r="BM513" i="5" s="1"/>
  <c r="BG513" i="5"/>
  <c r="BL513" i="5" s="1"/>
  <c r="BG265" i="5"/>
  <c r="BL265" i="5" s="1"/>
  <c r="BH265" i="5"/>
  <c r="BM265" i="5" s="1"/>
  <c r="BH45" i="5"/>
  <c r="BM45" i="5" s="1"/>
  <c r="BG45" i="5"/>
  <c r="BL45" i="5" s="1"/>
  <c r="BG141" i="5"/>
  <c r="BL141" i="5" s="1"/>
  <c r="BH141" i="5"/>
  <c r="BM141" i="5" s="1"/>
  <c r="BH260" i="5"/>
  <c r="BM260" i="5" s="1"/>
  <c r="BG260" i="5"/>
  <c r="BL260" i="5" s="1"/>
  <c r="BH459" i="5"/>
  <c r="BM459" i="5" s="1"/>
  <c r="BG459" i="5"/>
  <c r="BL459" i="5" s="1"/>
  <c r="BG50" i="5"/>
  <c r="BL50" i="5" s="1"/>
  <c r="BH50" i="5"/>
  <c r="BM50" i="5" s="1"/>
  <c r="BG261" i="5"/>
  <c r="BL261" i="5" s="1"/>
  <c r="BH261" i="5"/>
  <c r="BM261" i="5" s="1"/>
  <c r="BH206" i="5"/>
  <c r="BM206" i="5" s="1"/>
  <c r="BG206" i="5"/>
  <c r="BL206" i="5" s="1"/>
  <c r="BH368" i="5"/>
  <c r="BM368" i="5" s="1"/>
  <c r="BG368" i="5"/>
  <c r="BL368" i="5" s="1"/>
  <c r="BH478" i="5"/>
  <c r="BM478" i="5" s="1"/>
  <c r="BG478" i="5"/>
  <c r="BL478" i="5" s="1"/>
  <c r="BH385" i="5"/>
  <c r="BM385" i="5" s="1"/>
  <c r="BG385" i="5"/>
  <c r="BL385" i="5" s="1"/>
  <c r="BG391" i="5"/>
  <c r="BL391" i="5" s="1"/>
  <c r="BH391" i="5"/>
  <c r="BM391" i="5" s="1"/>
  <c r="BG384" i="5"/>
  <c r="BL384" i="5" s="1"/>
  <c r="BH384" i="5"/>
  <c r="BM384" i="5" s="1"/>
  <c r="BG69" i="5"/>
  <c r="BL69" i="5" s="1"/>
  <c r="BH69" i="5"/>
  <c r="BM69" i="5" s="1"/>
  <c r="BK11" i="5" l="1"/>
  <c r="BJ11" i="5"/>
  <c r="BG11" i="5"/>
  <c r="BL11" i="5" s="1"/>
  <c r="BH11" i="5"/>
  <c r="BM11" i="5"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BMC-BCS</author>
  </authors>
  <commentList>
    <comment ref="A3" authorId="0" shapeId="0" xr:uid="{00000000-0006-0000-0000-000001000000}">
      <text>
        <r>
          <rPr>
            <b/>
            <sz val="11"/>
            <color indexed="10"/>
            <rFont val="Tahoma"/>
            <family val="2"/>
          </rPr>
          <t>Welcome to the LM5127 Design Tool</t>
        </r>
        <r>
          <rPr>
            <sz val="9"/>
            <color indexed="81"/>
            <rFont val="Tahoma"/>
            <family val="2"/>
          </rPr>
          <t xml:space="preserve">
This stand-alone tool facilitates and assists the power supply engineer with design of a DC-DC boost converter based on the LM5127 boost controller. As such, the user can expeditiously arrive at an optimized design by virtue of the following:
- Select components
- Optimize compensation values and pole/zero placement in terms of control loop stability using crossover frquency as a performance metric
- Inspect regulator efficiency and component power dissipation
- Analyze efficiency based on selected MOSFET, inductor and diode parameters
IMPORTANT: You must enable macros if Microsoft Excel asks as the file is being opened. U.S. English notation is used throughout. Make sure to input or select values in all of the yellow shaded cells even if a value already exists in that cell. Do not over write equations in cells, as this may result in calculation errors.
</t>
        </r>
      </text>
    </comment>
    <comment ref="O3" authorId="0" shapeId="0" xr:uid="{00000000-0006-0000-0000-000002000000}">
      <text>
        <r>
          <rPr>
            <sz val="9"/>
            <color indexed="81"/>
            <rFont val="Tahoma"/>
            <family val="2"/>
          </rPr>
          <t xml:space="preserve">
</t>
        </r>
        <r>
          <rPr>
            <sz val="12"/>
            <color indexed="10"/>
            <rFont val="Tahoma"/>
            <family val="2"/>
          </rPr>
          <t>Texas Instruments:</t>
        </r>
        <r>
          <rPr>
            <sz val="9"/>
            <color indexed="81"/>
            <rFont val="Tahoma"/>
            <family val="2"/>
          </rPr>
          <t xml:space="preserve">
Limited Use Policy
You must treat this software and documentation like any other copyrighted material.
You may not:
- Copy documentation of the software
- Copy this software except to make archival or backup copies
- Reverse engineer, disassemble, decompile or make any attempt to discover the source code of the Software 
- Place the software onto a server so that it is accessible via a public network such as the internet 
- Sublicense, rent, lease or lend any portion of the software or documentation.
Texas Instruments is not responsible for the validity of any design created with this software and urges all designs to be fully tested and carefully verified. 
The most recent version of this excel file can be found in the product folder of the part at TI.com. To activate all functions, Macro should be enabled and 'Analysis Toolpak' should be added in. 
</t>
        </r>
      </text>
    </comment>
    <comment ref="H12" authorId="0" shapeId="0" xr:uid="{00000000-0006-0000-0000-000003000000}">
      <text>
        <r>
          <rPr>
            <b/>
            <sz val="9"/>
            <color indexed="81"/>
            <rFont val="Tahoma"/>
            <family val="2"/>
          </rPr>
          <t xml:space="preserve">Light Load Switching Mode Selection:
</t>
        </r>
        <r>
          <rPr>
            <sz val="9"/>
            <color indexed="81"/>
            <rFont val="Tahoma"/>
            <family val="2"/>
          </rPr>
          <t>FPWM --&gt; MODE pin connected to VCC.
SKIP --&gt; MODE pin floating.
DEM --&gt; MODE pin connect to GND.
See the datasheet for more details on each mode.</t>
        </r>
      </text>
    </comment>
    <comment ref="H20" authorId="0" shapeId="0" xr:uid="{00000000-0006-0000-0000-000004000000}">
      <text>
        <r>
          <rPr>
            <b/>
            <sz val="9"/>
            <color indexed="81"/>
            <rFont val="Tahoma"/>
            <family val="2"/>
          </rPr>
          <t xml:space="preserve">If this cell shows:
CCM: </t>
        </r>
        <r>
          <rPr>
            <sz val="9"/>
            <color indexed="81"/>
            <rFont val="Tahoma"/>
            <family val="2"/>
          </rPr>
          <t>The step up ratio from the minimum supply voltage to the load voltage can be achieved without exceeding the maximum duty cycle. Continous conduction mode is possilbe at the minimum supply voltage.</t>
        </r>
        <r>
          <rPr>
            <b/>
            <sz val="9"/>
            <color indexed="81"/>
            <rFont val="Tahoma"/>
            <family val="2"/>
          </rPr>
          <t xml:space="preserve">
DCM: </t>
        </r>
        <r>
          <rPr>
            <sz val="9"/>
            <color indexed="81"/>
            <rFont val="Tahoma"/>
            <family val="2"/>
          </rPr>
          <t>Discontinous conduction mode at the minimum supply voltage must be used as the duty cycle exceeds the maximum of the IC. This will result in higher peak inductor currents and lower efficiency. If this occurs, it is possible to decrease the switching frequency to increase the maximum duty cycle.</t>
        </r>
      </text>
    </comment>
    <comment ref="H57" authorId="0" shapeId="0" xr:uid="{00000000-0006-0000-0000-000005000000}">
      <text>
        <r>
          <rPr>
            <b/>
            <sz val="9"/>
            <color indexed="81"/>
            <rFont val="Tahoma"/>
            <family val="2"/>
          </rPr>
          <t xml:space="preserve">TRK Pin Voltage:
</t>
        </r>
        <r>
          <rPr>
            <sz val="9"/>
            <color indexed="81"/>
            <rFont val="Tahoma"/>
            <family val="2"/>
          </rPr>
          <t xml:space="preserve">
This is the voltage seen at the TRK pin when regulation to the load voltage. The TRK pin can be driven from an external voltage source or it can be supplied through a resistor divider from the REF pin. 
</t>
        </r>
      </text>
    </comment>
    <comment ref="H60" authorId="0" shapeId="0" xr:uid="{00000000-0006-0000-0000-000006000000}">
      <text>
        <r>
          <rPr>
            <b/>
            <sz val="9"/>
            <color indexed="81"/>
            <rFont val="Tahoma"/>
            <family val="2"/>
          </rPr>
          <t xml:space="preserve">RVREFT selection
</t>
        </r>
        <r>
          <rPr>
            <sz val="9"/>
            <color indexed="81"/>
            <rFont val="Tahoma"/>
            <family val="2"/>
          </rPr>
          <t xml:space="preserve">Select the a resistor value between RVREFT_min and VREFT_max. This will set the LM5123 to be in the correct output voltage range for the application.
</t>
        </r>
      </text>
    </comment>
    <comment ref="H62" authorId="0" shapeId="0" xr:uid="{00000000-0006-0000-0000-000007000000}">
      <text>
        <r>
          <rPr>
            <b/>
            <sz val="9"/>
            <color indexed="81"/>
            <rFont val="Tahoma"/>
            <family val="2"/>
          </rPr>
          <t xml:space="preserve">RVREFB Selection
</t>
        </r>
        <r>
          <rPr>
            <sz val="9"/>
            <color indexed="81"/>
            <rFont val="Tahoma"/>
            <family val="2"/>
          </rPr>
          <t xml:space="preserve">This value should be the same value as the VREFB_calc value. This sets the load voltage of the boost controler 
</t>
        </r>
      </text>
    </comment>
    <comment ref="H65" authorId="0" shapeId="0" xr:uid="{00000000-0006-0000-0000-000008000000}">
      <text>
        <r>
          <rPr>
            <b/>
            <sz val="9"/>
            <color indexed="81"/>
            <rFont val="Tahoma"/>
            <family val="2"/>
          </rPr>
          <t>Control Loop Bandwidth</t>
        </r>
        <r>
          <rPr>
            <sz val="9"/>
            <color indexed="81"/>
            <rFont val="Tahoma"/>
            <family val="2"/>
          </rPr>
          <t xml:space="preserve">
This sets the bandwidth of the control loop. In a boost controler the RHP zero of the plant transfer function limits the maximum value of the control loop bandwidth. It is recommended to not exceed 1/5th the RHP zero frequency. The FCO_calc value calculates the 1/5th the RHP zero frequency. It is recommend to not exceed the FCO_calc value.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BMC-BCS</author>
  </authors>
  <commentList>
    <comment ref="K93" authorId="0" shapeId="0" xr:uid="{00000000-0006-0000-0100-000001000000}">
      <text>
        <r>
          <rPr>
            <b/>
            <sz val="9"/>
            <color indexed="81"/>
            <rFont val="Tahoma"/>
            <family val="2"/>
          </rPr>
          <t xml:space="preserve">Slope Compensation flag. If this flag is tripped there is not enough slope compensation. Double check the calculated values. 
</t>
        </r>
        <r>
          <rPr>
            <sz val="9"/>
            <color indexed="81"/>
            <rFont val="Tahoma"/>
            <family val="2"/>
          </rPr>
          <t xml:space="preserve">
</t>
        </r>
      </text>
    </comment>
    <comment ref="K94" authorId="0" shapeId="0" xr:uid="{00000000-0006-0000-0100-000002000000}">
      <text>
        <r>
          <rPr>
            <sz val="9"/>
            <color indexed="81"/>
            <rFont val="Tahoma"/>
            <family val="2"/>
          </rPr>
          <t xml:space="preserve">Tripped if the current sense resistor results in a lower current limit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BMC-BCS</author>
  </authors>
  <commentList>
    <comment ref="V6" authorId="0" shapeId="0" xr:uid="{00000000-0006-0000-0200-000001000000}">
      <text>
        <r>
          <rPr>
            <b/>
            <sz val="9"/>
            <color indexed="81"/>
            <rFont val="Tahoma"/>
            <family val="2"/>
          </rPr>
          <t xml:space="preserve">1 = DCM operation
2 = CCM operation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BMC-BCS</author>
  </authors>
  <commentList>
    <comment ref="O18" authorId="0" shapeId="0" xr:uid="{00000000-0006-0000-0300-000001000000}">
      <text>
        <r>
          <rPr>
            <b/>
            <sz val="9"/>
            <color indexed="81"/>
            <rFont val="Tahoma"/>
            <family val="2"/>
          </rPr>
          <t>BMC-BCS:</t>
        </r>
        <r>
          <rPr>
            <sz val="9"/>
            <color indexed="81"/>
            <rFont val="Tahoma"/>
            <family val="2"/>
          </rPr>
          <t xml:space="preserve">
Need to make this log not linear at some point
</t>
        </r>
      </text>
    </comment>
  </commentList>
</comments>
</file>

<file path=xl/sharedStrings.xml><?xml version="1.0" encoding="utf-8"?>
<sst xmlns="http://schemas.openxmlformats.org/spreadsheetml/2006/main" count="1065" uniqueCount="610">
  <si>
    <t>TERMS OF USE</t>
  </si>
  <si>
    <t>ABOUT</t>
  </si>
  <si>
    <t>=Input Box</t>
  </si>
  <si>
    <t>Step 1: Design Specifications</t>
  </si>
  <si>
    <r>
      <t>Minimum Input Supply Voltage , V</t>
    </r>
    <r>
      <rPr>
        <vertAlign val="subscript"/>
        <sz val="10"/>
        <color theme="1"/>
        <rFont val="Calibri"/>
        <family val="2"/>
        <scheme val="minor"/>
      </rPr>
      <t>SUPPLY(min)</t>
    </r>
    <r>
      <rPr>
        <sz val="10"/>
        <color theme="1"/>
        <rFont val="Calibri"/>
        <family val="2"/>
        <scheme val="minor"/>
      </rPr>
      <t xml:space="preserve"> </t>
    </r>
  </si>
  <si>
    <r>
      <t>Typical Input Supply Voltage, V</t>
    </r>
    <r>
      <rPr>
        <vertAlign val="subscript"/>
        <sz val="10"/>
        <color theme="1"/>
        <rFont val="Calibri"/>
        <family val="2"/>
        <scheme val="minor"/>
      </rPr>
      <t>SUPPLY(typ)</t>
    </r>
    <r>
      <rPr>
        <sz val="10"/>
        <color theme="1"/>
        <rFont val="Calibri"/>
        <family val="2"/>
        <scheme val="minor"/>
      </rPr>
      <t xml:space="preserve"> </t>
    </r>
  </si>
  <si>
    <r>
      <t>Maximum Input Supply Voltage , V</t>
    </r>
    <r>
      <rPr>
        <vertAlign val="subscript"/>
        <sz val="10"/>
        <color theme="1"/>
        <rFont val="Calibri"/>
        <family val="2"/>
        <scheme val="minor"/>
      </rPr>
      <t>SUPPLY(max)</t>
    </r>
    <r>
      <rPr>
        <sz val="10"/>
        <color theme="1"/>
        <rFont val="Calibri"/>
        <family val="2"/>
        <scheme val="minor"/>
      </rPr>
      <t xml:space="preserve"> </t>
    </r>
  </si>
  <si>
    <r>
      <t>Output Target Voltage, V</t>
    </r>
    <r>
      <rPr>
        <vertAlign val="subscript"/>
        <sz val="10"/>
        <color theme="1"/>
        <rFont val="Calibri"/>
        <family val="2"/>
        <scheme val="minor"/>
      </rPr>
      <t>LOAD</t>
    </r>
    <r>
      <rPr>
        <sz val="10"/>
        <color theme="1"/>
        <rFont val="Calibri"/>
        <family val="2"/>
        <scheme val="minor"/>
      </rPr>
      <t xml:space="preserve"> </t>
    </r>
  </si>
  <si>
    <r>
      <t>Maximum Output Current , I</t>
    </r>
    <r>
      <rPr>
        <vertAlign val="subscript"/>
        <sz val="10"/>
        <color theme="1"/>
        <rFont val="Calibri"/>
        <family val="2"/>
        <scheme val="minor"/>
      </rPr>
      <t>LOAD</t>
    </r>
    <r>
      <rPr>
        <sz val="10"/>
        <color theme="1"/>
        <rFont val="Calibri"/>
        <family val="2"/>
        <scheme val="minor"/>
      </rPr>
      <t xml:space="preserve"> </t>
    </r>
  </si>
  <si>
    <r>
      <t>Free Running Switching Frequency, F</t>
    </r>
    <r>
      <rPr>
        <vertAlign val="subscript"/>
        <sz val="10"/>
        <color theme="1"/>
        <rFont val="Calibri"/>
        <family val="2"/>
        <scheme val="minor"/>
      </rPr>
      <t>SW</t>
    </r>
  </si>
  <si>
    <t>V</t>
  </si>
  <si>
    <t>A</t>
  </si>
  <si>
    <t>kHz</t>
  </si>
  <si>
    <t>%</t>
  </si>
  <si>
    <r>
      <t>Output Power, P</t>
    </r>
    <r>
      <rPr>
        <vertAlign val="subscript"/>
        <sz val="10"/>
        <color theme="1"/>
        <rFont val="Calibri"/>
        <family val="2"/>
        <scheme val="minor"/>
      </rPr>
      <t>OUT</t>
    </r>
    <r>
      <rPr>
        <sz val="10"/>
        <color theme="1"/>
        <rFont val="Calibri"/>
        <family val="2"/>
        <scheme val="minor"/>
      </rPr>
      <t xml:space="preserve"> </t>
    </r>
  </si>
  <si>
    <t>EXCEL Variables Names/Calculations</t>
  </si>
  <si>
    <t>Input from user =</t>
  </si>
  <si>
    <t>Output =</t>
  </si>
  <si>
    <t>Constant</t>
  </si>
  <si>
    <t>Variable Name</t>
  </si>
  <si>
    <t>Value</t>
  </si>
  <si>
    <t>STD Units</t>
  </si>
  <si>
    <t>Notes</t>
  </si>
  <si>
    <t>Iteration</t>
  </si>
  <si>
    <t>Step 1: Operational Specs</t>
  </si>
  <si>
    <t>VIN_min</t>
  </si>
  <si>
    <t>VIN_nom</t>
  </si>
  <si>
    <t>VIN_max</t>
  </si>
  <si>
    <t>Minimum input voltage</t>
  </si>
  <si>
    <t>Nominal input voltage</t>
  </si>
  <si>
    <t>Maximum input voltage</t>
  </si>
  <si>
    <t>VOUT</t>
  </si>
  <si>
    <t>Target Output Voltage</t>
  </si>
  <si>
    <t>IOUT</t>
  </si>
  <si>
    <t>Maximum Output current</t>
  </si>
  <si>
    <t>ROUT</t>
  </si>
  <si>
    <t>Ω</t>
  </si>
  <si>
    <t>POUT</t>
  </si>
  <si>
    <t>W</t>
  </si>
  <si>
    <t>EFF_est</t>
  </si>
  <si>
    <t>Total output power</t>
  </si>
  <si>
    <t>Minimum load resistance</t>
  </si>
  <si>
    <t>Dc_max_ideal</t>
  </si>
  <si>
    <t>Dc_max_IC</t>
  </si>
  <si>
    <t>D_2p2_min</t>
  </si>
  <si>
    <t>D_2p2_nom</t>
  </si>
  <si>
    <t>D_2p2_max</t>
  </si>
  <si>
    <t>Minimum max duty cycle at 2p2MHZ operation</t>
  </si>
  <si>
    <t>t_off_max</t>
  </si>
  <si>
    <t>T_off_nom</t>
  </si>
  <si>
    <t>T_off_min</t>
  </si>
  <si>
    <t>s</t>
  </si>
  <si>
    <t>Minimum forced off time</t>
  </si>
  <si>
    <t>nominal forced off time</t>
  </si>
  <si>
    <t>Maximum forced off time</t>
  </si>
  <si>
    <t xml:space="preserve">IC Duty Cycle Limitation: </t>
  </si>
  <si>
    <t>D_limit_min</t>
  </si>
  <si>
    <t>D_limit_nom</t>
  </si>
  <si>
    <t>D_limit_max</t>
  </si>
  <si>
    <t>Nomminal max duty cycle at low frequency</t>
  </si>
  <si>
    <t xml:space="preserve">Base Calculations of </t>
  </si>
  <si>
    <t>Spec conditions</t>
  </si>
  <si>
    <t>Min max duty cycle at low frequency</t>
  </si>
  <si>
    <t>Maximum max duty cycle at low frequency</t>
  </si>
  <si>
    <t>Fsw</t>
  </si>
  <si>
    <t>Hz</t>
  </si>
  <si>
    <t xml:space="preserve">Switching frequnecy </t>
  </si>
  <si>
    <t>Flag</t>
  </si>
  <si>
    <t>RT</t>
  </si>
  <si>
    <t>Oscillator Set resistor. Based on the datasheet equation</t>
  </si>
  <si>
    <r>
      <t>Free running Oscillator Set Resistor, R</t>
    </r>
    <r>
      <rPr>
        <vertAlign val="subscript"/>
        <sz val="10"/>
        <color theme="1"/>
        <rFont val="Calibri"/>
        <family val="2"/>
        <scheme val="minor"/>
      </rPr>
      <t>T</t>
    </r>
  </si>
  <si>
    <r>
      <t>k</t>
    </r>
    <r>
      <rPr>
        <sz val="11"/>
        <color theme="1"/>
        <rFont val="Calibri"/>
        <family val="2"/>
      </rPr>
      <t>Ω</t>
    </r>
  </si>
  <si>
    <t>Step 2: Filter Inductor</t>
  </si>
  <si>
    <t>Dc_Limit</t>
  </si>
  <si>
    <t>Max duty cycle of LM5155 at Fsw</t>
  </si>
  <si>
    <t>EXCEL Constants / Values / IC Limits</t>
  </si>
  <si>
    <r>
      <t>Max Inductor DCR, R</t>
    </r>
    <r>
      <rPr>
        <vertAlign val="subscript"/>
        <sz val="10"/>
        <color theme="1"/>
        <rFont val="Calibri"/>
        <family val="2"/>
        <scheme val="minor"/>
      </rPr>
      <t>DCR</t>
    </r>
  </si>
  <si>
    <t>Dc_VIN_min</t>
  </si>
  <si>
    <t>Dc_VIN_nom</t>
  </si>
  <si>
    <t>Dc_VIN_max</t>
  </si>
  <si>
    <t>ton_min</t>
  </si>
  <si>
    <t>Typical Ton minimum value</t>
  </si>
  <si>
    <t>IL_avg_VIN_min</t>
  </si>
  <si>
    <t>IL_avg_VIN_nom</t>
  </si>
  <si>
    <t>Average input current at minimum input voltage. 100% Eff assumed</t>
  </si>
  <si>
    <t>Average input current at nominal input voltage. 100% Eff assumed</t>
  </si>
  <si>
    <t>Average input current at maximum input voltage. 100% Eff assumed</t>
  </si>
  <si>
    <t>H</t>
  </si>
  <si>
    <t>ILrip</t>
  </si>
  <si>
    <t>Lm</t>
  </si>
  <si>
    <t>Selected filter inductor</t>
  </si>
  <si>
    <t>Rdcr</t>
  </si>
  <si>
    <r>
      <t>m</t>
    </r>
    <r>
      <rPr>
        <sz val="11"/>
        <color theme="1"/>
        <rFont val="Calibri"/>
        <family val="2"/>
      </rPr>
      <t>Ω</t>
    </r>
  </si>
  <si>
    <r>
      <t>Peak inductor current, IL</t>
    </r>
    <r>
      <rPr>
        <vertAlign val="subscript"/>
        <sz val="10"/>
        <color theme="1"/>
        <rFont val="Calibri"/>
        <family val="2"/>
        <scheme val="minor"/>
      </rPr>
      <t>PK</t>
    </r>
  </si>
  <si>
    <t>VIN_33</t>
  </si>
  <si>
    <t>IIN_33</t>
  </si>
  <si>
    <t>Lopt_2</t>
  </si>
  <si>
    <t>.</t>
  </si>
  <si>
    <t>ILp_VINmin</t>
  </si>
  <si>
    <t>Peak inductor current at VIN min. Including estimated efficiency</t>
  </si>
  <si>
    <t>ILrip_VINmin</t>
  </si>
  <si>
    <t xml:space="preserve">Inductor ripple current at VIN min. </t>
  </si>
  <si>
    <t>ILrip_VINnom</t>
  </si>
  <si>
    <t>ILp_VINnom</t>
  </si>
  <si>
    <t>ILrip_VINmax</t>
  </si>
  <si>
    <t>ILp_VINmax</t>
  </si>
  <si>
    <t>Step 3: Current Sense Resistor</t>
  </si>
  <si>
    <t>Selected indutor ripple ratio. Will be changed later to a standard value just to keep things simple</t>
  </si>
  <si>
    <t xml:space="preserve">Inductor ripple current at VIN nom. </t>
  </si>
  <si>
    <t>Peak inductor current at VIN nom. Including estimated efficiency</t>
  </si>
  <si>
    <t xml:space="preserve">Inductor ripple current at VIN max. </t>
  </si>
  <si>
    <t>Peak inductor current at VIN max. Including estimated efficiency</t>
  </si>
  <si>
    <t>Step 3: Current Sense Resistor Selection</t>
  </si>
  <si>
    <t>Ipk_margin</t>
  </si>
  <si>
    <t>Peak current limit margin. 20% is a typical value</t>
  </si>
  <si>
    <t>Ipk_selected</t>
  </si>
  <si>
    <t>Selected peak current limit based on margin selection</t>
  </si>
  <si>
    <t>Peak ripple ratio: Boost this happens at 33%</t>
  </si>
  <si>
    <t>Dc_rip_max</t>
  </si>
  <si>
    <t>Input current at maximum ripple duty cycle</t>
  </si>
  <si>
    <t>Input voltage at maximum ripple duty cycle. If maximum input voltage Dc is &gt;.33 this value will be used</t>
  </si>
  <si>
    <t>Filter inductor DCR</t>
  </si>
  <si>
    <t>Ltol</t>
  </si>
  <si>
    <t>Assumed inductor tolerance. Constant to help simplify the user experience</t>
  </si>
  <si>
    <t>Rcs_max</t>
  </si>
  <si>
    <t>Maximum Rcs based on internal slope compensation. Assuming slope ratio of 1/2</t>
  </si>
  <si>
    <t>Rcs_sl_ratio</t>
  </si>
  <si>
    <t>Isl</t>
  </si>
  <si>
    <t>Internal slope compensation ramp</t>
  </si>
  <si>
    <t>Rsl_int</t>
  </si>
  <si>
    <t>Internal Slope compensation resistor</t>
  </si>
  <si>
    <t>Rcs_wo_sl</t>
  </si>
  <si>
    <t>Vcl</t>
  </si>
  <si>
    <t>Current Limit Value. See datsheet for Parameters</t>
  </si>
  <si>
    <t>Flag_ext_sl</t>
  </si>
  <si>
    <t>R_cs_calc</t>
  </si>
  <si>
    <t>R_sl_calc</t>
  </si>
  <si>
    <t>R_cs</t>
  </si>
  <si>
    <t>R_sl</t>
  </si>
  <si>
    <t>Selected current sense Resistor</t>
  </si>
  <si>
    <t>Check to make sure that slope compensation is high enough at the minimum input voltage</t>
  </si>
  <si>
    <t>Slope Compensation</t>
  </si>
  <si>
    <t>sl_vin_min</t>
  </si>
  <si>
    <t>Actual inductor peak current limit</t>
  </si>
  <si>
    <t>IL_pk</t>
  </si>
  <si>
    <t>IL_pk_max</t>
  </si>
  <si>
    <t>Peak current limit at the minimum input voltage</t>
  </si>
  <si>
    <t>Peak inductor current limit for saturation rating.  VIN max due to the possibility of external slope comp</t>
  </si>
  <si>
    <t>sat_mar</t>
  </si>
  <si>
    <t>Margin for saturation current of the inductor</t>
  </si>
  <si>
    <t>V/V</t>
  </si>
  <si>
    <t>IL_sat</t>
  </si>
  <si>
    <t>Recommended Saturation current rating of the selected inductor</t>
  </si>
  <si>
    <t>COMP voltage Limit checks</t>
  </si>
  <si>
    <t>Step 4: Output Capacitor Selection</t>
  </si>
  <si>
    <t>mV</t>
  </si>
  <si>
    <t xml:space="preserve">Minimum output capacitance </t>
  </si>
  <si>
    <t>uF</t>
  </si>
  <si>
    <r>
      <t>Selected Output Capacitance (C</t>
    </r>
    <r>
      <rPr>
        <vertAlign val="subscript"/>
        <sz val="11"/>
        <color theme="1"/>
        <rFont val="Calibri"/>
        <family val="2"/>
        <scheme val="minor"/>
      </rPr>
      <t>OUT</t>
    </r>
    <r>
      <rPr>
        <sz val="11"/>
        <color theme="1"/>
        <rFont val="Calibri"/>
        <family val="2"/>
        <scheme val="minor"/>
      </rPr>
      <t>)</t>
    </r>
  </si>
  <si>
    <t>Desired output ripple</t>
  </si>
  <si>
    <t>Vout_rip_sel</t>
  </si>
  <si>
    <t>Cout_min</t>
  </si>
  <si>
    <t>F</t>
  </si>
  <si>
    <t>Calculate minimum capacitance based simply on the capacitive ripple</t>
  </si>
  <si>
    <t>IRMS_COUT</t>
  </si>
  <si>
    <r>
      <t>Equivalent  COUT ESR (R</t>
    </r>
    <r>
      <rPr>
        <vertAlign val="subscript"/>
        <sz val="11"/>
        <color theme="1"/>
        <rFont val="Calibri"/>
        <family val="2"/>
        <scheme val="minor"/>
      </rPr>
      <t>ESR</t>
    </r>
    <r>
      <rPr>
        <sz val="11"/>
        <color theme="1"/>
        <rFont val="Calibri"/>
        <family val="2"/>
        <scheme val="minor"/>
      </rPr>
      <t>)</t>
    </r>
  </si>
  <si>
    <t>Resr</t>
  </si>
  <si>
    <t>Selected Output Capacitance</t>
  </si>
  <si>
    <t>Selected output capacitance ESR</t>
  </si>
  <si>
    <t>Cout</t>
  </si>
  <si>
    <r>
      <t>Selected Peak Current limit(IL</t>
    </r>
    <r>
      <rPr>
        <vertAlign val="subscript"/>
        <sz val="11"/>
        <color theme="1"/>
        <rFont val="Calibri"/>
        <family val="2"/>
        <scheme val="minor"/>
      </rPr>
      <t>PK_select</t>
    </r>
    <r>
      <rPr>
        <sz val="11"/>
        <color theme="1"/>
        <rFont val="Calibri"/>
        <family val="2"/>
        <scheme val="minor"/>
      </rPr>
      <t>)</t>
    </r>
  </si>
  <si>
    <t>Step 5: Loop Compensation</t>
  </si>
  <si>
    <t>Input Parameters</t>
  </si>
  <si>
    <t>Output Voltage</t>
  </si>
  <si>
    <t>Component Selection</t>
  </si>
  <si>
    <t>LM</t>
  </si>
  <si>
    <t>filter Inductor</t>
  </si>
  <si>
    <t>Current sense resi</t>
  </si>
  <si>
    <t>Interanl Slope Compesnation Resistor</t>
  </si>
  <si>
    <t>Interanl Slope Compesnation current</t>
  </si>
  <si>
    <t>RCOMP</t>
  </si>
  <si>
    <t>kΩ</t>
  </si>
  <si>
    <t>pF</t>
  </si>
  <si>
    <t>nF</t>
  </si>
  <si>
    <t>CCOMP</t>
  </si>
  <si>
    <t>CHF</t>
  </si>
  <si>
    <t>Type II compensation Resistort</t>
  </si>
  <si>
    <t>Type II compensation Capacitor</t>
  </si>
  <si>
    <t>Type II high frequency capacitor</t>
  </si>
  <si>
    <t>RFBT</t>
  </si>
  <si>
    <t>RFBB</t>
  </si>
  <si>
    <t>Compensation Components</t>
  </si>
  <si>
    <t>Top feedback resistor</t>
  </si>
  <si>
    <t>Bottom feedback resistor</t>
  </si>
  <si>
    <t>Calculations</t>
  </si>
  <si>
    <t>Frequency</t>
  </si>
  <si>
    <t>Selected VIN</t>
  </si>
  <si>
    <t>VIN_var</t>
  </si>
  <si>
    <t>VIN_VAR</t>
  </si>
  <si>
    <t>Variable input voltage</t>
  </si>
  <si>
    <t>ADC</t>
  </si>
  <si>
    <t>Gcomp</t>
  </si>
  <si>
    <t>Scale down factor of the interal comp voltage divider</t>
  </si>
  <si>
    <t>Intenal step down of the divider</t>
  </si>
  <si>
    <t>DC gain of the plant function</t>
  </si>
  <si>
    <t>Acs</t>
  </si>
  <si>
    <t>Current sense Amplifier Gain (1 for this device)</t>
  </si>
  <si>
    <t>Low Frequency Pole</t>
  </si>
  <si>
    <t>RHPz zero of boost converter</t>
  </si>
  <si>
    <t>ESR zero cause by output capacitance</t>
  </si>
  <si>
    <t>wsl</t>
  </si>
  <si>
    <t>Q</t>
  </si>
  <si>
    <t>Se</t>
  </si>
  <si>
    <t xml:space="preserve">Slope compensation </t>
  </si>
  <si>
    <t>Down slope at the selected input voltage</t>
  </si>
  <si>
    <t>Sn</t>
  </si>
  <si>
    <t>Rad</t>
  </si>
  <si>
    <t>wp_lf</t>
  </si>
  <si>
    <t>wz_rhp</t>
  </si>
  <si>
    <t>wz_esr</t>
  </si>
  <si>
    <t>Gain</t>
  </si>
  <si>
    <t>Phase</t>
  </si>
  <si>
    <t>Sampling</t>
  </si>
  <si>
    <t>Complex</t>
  </si>
  <si>
    <t>Total</t>
  </si>
  <si>
    <t>Error Amplifier</t>
  </si>
  <si>
    <t>wz_ea</t>
  </si>
  <si>
    <t>Adc_ea</t>
  </si>
  <si>
    <t>gm_ea</t>
  </si>
  <si>
    <t>Error Amplifier Gain</t>
  </si>
  <si>
    <t>A/V</t>
  </si>
  <si>
    <t>wp0_ea</t>
  </si>
  <si>
    <t>wp1_ea</t>
  </si>
  <si>
    <t>ADC_ea</t>
  </si>
  <si>
    <t xml:space="preserve">Gain </t>
  </si>
  <si>
    <t>COMPLEX</t>
  </si>
  <si>
    <t>Gain of open loop at wp_Lf</t>
  </si>
  <si>
    <t>dB</t>
  </si>
  <si>
    <r>
      <t xml:space="preserve">Variable input voltage to model the loop. </t>
    </r>
    <r>
      <rPr>
        <b/>
        <sz val="11"/>
        <color theme="1"/>
        <rFont val="Calibri"/>
        <family val="2"/>
        <scheme val="minor"/>
      </rPr>
      <t>Currently not used. Will be updated in next rev</t>
    </r>
  </si>
  <si>
    <t>Selected by user. Feedback resistor should be &gt;100uA to help reject noise</t>
  </si>
  <si>
    <t>Error Amplifier Zero</t>
  </si>
  <si>
    <t>Error Amplifier pole at the origin</t>
  </si>
  <si>
    <t>Error Amplifier pole at high frequencies</t>
  </si>
  <si>
    <t>RFBB_CALC</t>
  </si>
  <si>
    <t>Vref</t>
  </si>
  <si>
    <t>Reference voltage</t>
  </si>
  <si>
    <t>Estimated bottom feedback resistor</t>
  </si>
  <si>
    <t>Selected botton feedback resistor</t>
  </si>
  <si>
    <t>Ifb</t>
  </si>
  <si>
    <r>
      <t xml:space="preserve">Plant low frequency pole. </t>
    </r>
    <r>
      <rPr>
        <b/>
        <sz val="11"/>
        <color theme="1"/>
        <rFont val="Calibri"/>
        <family val="2"/>
        <scheme val="minor"/>
      </rPr>
      <t>IN Hz!!!</t>
    </r>
  </si>
  <si>
    <r>
      <t xml:space="preserve">Plant RHP Zero, </t>
    </r>
    <r>
      <rPr>
        <b/>
        <sz val="11"/>
        <color theme="1"/>
        <rFont val="Calibri"/>
        <family val="2"/>
        <scheme val="minor"/>
      </rPr>
      <t>(IN Hz)</t>
    </r>
  </si>
  <si>
    <r>
      <t xml:space="preserve">Plant capacitor ESR zero </t>
    </r>
    <r>
      <rPr>
        <b/>
        <sz val="11"/>
        <color theme="1"/>
        <rFont val="Calibri"/>
        <family val="2"/>
        <scheme val="minor"/>
      </rPr>
      <t>(In Hz)</t>
    </r>
  </si>
  <si>
    <t>Feedback resistor selection</t>
  </si>
  <si>
    <t>Crossover Frequency Selection</t>
  </si>
  <si>
    <t>fcross</t>
  </si>
  <si>
    <t>Desired Crossover frequency</t>
  </si>
  <si>
    <t>1/10 the swictching frequency</t>
  </si>
  <si>
    <t>Select the lower crossover frequency</t>
  </si>
  <si>
    <t>wz_RHP</t>
  </si>
  <si>
    <t>Rcomp_Calc</t>
  </si>
  <si>
    <t>Calculate on based on the desired Mid-band gain needed to set the crossover frequency</t>
  </si>
  <si>
    <t>fz_ea_est</t>
  </si>
  <si>
    <t>CCOMP_calc</t>
  </si>
  <si>
    <t>fp_ea_est</t>
  </si>
  <si>
    <t>Efficiency / Power Loss Analyzer</t>
  </si>
  <si>
    <r>
      <t>R</t>
    </r>
    <r>
      <rPr>
        <vertAlign val="subscript"/>
        <sz val="11"/>
        <color theme="1"/>
        <rFont val="Calibri"/>
        <family val="2"/>
        <scheme val="minor"/>
      </rPr>
      <t>COMP</t>
    </r>
  </si>
  <si>
    <t>Calculated</t>
  </si>
  <si>
    <t>Selected</t>
  </si>
  <si>
    <t>Steps</t>
  </si>
  <si>
    <t>Step size</t>
  </si>
  <si>
    <t>VIN</t>
  </si>
  <si>
    <t>DCM/CCM</t>
  </si>
  <si>
    <t>DC</t>
  </si>
  <si>
    <t>IIN</t>
  </si>
  <si>
    <t>Icrms_min</t>
  </si>
  <si>
    <t>Minimum required RMS current rating for the output capacitor bank</t>
  </si>
  <si>
    <t>On-time of the switch</t>
  </si>
  <si>
    <t>Soft-Start</t>
  </si>
  <si>
    <t>Iss</t>
  </si>
  <si>
    <t>Soft-start capacitor charge current</t>
  </si>
  <si>
    <t>Soft-Start Charge current</t>
  </si>
  <si>
    <t>Css_min</t>
  </si>
  <si>
    <t>Suggested minimum SS capacitor to minize the over shoot.</t>
  </si>
  <si>
    <t>tss</t>
  </si>
  <si>
    <t>Desired Soft-Start Capacitor</t>
  </si>
  <si>
    <r>
      <t>Suggested minimum soft-start capacitor (C</t>
    </r>
    <r>
      <rPr>
        <vertAlign val="subscript"/>
        <sz val="11"/>
        <color theme="1"/>
        <rFont val="Calibri"/>
        <family val="2"/>
        <scheme val="minor"/>
      </rPr>
      <t>SS_MIN</t>
    </r>
    <r>
      <rPr>
        <sz val="11"/>
        <color theme="1"/>
        <rFont val="Calibri"/>
        <family val="2"/>
        <scheme val="minor"/>
      </rPr>
      <t>)</t>
    </r>
  </si>
  <si>
    <t>ms</t>
  </si>
  <si>
    <t>Css_calc</t>
  </si>
  <si>
    <t>Calcualted Soft-start capacitor</t>
  </si>
  <si>
    <r>
      <t>Calculated soft-start capacitor (C</t>
    </r>
    <r>
      <rPr>
        <vertAlign val="subscript"/>
        <sz val="11"/>
        <color theme="1"/>
        <rFont val="Calibri"/>
        <family val="2"/>
        <scheme val="minor"/>
      </rPr>
      <t>SS</t>
    </r>
    <r>
      <rPr>
        <sz val="11"/>
        <color theme="1"/>
        <rFont val="Calibri"/>
        <family val="2"/>
        <scheme val="minor"/>
      </rPr>
      <t>)</t>
    </r>
  </si>
  <si>
    <r>
      <t>Desied soft-start time at minimum input voltage (T</t>
    </r>
    <r>
      <rPr>
        <vertAlign val="subscript"/>
        <sz val="11"/>
        <color theme="1"/>
        <rFont val="Calibri"/>
        <family val="2"/>
        <scheme val="minor"/>
      </rPr>
      <t>SS</t>
    </r>
    <r>
      <rPr>
        <sz val="11"/>
        <color theme="1"/>
        <rFont val="Calibri"/>
        <family val="2"/>
        <scheme val="minor"/>
      </rPr>
      <t>)</t>
    </r>
  </si>
  <si>
    <t>Step 6: UVLO Resistor Selection</t>
  </si>
  <si>
    <t>Step 5: Soft-start Capacitor selection</t>
  </si>
  <si>
    <t>Vuvlo_on</t>
  </si>
  <si>
    <t>Vuvlo_off</t>
  </si>
  <si>
    <t>Desired turn on voltage</t>
  </si>
  <si>
    <t>Desired turn off voltage</t>
  </si>
  <si>
    <t>UVLO Thresholds</t>
  </si>
  <si>
    <t>UV_rise</t>
  </si>
  <si>
    <t>UV_fall</t>
  </si>
  <si>
    <t>Falling threshold (See datasheet for more details)</t>
  </si>
  <si>
    <t>Rising Threshold (See datasheet for more details)</t>
  </si>
  <si>
    <t>Rising UV threshold</t>
  </si>
  <si>
    <t>Falling  UV threshold</t>
  </si>
  <si>
    <t>UV_I_hyst</t>
  </si>
  <si>
    <t>UVLO current hysteresis</t>
  </si>
  <si>
    <t>UVLO circuit current hysteresis</t>
  </si>
  <si>
    <t>Ruvlo_top_calc</t>
  </si>
  <si>
    <t>Ruvlo_bottom_calc</t>
  </si>
  <si>
    <t>Vuvlo_on_act</t>
  </si>
  <si>
    <t>Vuvlo_off_act</t>
  </si>
  <si>
    <t>Actual turn on voltage</t>
  </si>
  <si>
    <t>Actual turn off voltage</t>
  </si>
  <si>
    <t>Step  7: Loop Compensation</t>
  </si>
  <si>
    <t>Operation Variables</t>
  </si>
  <si>
    <t>Duty Cycle</t>
  </si>
  <si>
    <t>dIL</t>
  </si>
  <si>
    <r>
      <t>IL</t>
    </r>
    <r>
      <rPr>
        <vertAlign val="subscript"/>
        <sz val="11"/>
        <color theme="1"/>
        <rFont val="Calibri"/>
        <family val="2"/>
        <scheme val="minor"/>
      </rPr>
      <t>RMS</t>
    </r>
  </si>
  <si>
    <r>
      <t>IL</t>
    </r>
    <r>
      <rPr>
        <vertAlign val="subscript"/>
        <sz val="11"/>
        <color theme="1"/>
        <rFont val="Calibri"/>
        <family val="2"/>
        <scheme val="minor"/>
      </rPr>
      <t>PEAK</t>
    </r>
  </si>
  <si>
    <t>DC_off</t>
  </si>
  <si>
    <t>Step 7: Component Selection</t>
  </si>
  <si>
    <t>Vd_rect</t>
  </si>
  <si>
    <r>
      <t>ID</t>
    </r>
    <r>
      <rPr>
        <vertAlign val="subscript"/>
        <sz val="11"/>
        <color theme="1"/>
        <rFont val="Calibri"/>
        <family val="2"/>
        <scheme val="minor"/>
      </rPr>
      <t xml:space="preserve">AVG </t>
    </r>
    <r>
      <rPr>
        <sz val="11"/>
        <color theme="1"/>
        <rFont val="Calibri"/>
        <family val="2"/>
        <scheme val="minor"/>
      </rPr>
      <t>(A)</t>
    </r>
  </si>
  <si>
    <r>
      <t>P</t>
    </r>
    <r>
      <rPr>
        <vertAlign val="subscript"/>
        <sz val="11"/>
        <color theme="1"/>
        <rFont val="Calibri"/>
        <family val="2"/>
        <scheme val="minor"/>
      </rPr>
      <t>Lac</t>
    </r>
    <r>
      <rPr>
        <sz val="11"/>
        <color theme="1"/>
        <rFont val="Calibri"/>
        <family val="2"/>
        <scheme val="minor"/>
      </rPr>
      <t xml:space="preserve"> (W)</t>
    </r>
  </si>
  <si>
    <r>
      <t>P</t>
    </r>
    <r>
      <rPr>
        <vertAlign val="subscript"/>
        <sz val="11"/>
        <color theme="1"/>
        <rFont val="Calibri"/>
        <family val="2"/>
        <scheme val="minor"/>
      </rPr>
      <t>L_DCR</t>
    </r>
    <r>
      <rPr>
        <sz val="11"/>
        <color theme="1"/>
        <rFont val="Calibri"/>
        <family val="2"/>
        <scheme val="minor"/>
      </rPr>
      <t xml:space="preserve"> (W)</t>
    </r>
  </si>
  <si>
    <r>
      <t>P</t>
    </r>
    <r>
      <rPr>
        <vertAlign val="subscript"/>
        <sz val="11"/>
        <color theme="1"/>
        <rFont val="Calibri"/>
        <family val="2"/>
        <scheme val="minor"/>
      </rPr>
      <t xml:space="preserve">D_COND </t>
    </r>
    <r>
      <rPr>
        <sz val="11"/>
        <color theme="1"/>
        <rFont val="Calibri"/>
        <family val="2"/>
        <scheme val="minor"/>
      </rPr>
      <t>(W)</t>
    </r>
  </si>
  <si>
    <r>
      <t>P</t>
    </r>
    <r>
      <rPr>
        <vertAlign val="subscript"/>
        <sz val="11"/>
        <color theme="1"/>
        <rFont val="Calibri"/>
        <family val="2"/>
        <scheme val="minor"/>
      </rPr>
      <t xml:space="preserve">D_SW </t>
    </r>
    <r>
      <rPr>
        <sz val="11"/>
        <color theme="1"/>
        <rFont val="Calibri"/>
        <family val="2"/>
        <scheme val="minor"/>
      </rPr>
      <t>(W)</t>
    </r>
  </si>
  <si>
    <r>
      <t>On-State Resistance, R</t>
    </r>
    <r>
      <rPr>
        <vertAlign val="subscript"/>
        <sz val="10"/>
        <rFont val="Arial"/>
        <family val="2"/>
      </rPr>
      <t>DS(on)</t>
    </r>
    <r>
      <rPr>
        <sz val="10"/>
        <rFont val="Arial"/>
        <family val="2"/>
      </rPr>
      <t xml:space="preserve"> </t>
    </r>
  </si>
  <si>
    <r>
      <t>Total Gate Charge, Q</t>
    </r>
    <r>
      <rPr>
        <vertAlign val="subscript"/>
        <sz val="10"/>
        <rFont val="Arial"/>
        <family val="2"/>
      </rPr>
      <t>G</t>
    </r>
    <r>
      <rPr>
        <sz val="10"/>
        <rFont val="Arial"/>
        <family val="2"/>
      </rPr>
      <t xml:space="preserve"> </t>
    </r>
  </si>
  <si>
    <r>
      <t>Gate-Drain Charge, Q</t>
    </r>
    <r>
      <rPr>
        <vertAlign val="subscript"/>
        <sz val="10"/>
        <rFont val="Arial"/>
        <family val="2"/>
      </rPr>
      <t>GD</t>
    </r>
    <r>
      <rPr>
        <sz val="10"/>
        <rFont val="Arial"/>
        <family val="2"/>
      </rPr>
      <t xml:space="preserve"> </t>
    </r>
  </si>
  <si>
    <r>
      <t>Gate-Source Charge, Q</t>
    </r>
    <r>
      <rPr>
        <vertAlign val="subscript"/>
        <sz val="10"/>
        <rFont val="Arial"/>
        <family val="2"/>
      </rPr>
      <t>GS</t>
    </r>
    <r>
      <rPr>
        <sz val="10"/>
        <rFont val="Arial"/>
        <family val="2"/>
      </rPr>
      <t xml:space="preserve"> </t>
    </r>
  </si>
  <si>
    <r>
      <t>Gate Resistance, R</t>
    </r>
    <r>
      <rPr>
        <vertAlign val="subscript"/>
        <sz val="10"/>
        <rFont val="Arial"/>
        <family val="2"/>
      </rPr>
      <t>G</t>
    </r>
    <r>
      <rPr>
        <sz val="10"/>
        <rFont val="Arial"/>
        <family val="2"/>
      </rPr>
      <t xml:space="preserve"> </t>
    </r>
  </si>
  <si>
    <r>
      <t>Transconductance, g</t>
    </r>
    <r>
      <rPr>
        <vertAlign val="subscript"/>
        <sz val="10"/>
        <rFont val="Arial"/>
        <family val="2"/>
      </rPr>
      <t>FS</t>
    </r>
    <r>
      <rPr>
        <sz val="10"/>
        <rFont val="Arial"/>
        <family val="2"/>
      </rPr>
      <t xml:space="preserve"> </t>
    </r>
  </si>
  <si>
    <r>
      <t>Gate-Source Threshold Voltage, V</t>
    </r>
    <r>
      <rPr>
        <vertAlign val="subscript"/>
        <sz val="10"/>
        <rFont val="Arial"/>
        <family val="2"/>
      </rPr>
      <t>TH</t>
    </r>
    <r>
      <rPr>
        <sz val="10"/>
        <rFont val="Arial"/>
        <family val="2"/>
      </rPr>
      <t xml:space="preserve"> </t>
    </r>
  </si>
  <si>
    <t>mΩ</t>
  </si>
  <si>
    <t>nC</t>
  </si>
  <si>
    <t>Ω</t>
  </si>
  <si>
    <t>S</t>
  </si>
  <si>
    <t>Diode Parameters</t>
  </si>
  <si>
    <t>Qg_tot</t>
  </si>
  <si>
    <t>Qgs</t>
  </si>
  <si>
    <t>Qgd</t>
  </si>
  <si>
    <t>Rgate</t>
  </si>
  <si>
    <t>gfs</t>
  </si>
  <si>
    <t>Vth</t>
  </si>
  <si>
    <t>C</t>
  </si>
  <si>
    <t>Qrr</t>
  </si>
  <si>
    <t>RDS_on</t>
  </si>
  <si>
    <t>Rgate_int</t>
  </si>
  <si>
    <t>Internal Gate resistance of the MOSFET driver.</t>
  </si>
  <si>
    <t>Vsp</t>
  </si>
  <si>
    <t>Gate voltage when MOSFET begins conducting current</t>
  </si>
  <si>
    <t>Rise time of the switch node</t>
  </si>
  <si>
    <t>Fall time of the switch node</t>
  </si>
  <si>
    <t>VCC</t>
  </si>
  <si>
    <t>VCC regulator</t>
  </si>
  <si>
    <t>Vcc</t>
  </si>
  <si>
    <t>Regulated output voltage of internal LDO. Can change if this is externally biased.</t>
  </si>
  <si>
    <t>Need to double check this value</t>
  </si>
  <si>
    <t xml:space="preserve">VCC voltage. Can be changed with external bias. </t>
  </si>
  <si>
    <t>tr_sw</t>
  </si>
  <si>
    <t>tf_sw</t>
  </si>
  <si>
    <r>
      <t>ISW</t>
    </r>
    <r>
      <rPr>
        <vertAlign val="subscript"/>
        <sz val="11"/>
        <color theme="1"/>
        <rFont val="Calibri"/>
        <family val="2"/>
        <scheme val="minor"/>
      </rPr>
      <t xml:space="preserve">AVG </t>
    </r>
    <r>
      <rPr>
        <sz val="11"/>
        <color theme="1"/>
        <rFont val="Calibri"/>
        <family val="2"/>
        <scheme val="minor"/>
      </rPr>
      <t>(A)</t>
    </r>
  </si>
  <si>
    <r>
      <t>ISW</t>
    </r>
    <r>
      <rPr>
        <vertAlign val="subscript"/>
        <sz val="11"/>
        <color theme="1"/>
        <rFont val="Calibri"/>
        <family val="2"/>
        <scheme val="minor"/>
      </rPr>
      <t>RMS</t>
    </r>
  </si>
  <si>
    <r>
      <t>P</t>
    </r>
    <r>
      <rPr>
        <vertAlign val="subscript"/>
        <sz val="11"/>
        <color theme="1"/>
        <rFont val="Calibri"/>
        <family val="2"/>
        <scheme val="minor"/>
      </rPr>
      <t xml:space="preserve">Q_SW </t>
    </r>
    <r>
      <rPr>
        <sz val="11"/>
        <color theme="1"/>
        <rFont val="Calibri"/>
        <family val="2"/>
        <scheme val="minor"/>
      </rPr>
      <t>(W)</t>
    </r>
  </si>
  <si>
    <r>
      <t>P</t>
    </r>
    <r>
      <rPr>
        <vertAlign val="subscript"/>
        <sz val="11"/>
        <color theme="1"/>
        <rFont val="Calibri"/>
        <family val="2"/>
        <scheme val="minor"/>
      </rPr>
      <t xml:space="preserve">Q_COND </t>
    </r>
    <r>
      <rPr>
        <sz val="11"/>
        <color theme="1"/>
        <rFont val="Calibri"/>
        <family val="2"/>
        <scheme val="minor"/>
      </rPr>
      <t>(W)</t>
    </r>
  </si>
  <si>
    <r>
      <t>P</t>
    </r>
    <r>
      <rPr>
        <vertAlign val="subscript"/>
        <sz val="11"/>
        <color theme="1"/>
        <rFont val="Calibri"/>
        <family val="2"/>
        <scheme val="minor"/>
      </rPr>
      <t xml:space="preserve">Q_tot </t>
    </r>
    <r>
      <rPr>
        <sz val="11"/>
        <color theme="1"/>
        <rFont val="Calibri"/>
        <family val="2"/>
        <scheme val="minor"/>
      </rPr>
      <t>(W)</t>
    </r>
  </si>
  <si>
    <r>
      <t>P</t>
    </r>
    <r>
      <rPr>
        <vertAlign val="subscript"/>
        <sz val="11"/>
        <color theme="1"/>
        <rFont val="Calibri"/>
        <family val="2"/>
        <scheme val="minor"/>
      </rPr>
      <t>L_tot</t>
    </r>
    <r>
      <rPr>
        <sz val="11"/>
        <color theme="1"/>
        <rFont val="Calibri"/>
        <family val="2"/>
        <scheme val="minor"/>
      </rPr>
      <t xml:space="preserve"> (W)</t>
    </r>
  </si>
  <si>
    <r>
      <t>P</t>
    </r>
    <r>
      <rPr>
        <vertAlign val="subscript"/>
        <sz val="11"/>
        <color theme="1"/>
        <rFont val="Calibri"/>
        <family val="2"/>
        <scheme val="minor"/>
      </rPr>
      <t>RCS</t>
    </r>
    <r>
      <rPr>
        <sz val="11"/>
        <color theme="1"/>
        <rFont val="Calibri"/>
        <family val="2"/>
        <scheme val="minor"/>
      </rPr>
      <t xml:space="preserve"> (W)</t>
    </r>
  </si>
  <si>
    <t>Total Losses</t>
  </si>
  <si>
    <r>
      <t>P</t>
    </r>
    <r>
      <rPr>
        <vertAlign val="subscript"/>
        <sz val="11"/>
        <color theme="1"/>
        <rFont val="Calibri"/>
        <family val="2"/>
        <scheme val="minor"/>
      </rPr>
      <t>TOTAL</t>
    </r>
    <r>
      <rPr>
        <sz val="11"/>
        <color theme="1"/>
        <rFont val="Calibri"/>
        <family val="2"/>
        <scheme val="minor"/>
      </rPr>
      <t xml:space="preserve"> (W)</t>
    </r>
  </si>
  <si>
    <r>
      <t>P</t>
    </r>
    <r>
      <rPr>
        <vertAlign val="subscript"/>
        <sz val="11"/>
        <color theme="1"/>
        <rFont val="Calibri"/>
        <family val="2"/>
        <scheme val="minor"/>
      </rPr>
      <t>G_drv</t>
    </r>
    <r>
      <rPr>
        <sz val="11"/>
        <color theme="1"/>
        <rFont val="Calibri"/>
        <family val="2"/>
        <scheme val="minor"/>
      </rPr>
      <t xml:space="preserve"> (W)</t>
    </r>
  </si>
  <si>
    <r>
      <t>P</t>
    </r>
    <r>
      <rPr>
        <vertAlign val="subscript"/>
        <sz val="11"/>
        <color theme="1"/>
        <rFont val="Calibri"/>
        <family val="2"/>
        <scheme val="minor"/>
      </rPr>
      <t>IQ</t>
    </r>
    <r>
      <rPr>
        <sz val="11"/>
        <color theme="1"/>
        <rFont val="Calibri"/>
        <family val="2"/>
        <scheme val="minor"/>
      </rPr>
      <t xml:space="preserve"> (W)</t>
    </r>
  </si>
  <si>
    <t>IQ current</t>
  </si>
  <si>
    <t xml:space="preserve">IQ </t>
  </si>
  <si>
    <t>Non-switching IQ current</t>
  </si>
  <si>
    <t>Other Losses</t>
  </si>
  <si>
    <t>Eff</t>
  </si>
  <si>
    <r>
      <t>P</t>
    </r>
    <r>
      <rPr>
        <vertAlign val="subscript"/>
        <sz val="11"/>
        <color theme="1"/>
        <rFont val="Calibri"/>
        <family val="2"/>
        <scheme val="minor"/>
      </rPr>
      <t>OUT</t>
    </r>
    <r>
      <rPr>
        <sz val="11"/>
        <color theme="1"/>
        <rFont val="Calibri"/>
        <family val="2"/>
        <scheme val="minor"/>
      </rPr>
      <t xml:space="preserve"> (W)</t>
    </r>
  </si>
  <si>
    <t>Inductor</t>
  </si>
  <si>
    <r>
      <t>C</t>
    </r>
    <r>
      <rPr>
        <vertAlign val="subscript"/>
        <sz val="11"/>
        <color theme="1"/>
        <rFont val="Calibri"/>
        <family val="2"/>
        <scheme val="minor"/>
      </rPr>
      <t>COMP</t>
    </r>
  </si>
  <si>
    <r>
      <t>C</t>
    </r>
    <r>
      <rPr>
        <vertAlign val="subscript"/>
        <sz val="11"/>
        <color theme="1"/>
        <rFont val="Calibri"/>
        <family val="2"/>
        <scheme val="minor"/>
      </rPr>
      <t>HF</t>
    </r>
  </si>
  <si>
    <t>IOUT_VAR</t>
  </si>
  <si>
    <t>RHP_zero location based on the minimum input voltage</t>
  </si>
  <si>
    <t>Low frequency pole based on the minimum input voltage</t>
  </si>
  <si>
    <t>rad</t>
  </si>
  <si>
    <t>raf</t>
  </si>
  <si>
    <t>ESR zero based on the minimum input voltage</t>
  </si>
  <si>
    <t>This is based on the minimum input voltage. T</t>
  </si>
  <si>
    <t>Input Voltage</t>
  </si>
  <si>
    <r>
      <t>Recommended Inductance (L</t>
    </r>
    <r>
      <rPr>
        <vertAlign val="subscript"/>
        <sz val="10"/>
        <color theme="1"/>
        <rFont val="Calibri"/>
        <family val="2"/>
        <scheme val="minor"/>
      </rPr>
      <t>M_CALC</t>
    </r>
    <r>
      <rPr>
        <sz val="10"/>
        <color theme="1"/>
        <rFont val="Calibri"/>
        <family val="2"/>
        <scheme val="minor"/>
      </rPr>
      <t>)</t>
    </r>
  </si>
  <si>
    <r>
      <t>User Selection. Inductance, (L</t>
    </r>
    <r>
      <rPr>
        <vertAlign val="subscript"/>
        <sz val="10"/>
        <color theme="1"/>
        <rFont val="Calibri"/>
        <family val="2"/>
        <scheme val="minor"/>
      </rPr>
      <t>M</t>
    </r>
    <r>
      <rPr>
        <sz val="10"/>
        <color theme="1"/>
        <rFont val="Calibri"/>
        <family val="2"/>
        <scheme val="minor"/>
      </rPr>
      <t>)</t>
    </r>
  </si>
  <si>
    <t>Id_AVG</t>
  </si>
  <si>
    <t xml:space="preserve">Suggested average current rating of diode. </t>
  </si>
  <si>
    <t>Calcualted top UVLO resistor</t>
  </si>
  <si>
    <t>Selected top UVLO resistor</t>
  </si>
  <si>
    <t>Calcualted Bottom UBLO Resistor</t>
  </si>
  <si>
    <t>Frcoss (VIN)min</t>
  </si>
  <si>
    <t>ADC_VINmin</t>
  </si>
  <si>
    <t>wp_lf_VINmin</t>
  </si>
  <si>
    <t>fp_lf_VINmin</t>
  </si>
  <si>
    <t>wz_esr_VINmin</t>
  </si>
  <si>
    <t>fz_esr_VINmin</t>
  </si>
  <si>
    <t>wz_RHP_VINmin</t>
  </si>
  <si>
    <t>fz_rhp_VINmin</t>
  </si>
  <si>
    <t>Se_VINmin</t>
  </si>
  <si>
    <t>Sn_VINmin</t>
  </si>
  <si>
    <t>wsl_VINmin</t>
  </si>
  <si>
    <t>Q_VINmin</t>
  </si>
  <si>
    <t>Operation Raange</t>
  </si>
  <si>
    <t>Vin_op_min</t>
  </si>
  <si>
    <t>Minimum operating voltage</t>
  </si>
  <si>
    <t>Maximum BIAS pin operating voltage</t>
  </si>
  <si>
    <t>Vin_op_max</t>
  </si>
  <si>
    <r>
      <t>Ideal Duty Cycle at V</t>
    </r>
    <r>
      <rPr>
        <vertAlign val="subscript"/>
        <sz val="10"/>
        <color theme="1"/>
        <rFont val="Calibri"/>
        <family val="2"/>
        <scheme val="minor"/>
      </rPr>
      <t xml:space="preserve">SUPPLY(MIN) </t>
    </r>
  </si>
  <si>
    <t>Peak Current Limit Margin</t>
  </si>
  <si>
    <r>
      <t>Voltage selected (V</t>
    </r>
    <r>
      <rPr>
        <vertAlign val="subscript"/>
        <sz val="11"/>
        <rFont val="Calibri"/>
        <family val="2"/>
        <scheme val="minor"/>
      </rPr>
      <t>IN_VAR</t>
    </r>
    <r>
      <rPr>
        <sz val="11"/>
        <rFont val="Calibri"/>
        <family val="2"/>
        <scheme val="minor"/>
      </rPr>
      <t>)</t>
    </r>
  </si>
  <si>
    <t>This should be set at or near the lowest RHP zero Frequency</t>
  </si>
  <si>
    <r>
      <t>Recommended current sense Resistor (R</t>
    </r>
    <r>
      <rPr>
        <vertAlign val="subscript"/>
        <sz val="11"/>
        <color theme="1"/>
        <rFont val="Calibri"/>
        <family val="2"/>
        <scheme val="minor"/>
      </rPr>
      <t>S</t>
    </r>
    <r>
      <rPr>
        <sz val="11"/>
        <color theme="1"/>
        <rFont val="Calibri"/>
        <family val="2"/>
        <scheme val="minor"/>
      </rPr>
      <t>)</t>
    </r>
  </si>
  <si>
    <r>
      <t>Selected current sense Resistor (R</t>
    </r>
    <r>
      <rPr>
        <vertAlign val="subscript"/>
        <sz val="11"/>
        <color theme="1"/>
        <rFont val="Calibri"/>
        <family val="2"/>
        <scheme val="minor"/>
      </rPr>
      <t>S</t>
    </r>
    <r>
      <rPr>
        <sz val="11"/>
        <color theme="1"/>
        <rFont val="Calibri"/>
        <family val="2"/>
        <scheme val="minor"/>
      </rPr>
      <t>)</t>
    </r>
  </si>
  <si>
    <t>Maximum duty cycle at the minimum input voltage. Includes estimated efficiency for margin</t>
  </si>
  <si>
    <t>Duty cycle at the mimum input voltage (CCM). (First order/ ideal equation)</t>
  </si>
  <si>
    <t>Duty cycle at the nominal input voltage (CCM) (First order/ ideal equation)</t>
  </si>
  <si>
    <t>Duty cycle at the maximum input voltage (CCM) (First order/ ideal equation)</t>
  </si>
  <si>
    <t>DCM_Flag</t>
  </si>
  <si>
    <t>DC_rip</t>
  </si>
  <si>
    <t>CCM Operation calculations</t>
  </si>
  <si>
    <t>Select DCM duty cycle to be 70%. This will keep the ripple current fairly low and allow for efficiency drops.</t>
  </si>
  <si>
    <t>L_DCM_DC</t>
  </si>
  <si>
    <t>DC_DCM_max</t>
  </si>
  <si>
    <t>Maximum duty cycle for DCM operation. 70% is a good starting point. Could be related to the switching frequency</t>
  </si>
  <si>
    <t>M_L_DCM</t>
  </si>
  <si>
    <t>Margin to allow for inductor ripple current to be greater than the average input current</t>
  </si>
  <si>
    <t>L_DCM_M</t>
  </si>
  <si>
    <t xml:space="preserve">Inductor value that ensures the ripple current is larger than the average input current </t>
  </si>
  <si>
    <t>L_DCM</t>
  </si>
  <si>
    <t>Select the lowest of the two inductor value calculations</t>
  </si>
  <si>
    <t>If DCM is required (high step-up ratio) output L_DCM. Otherwise output the CCM inductor value</t>
  </si>
  <si>
    <r>
      <t xml:space="preserve">Forced off time limit? [2 True, 1 False]. </t>
    </r>
    <r>
      <rPr>
        <b/>
        <sz val="11"/>
        <color theme="1"/>
        <rFont val="Calibri"/>
        <family val="2"/>
        <scheme val="minor"/>
      </rPr>
      <t>Note this is calcualting for the minimum duty cycle limit of the datasheet.</t>
    </r>
  </si>
  <si>
    <t>Lm_calc</t>
  </si>
  <si>
    <t>This value used to make the selection for CCM calculations</t>
  </si>
  <si>
    <t>Duty Cycle Calculations</t>
  </si>
  <si>
    <t>Minium input voltage</t>
  </si>
  <si>
    <t>DCc_mode_VIN_min</t>
  </si>
  <si>
    <t>DCc_mode_VIN_nom</t>
  </si>
  <si>
    <t>DCc_mode_VIN_max</t>
  </si>
  <si>
    <t>IL_avg_VIN_max</t>
  </si>
  <si>
    <t>Current Sense Resistor calculated, id DCM this is going to be the value calculated without slope compensation</t>
  </si>
  <si>
    <t>External Compensation? (0-no, 1-yes), Only accurate for CCM as DCM doesn't need slope compensation</t>
  </si>
  <si>
    <t>fcross_estimate</t>
  </si>
  <si>
    <t>Itrans</t>
  </si>
  <si>
    <r>
      <t>Desired load step ripple voltage (</t>
    </r>
    <r>
      <rPr>
        <sz val="11"/>
        <color theme="1"/>
        <rFont val="Calibri"/>
        <family val="2"/>
      </rPr>
      <t>Δv</t>
    </r>
    <r>
      <rPr>
        <vertAlign val="subscript"/>
        <sz val="11"/>
        <color theme="1"/>
        <rFont val="Calibri"/>
        <family val="2"/>
      </rPr>
      <t>OUT</t>
    </r>
    <r>
      <rPr>
        <sz val="11"/>
        <color theme="1"/>
        <rFont val="Calibri"/>
        <family val="2"/>
      </rPr>
      <t>)</t>
    </r>
  </si>
  <si>
    <t>CCM Calculations</t>
  </si>
  <si>
    <t>DCM Selections</t>
  </si>
  <si>
    <t>CCM Plant Transfer Function</t>
  </si>
  <si>
    <t>DCM Plant Transfer Function</t>
  </si>
  <si>
    <t xml:space="preserve"> CCMPlant Parameters</t>
  </si>
  <si>
    <t xml:space="preserve"> DCMPlant Parameters</t>
  </si>
  <si>
    <t>ADC_VIN_min_DCM</t>
  </si>
  <si>
    <t>Fm_DCM</t>
  </si>
  <si>
    <t>wp_dcm</t>
  </si>
  <si>
    <t>wz1_dcm</t>
  </si>
  <si>
    <t>wz2_dcm</t>
  </si>
  <si>
    <t>fcross_DCM</t>
  </si>
  <si>
    <r>
      <t xml:space="preserve">Conservative. Set Fcross to be 1/5th the RHP zero frequency or 1/10th SW: whichever is lower. </t>
    </r>
    <r>
      <rPr>
        <b/>
        <sz val="11"/>
        <color theme="1"/>
        <rFont val="Calibri"/>
        <family val="2"/>
        <scheme val="minor"/>
      </rPr>
      <t>Note this is just for CCM operation</t>
    </r>
  </si>
  <si>
    <t>General Loop Selections</t>
  </si>
  <si>
    <t>Rcomp_Calc_DCM</t>
  </si>
  <si>
    <t>Calcualted based on the desired Zero frequency. Set at the geometric mean between the crossover frequency and the load pole</t>
  </si>
  <si>
    <t>Calcualted based on the RHP zero frequency</t>
  </si>
  <si>
    <t>Ohm</t>
  </si>
  <si>
    <t>CCOMP_Calc_DCM</t>
  </si>
  <si>
    <t>CHF_Calc_DCM</t>
  </si>
  <si>
    <t>Rcomp_Calc_CCM</t>
  </si>
  <si>
    <t>CCOMP_calc_CCM</t>
  </si>
  <si>
    <t>CHF_Calc_CCM</t>
  </si>
  <si>
    <t>CHF_calc</t>
  </si>
  <si>
    <t>CCM Plan Parameters</t>
  </si>
  <si>
    <t>Variable output current (Can add this a different revision, not needed right now)</t>
  </si>
  <si>
    <t>RHP zero location</t>
  </si>
  <si>
    <t>Modulator gain of the PWM comparator</t>
  </si>
  <si>
    <t>DC_VIN_var_DCM</t>
  </si>
  <si>
    <t>Operating mode</t>
  </si>
  <si>
    <t>0 - DCM operation, 1- CCM opertaion</t>
  </si>
  <si>
    <t>wp_lf_DCM</t>
  </si>
  <si>
    <t>CCM Open Loop Response</t>
  </si>
  <si>
    <t>DCM Open Loop Response</t>
  </si>
  <si>
    <t>Displayed Loop Calclation</t>
  </si>
  <si>
    <t>Gain(dB)</t>
  </si>
  <si>
    <t>Phase (deg)</t>
  </si>
  <si>
    <t>RAD</t>
  </si>
  <si>
    <t>This sets the error amp zero at the geometric mean between the load pole and the crossover frequency</t>
  </si>
  <si>
    <t>Vsl</t>
  </si>
  <si>
    <r>
      <t xml:space="preserve">Current sense resistor without slope compensation </t>
    </r>
    <r>
      <rPr>
        <b/>
        <sz val="11"/>
        <color theme="1"/>
        <rFont val="Calibri"/>
        <family val="2"/>
        <scheme val="minor"/>
      </rPr>
      <t>(No variable slope compensation of the LM5127)</t>
    </r>
  </si>
  <si>
    <r>
      <t>External Slope Compensation Resistor</t>
    </r>
    <r>
      <rPr>
        <b/>
        <sz val="11"/>
        <color theme="1"/>
        <rFont val="Calibri"/>
        <family val="2"/>
        <scheme val="minor"/>
      </rPr>
      <t xml:space="preserve"> (No external Slope Comp for LM5127)</t>
    </r>
  </si>
  <si>
    <t>Kex</t>
  </si>
  <si>
    <t>Km</t>
  </si>
  <si>
    <t>Kd</t>
  </si>
  <si>
    <t>Slope compensation parameters. Will change pole and DC gain equation</t>
  </si>
  <si>
    <t>Sampling pole</t>
  </si>
  <si>
    <t>Q factor of the inductor sampling curve</t>
  </si>
  <si>
    <t>Always set to 1 right now for initial revision. Will only operate in CCM</t>
  </si>
  <si>
    <t>Kex_VINmin</t>
  </si>
  <si>
    <t>Km_VINmin</t>
  </si>
  <si>
    <t>Kd_VINmin</t>
  </si>
  <si>
    <t>Calculated at the minimum input voltage</t>
  </si>
  <si>
    <t>Slope compensation (VSL is refered to the current sense resistor)</t>
  </si>
  <si>
    <t>Uses the felxible equations used in my mathcad file.</t>
  </si>
  <si>
    <t>ae</t>
  </si>
  <si>
    <t>be</t>
  </si>
  <si>
    <t>Gfc</t>
  </si>
  <si>
    <r>
      <t>On-State Resistance, R</t>
    </r>
    <r>
      <rPr>
        <vertAlign val="subscript"/>
        <sz val="10"/>
        <color theme="2" tint="-0.89999084444715716"/>
        <rFont val="Arial"/>
        <family val="2"/>
      </rPr>
      <t>DS(on)</t>
    </r>
    <r>
      <rPr>
        <sz val="10"/>
        <color theme="2" tint="-0.89999084444715716"/>
        <rFont val="Arial"/>
        <family val="2"/>
      </rPr>
      <t xml:space="preserve"> </t>
    </r>
  </si>
  <si>
    <r>
      <t>Total Gate Charge, Q</t>
    </r>
    <r>
      <rPr>
        <vertAlign val="subscript"/>
        <sz val="10"/>
        <color theme="2" tint="-0.89999084444715716"/>
        <rFont val="Arial"/>
        <family val="2"/>
      </rPr>
      <t>G</t>
    </r>
    <r>
      <rPr>
        <sz val="10"/>
        <color theme="2" tint="-0.89999084444715716"/>
        <rFont val="Arial"/>
        <family val="2"/>
      </rPr>
      <t xml:space="preserve"> </t>
    </r>
  </si>
  <si>
    <r>
      <t>Gate-Drain Charge, Q</t>
    </r>
    <r>
      <rPr>
        <vertAlign val="subscript"/>
        <sz val="10"/>
        <color theme="2" tint="-0.89999084444715716"/>
        <rFont val="Arial"/>
        <family val="2"/>
      </rPr>
      <t>GD</t>
    </r>
    <r>
      <rPr>
        <sz val="10"/>
        <color theme="2" tint="-0.89999084444715716"/>
        <rFont val="Arial"/>
        <family val="2"/>
      </rPr>
      <t xml:space="preserve"> </t>
    </r>
  </si>
  <si>
    <r>
      <t>Gate-Source Charge, Q</t>
    </r>
    <r>
      <rPr>
        <vertAlign val="subscript"/>
        <sz val="10"/>
        <color theme="2" tint="-0.89999084444715716"/>
        <rFont val="Arial"/>
        <family val="2"/>
      </rPr>
      <t>GS</t>
    </r>
    <r>
      <rPr>
        <sz val="10"/>
        <color theme="2" tint="-0.89999084444715716"/>
        <rFont val="Arial"/>
        <family val="2"/>
      </rPr>
      <t xml:space="preserve"> </t>
    </r>
  </si>
  <si>
    <r>
      <t>Gate Resistance, R</t>
    </r>
    <r>
      <rPr>
        <vertAlign val="subscript"/>
        <sz val="10"/>
        <color theme="2" tint="-0.89999084444715716"/>
        <rFont val="Arial"/>
        <family val="2"/>
      </rPr>
      <t>G</t>
    </r>
    <r>
      <rPr>
        <sz val="10"/>
        <color theme="2" tint="-0.89999084444715716"/>
        <rFont val="Arial"/>
        <family val="2"/>
      </rPr>
      <t xml:space="preserve"> </t>
    </r>
  </si>
  <si>
    <r>
      <t>Gate-Source Threshold Voltage, V</t>
    </r>
    <r>
      <rPr>
        <vertAlign val="subscript"/>
        <sz val="10"/>
        <color theme="2" tint="-0.89999084444715716"/>
        <rFont val="Arial"/>
        <family val="2"/>
      </rPr>
      <t>TH</t>
    </r>
    <r>
      <rPr>
        <sz val="10"/>
        <color theme="2" tint="-0.89999084444715716"/>
        <rFont val="Arial"/>
        <family val="2"/>
      </rPr>
      <t xml:space="preserve"> </t>
    </r>
  </si>
  <si>
    <r>
      <t>Boost Converter Duty Cycle Limit of LM5123 at V</t>
    </r>
    <r>
      <rPr>
        <vertAlign val="subscript"/>
        <sz val="10"/>
        <color theme="1"/>
        <rFont val="Calibri"/>
        <family val="2"/>
        <scheme val="minor"/>
      </rPr>
      <t>SUPPLY(MIN)</t>
    </r>
  </si>
  <si>
    <t>LM5123 BOOST Controller Design Tool</t>
  </si>
  <si>
    <t>VOUT_range</t>
  </si>
  <si>
    <t>Suggested output voltage range</t>
  </si>
  <si>
    <t xml:space="preserve">Sets the feedback divider. Unique to the LM5123 topology (1 = low voltage &lt;=15V, 2 = high voltage &gt;15V) </t>
  </si>
  <si>
    <t>Light load operation switching mode</t>
  </si>
  <si>
    <t>SW_mode</t>
  </si>
  <si>
    <t>selected switching mode (1 = SKIP, 2 = DEM, 3 =FPWM) Will change the effieciency calculations accordingly</t>
  </si>
  <si>
    <r>
      <t>Switching mode at V</t>
    </r>
    <r>
      <rPr>
        <vertAlign val="subscript"/>
        <sz val="11"/>
        <color theme="1"/>
        <rFont val="Calibri"/>
        <family val="2"/>
        <scheme val="minor"/>
      </rPr>
      <t>SUPPLY(min)</t>
    </r>
  </si>
  <si>
    <t xml:space="preserve">Estimated efficiency. Assuming 100% simplify the calculations </t>
  </si>
  <si>
    <t xml:space="preserve">1: DCM operation required at VINmin to achieve the step-up ratio. 
</t>
  </si>
  <si>
    <t>2: CCM operation can achieve step-up ratio with out violating the maximum duty cycle</t>
  </si>
  <si>
    <t>Maximum IC duty cycle. Based on the forced off time and frequency. Give the equation about 2% margin to allow for losses in the controller</t>
  </si>
  <si>
    <t>DCM Operation calculations</t>
  </si>
  <si>
    <t>Indicates if the regulator is operating in CCM or DCM at full load (1 = CCM, 0 = DCM)</t>
  </si>
  <si>
    <t>Np</t>
  </si>
  <si>
    <t>number of phases in operation (For the LM5123 only one phase is possilbe with out external circuts)</t>
  </si>
  <si>
    <t>Normal</t>
  </si>
  <si>
    <t>Indicates if the regulator is operating in CCM or DCM at full load (1 = CCM, 0 = DCM). If FPWM mode is selected always picks CCM operation</t>
  </si>
  <si>
    <t>ratio of down slope to slope compensation. This helps to prevent sub-harmonic oscillation in conditions where the duty cycle is &gt; 50%</t>
  </si>
  <si>
    <r>
      <t>External slope compensation resistor, if DCM operation the external slope compensation is not needed. Should b 0 Ohm (</t>
    </r>
    <r>
      <rPr>
        <b/>
        <sz val="11"/>
        <color theme="1"/>
        <rFont val="Calibri"/>
        <family val="2"/>
        <scheme val="minor"/>
      </rPr>
      <t>No external slope comp in LM5123)</t>
    </r>
  </si>
  <si>
    <r>
      <t>Selected external slope compensation (</t>
    </r>
    <r>
      <rPr>
        <b/>
        <sz val="11"/>
        <color theme="1"/>
        <rFont val="Calibri"/>
        <family val="2"/>
        <scheme val="minor"/>
      </rPr>
      <t>No varialbe slope compenstiaon for the LM5123)</t>
    </r>
  </si>
  <si>
    <t>Can add this in later to make sure the dynamic range of the error amplifier is not violated</t>
  </si>
  <si>
    <t>HZ</t>
  </si>
  <si>
    <t>Estimate to be 1.5 the RHP zero frequency. Pick based on DCM or CCM operation.</t>
  </si>
  <si>
    <t>RMS current of the output capacitor at VIN min IOUT max. RMS current rating should be larger than this. Need to update for DCM</t>
  </si>
  <si>
    <r>
      <t>Desired voltage On (V</t>
    </r>
    <r>
      <rPr>
        <vertAlign val="subscript"/>
        <sz val="11"/>
        <color theme="1"/>
        <rFont val="Calibri"/>
        <family val="2"/>
        <scheme val="minor"/>
      </rPr>
      <t>UVLO_ON</t>
    </r>
    <r>
      <rPr>
        <sz val="11"/>
        <color theme="1"/>
        <rFont val="Calibri"/>
        <family val="2"/>
        <scheme val="minor"/>
      </rPr>
      <t>)</t>
    </r>
  </si>
  <si>
    <r>
      <t>Desired voltage OFF (V</t>
    </r>
    <r>
      <rPr>
        <vertAlign val="subscript"/>
        <sz val="11"/>
        <color theme="1"/>
        <rFont val="Calibri"/>
        <family val="2"/>
        <scheme val="minor"/>
      </rPr>
      <t>UVLO_OFF</t>
    </r>
    <r>
      <rPr>
        <sz val="11"/>
        <color theme="1"/>
        <rFont val="Calibri"/>
        <family val="2"/>
        <scheme val="minor"/>
      </rPr>
      <t>)</t>
    </r>
  </si>
  <si>
    <r>
      <t>Calculated top UVLO resistor value (R</t>
    </r>
    <r>
      <rPr>
        <vertAlign val="subscript"/>
        <sz val="11"/>
        <color theme="1"/>
        <rFont val="Calibri"/>
        <family val="2"/>
        <scheme val="minor"/>
      </rPr>
      <t>UVT_CALC</t>
    </r>
    <r>
      <rPr>
        <sz val="11"/>
        <color theme="1"/>
        <rFont val="Calibri"/>
        <family val="2"/>
        <scheme val="minor"/>
      </rPr>
      <t>)</t>
    </r>
  </si>
  <si>
    <r>
      <t>Selected top UVLO resistor value (R</t>
    </r>
    <r>
      <rPr>
        <vertAlign val="subscript"/>
        <sz val="11"/>
        <color theme="1"/>
        <rFont val="Calibri"/>
        <family val="2"/>
        <scheme val="minor"/>
      </rPr>
      <t>UVT</t>
    </r>
    <r>
      <rPr>
        <sz val="11"/>
        <color theme="1"/>
        <rFont val="Calibri"/>
        <family val="2"/>
        <scheme val="minor"/>
      </rPr>
      <t>)</t>
    </r>
  </si>
  <si>
    <r>
      <t>Bottom UVLO Resistor (R</t>
    </r>
    <r>
      <rPr>
        <vertAlign val="subscript"/>
        <sz val="11"/>
        <color theme="1"/>
        <rFont val="Calibri"/>
        <family val="2"/>
        <scheme val="minor"/>
      </rPr>
      <t>UVB</t>
    </r>
    <r>
      <rPr>
        <sz val="11"/>
        <color theme="1"/>
        <rFont val="Calibri"/>
        <family val="2"/>
        <scheme val="minor"/>
      </rPr>
      <t>)</t>
    </r>
  </si>
  <si>
    <t>Step 5: UVLO Resistor Divider Selection</t>
  </si>
  <si>
    <t>Step 6: Soft-Start Capacitor Selection</t>
  </si>
  <si>
    <t>*The output capcitance is based on the load transient specification. Similar to the fylback converter</t>
  </si>
  <si>
    <t>Vout_Range</t>
  </si>
  <si>
    <t>KFB</t>
  </si>
  <si>
    <t>Kfb_low</t>
  </si>
  <si>
    <t>Kfb_high</t>
  </si>
  <si>
    <t>Rmax_low</t>
  </si>
  <si>
    <t>Rmax_high</t>
  </si>
  <si>
    <t>Rmin_low</t>
  </si>
  <si>
    <t>Rmin_high</t>
  </si>
  <si>
    <t>Rmax</t>
  </si>
  <si>
    <t>Rmin</t>
  </si>
  <si>
    <t>RFBT_max</t>
  </si>
  <si>
    <t>RFBT_min</t>
  </si>
  <si>
    <t>VTRK</t>
  </si>
  <si>
    <t>TRK pin voltage to set the correct output voltage</t>
  </si>
  <si>
    <t>VREF Resistor Selection</t>
  </si>
  <si>
    <r>
      <t>Calculated bottom feedback resistor (R</t>
    </r>
    <r>
      <rPr>
        <vertAlign val="subscript"/>
        <sz val="11"/>
        <color theme="1"/>
        <rFont val="Calibri"/>
        <family val="2"/>
        <scheme val="minor"/>
      </rPr>
      <t>VREFB_calc</t>
    </r>
    <r>
      <rPr>
        <sz val="11"/>
        <color theme="1"/>
        <rFont val="Calibri"/>
        <family val="2"/>
        <scheme val="minor"/>
      </rPr>
      <t>)</t>
    </r>
  </si>
  <si>
    <r>
      <t>Track pin voltage to set the output voltage (V</t>
    </r>
    <r>
      <rPr>
        <vertAlign val="subscript"/>
        <sz val="11"/>
        <color theme="1"/>
        <rFont val="Calibri"/>
        <family val="2"/>
        <scheme val="minor"/>
      </rPr>
      <t>TRK</t>
    </r>
    <r>
      <rPr>
        <sz val="11"/>
        <color theme="1"/>
        <rFont val="Calibri"/>
        <family val="2"/>
        <scheme val="minor"/>
      </rPr>
      <t>)</t>
    </r>
  </si>
  <si>
    <r>
      <rPr>
        <b/>
        <sz val="11"/>
        <color theme="1"/>
        <rFont val="Calibri"/>
        <family val="2"/>
        <scheme val="minor"/>
      </rPr>
      <t xml:space="preserve">Not used for the LM5123 or the LM5152. </t>
    </r>
    <r>
      <rPr>
        <sz val="11"/>
        <color theme="1"/>
        <rFont val="Calibri"/>
        <family val="2"/>
        <scheme val="minor"/>
      </rPr>
      <t>Current Drawn from the feedback resistors (Typically higher than 100uA to help w/ noise)</t>
    </r>
  </si>
  <si>
    <t>This is the output to the user based on the mode of operation when VIN is the minimum. Changes based on DCM or CCM operation</t>
  </si>
  <si>
    <r>
      <t>Crossover frequnecy of the</t>
    </r>
    <r>
      <rPr>
        <b/>
        <sz val="11"/>
        <color theme="1"/>
        <rFont val="Calibri"/>
        <family val="2"/>
        <scheme val="minor"/>
      </rPr>
      <t xml:space="preserve"> DCM control loop</t>
    </r>
    <r>
      <rPr>
        <sz val="11"/>
        <color theme="1"/>
        <rFont val="Calibri"/>
        <family val="2"/>
        <scheme val="minor"/>
      </rPr>
      <t>. (1/5th the RHPzero frequency), or 10th the switching frequency which ever is lower</t>
    </r>
  </si>
  <si>
    <t>Selected crossover</t>
  </si>
  <si>
    <t>DCM Operation Loop Model</t>
  </si>
  <si>
    <t>Fcross (VINvar)</t>
  </si>
  <si>
    <t>Low-Side MOSFET</t>
  </si>
  <si>
    <t>High-Side MOSFET Losses</t>
  </si>
  <si>
    <t>LOW Side MOSFET Parameters</t>
  </si>
  <si>
    <t>High Side MOSFET Parameters</t>
  </si>
  <si>
    <t>Body Diode Reverse recovery charge</t>
  </si>
  <si>
    <t>Body Diode Forward drop</t>
  </si>
  <si>
    <r>
      <t>Body Diode Reverse Recovery Charge (Q</t>
    </r>
    <r>
      <rPr>
        <vertAlign val="subscript"/>
        <sz val="11"/>
        <color theme="2" tint="-0.89996032593768116"/>
        <rFont val="Calibri"/>
        <family val="2"/>
        <scheme val="minor"/>
      </rPr>
      <t>RR</t>
    </r>
    <r>
      <rPr>
        <sz val="11"/>
        <color theme="2" tint="-0.89999084444715716"/>
        <rFont val="Calibri"/>
        <family val="2"/>
        <scheme val="minor"/>
      </rPr>
      <t>)</t>
    </r>
  </si>
  <si>
    <r>
      <t>Body Diode Forward Voltage Drop (V</t>
    </r>
    <r>
      <rPr>
        <vertAlign val="subscript"/>
        <sz val="11"/>
        <color theme="2" tint="-0.89996032593768116"/>
        <rFont val="Calibri"/>
        <family val="2"/>
        <scheme val="minor"/>
      </rPr>
      <t>D_BD</t>
    </r>
    <r>
      <rPr>
        <sz val="11"/>
        <color theme="2" tint="-0.89999084444715716"/>
        <rFont val="Calibri"/>
        <family val="2"/>
        <scheme val="minor"/>
      </rPr>
      <t>)</t>
    </r>
  </si>
  <si>
    <r>
      <t>Gate-Source Threshold Voltage, (V</t>
    </r>
    <r>
      <rPr>
        <vertAlign val="subscript"/>
        <sz val="10"/>
        <color theme="2" tint="-0.89999084444715716"/>
        <rFont val="Arial"/>
        <family val="2"/>
      </rPr>
      <t>TH</t>
    </r>
    <r>
      <rPr>
        <sz val="10"/>
        <color theme="2" tint="-0.89999084444715716"/>
        <rFont val="Arial"/>
        <family val="2"/>
      </rPr>
      <t>)</t>
    </r>
  </si>
  <si>
    <r>
      <t>Gate Resistance, (R</t>
    </r>
    <r>
      <rPr>
        <vertAlign val="subscript"/>
        <sz val="10"/>
        <color theme="2" tint="-0.89999084444715716"/>
        <rFont val="Arial"/>
        <family val="2"/>
      </rPr>
      <t>G</t>
    </r>
    <r>
      <rPr>
        <sz val="10"/>
        <color theme="2" tint="-0.89999084444715716"/>
        <rFont val="Arial"/>
        <family val="2"/>
      </rPr>
      <t>)</t>
    </r>
  </si>
  <si>
    <r>
      <t>On-State Resistance, (R</t>
    </r>
    <r>
      <rPr>
        <vertAlign val="subscript"/>
        <sz val="10"/>
        <color theme="2" tint="-0.89999084444715716"/>
        <rFont val="Arial"/>
        <family val="2"/>
      </rPr>
      <t>DS(on)</t>
    </r>
    <r>
      <rPr>
        <sz val="10"/>
        <color theme="2" tint="-0.89999084444715716"/>
        <rFont val="Arial"/>
        <family val="2"/>
      </rPr>
      <t>)</t>
    </r>
  </si>
  <si>
    <r>
      <t>Total Gate Charge, (Q</t>
    </r>
    <r>
      <rPr>
        <vertAlign val="subscript"/>
        <sz val="10"/>
        <color theme="2" tint="-0.89999084444715716"/>
        <rFont val="Arial"/>
        <family val="2"/>
      </rPr>
      <t>G</t>
    </r>
    <r>
      <rPr>
        <sz val="10"/>
        <color theme="2" tint="-0.89999084444715716"/>
        <rFont val="Arial"/>
        <family val="2"/>
      </rPr>
      <t>)</t>
    </r>
  </si>
  <si>
    <r>
      <t>Gate-Drain Charge, (Q</t>
    </r>
    <r>
      <rPr>
        <vertAlign val="subscript"/>
        <sz val="10"/>
        <color theme="2" tint="-0.89999084444715716"/>
        <rFont val="Arial"/>
        <family val="2"/>
      </rPr>
      <t>GD</t>
    </r>
    <r>
      <rPr>
        <sz val="10"/>
        <color theme="2" tint="-0.89999084444715716"/>
        <rFont val="Arial"/>
        <family val="2"/>
      </rPr>
      <t>)</t>
    </r>
  </si>
  <si>
    <r>
      <t>Gate-Source Charge, (Q</t>
    </r>
    <r>
      <rPr>
        <vertAlign val="subscript"/>
        <sz val="10"/>
        <color theme="2" tint="-0.89999084444715716"/>
        <rFont val="Arial"/>
        <family val="2"/>
      </rPr>
      <t>GS</t>
    </r>
    <r>
      <rPr>
        <sz val="10"/>
        <color theme="2" tint="-0.89999084444715716"/>
        <rFont val="Arial"/>
        <family val="2"/>
      </rPr>
      <t>)</t>
    </r>
  </si>
  <si>
    <r>
      <t>IHS</t>
    </r>
    <r>
      <rPr>
        <vertAlign val="subscript"/>
        <sz val="11"/>
        <color theme="1"/>
        <rFont val="Calibri"/>
        <family val="2"/>
        <scheme val="minor"/>
      </rPr>
      <t>RMS</t>
    </r>
  </si>
  <si>
    <t>Dead Time losses</t>
  </si>
  <si>
    <t>Dead time losses (Sync Controller)</t>
  </si>
  <si>
    <t>t_dead</t>
  </si>
  <si>
    <r>
      <t>P</t>
    </r>
    <r>
      <rPr>
        <vertAlign val="subscript"/>
        <sz val="11"/>
        <color theme="1"/>
        <rFont val="Calibri"/>
        <family val="2"/>
        <scheme val="minor"/>
      </rPr>
      <t xml:space="preserve">HS_tot </t>
    </r>
    <r>
      <rPr>
        <sz val="11"/>
        <color theme="1"/>
        <rFont val="Calibri"/>
        <family val="2"/>
        <scheme val="minor"/>
      </rPr>
      <t>(W)</t>
    </r>
  </si>
  <si>
    <r>
      <t>Select a top VREF resistor between R</t>
    </r>
    <r>
      <rPr>
        <vertAlign val="subscript"/>
        <sz val="11"/>
        <color theme="1"/>
        <rFont val="Calibri"/>
        <family val="2"/>
        <scheme val="minor"/>
      </rPr>
      <t>VREFT_min</t>
    </r>
    <r>
      <rPr>
        <sz val="11"/>
        <color theme="1"/>
        <rFont val="Calibri"/>
        <family val="2"/>
        <scheme val="minor"/>
      </rPr>
      <t xml:space="preserve"> and R</t>
    </r>
    <r>
      <rPr>
        <vertAlign val="subscript"/>
        <sz val="11"/>
        <color theme="1"/>
        <rFont val="Calibri"/>
        <family val="2"/>
        <scheme val="minor"/>
      </rPr>
      <t>VREFT_max</t>
    </r>
    <r>
      <rPr>
        <sz val="11"/>
        <color theme="1"/>
        <rFont val="Calibri"/>
        <family val="2"/>
        <scheme val="minor"/>
      </rPr>
      <t xml:space="preserve"> (R</t>
    </r>
    <r>
      <rPr>
        <vertAlign val="subscript"/>
        <sz val="11"/>
        <color theme="1"/>
        <rFont val="Calibri"/>
        <family val="2"/>
        <scheme val="minor"/>
      </rPr>
      <t>VREFT</t>
    </r>
    <r>
      <rPr>
        <sz val="11"/>
        <color theme="1"/>
        <rFont val="Calibri"/>
        <family val="2"/>
        <scheme val="minor"/>
      </rPr>
      <t>)</t>
    </r>
  </si>
  <si>
    <r>
      <t>P</t>
    </r>
    <r>
      <rPr>
        <vertAlign val="subscript"/>
        <sz val="11"/>
        <color theme="1"/>
        <rFont val="Calibri"/>
        <family val="2"/>
        <scheme val="minor"/>
      </rPr>
      <t>L_CORE</t>
    </r>
    <r>
      <rPr>
        <sz val="11"/>
        <color theme="1"/>
        <rFont val="Calibri"/>
        <family val="2"/>
        <scheme val="minor"/>
      </rPr>
      <t xml:space="preserve"> (W)</t>
    </r>
  </si>
  <si>
    <r>
      <t>Low-Side MOSFET Parameters (Q</t>
    </r>
    <r>
      <rPr>
        <b/>
        <vertAlign val="subscript"/>
        <sz val="11"/>
        <color theme="2" tint="-0.89996032593768116"/>
        <rFont val="Calibri"/>
        <family val="2"/>
        <scheme val="minor"/>
      </rPr>
      <t>LS</t>
    </r>
    <r>
      <rPr>
        <b/>
        <sz val="11"/>
        <color theme="2" tint="-0.89999084444715716"/>
        <rFont val="Calibri"/>
        <family val="2"/>
        <scheme val="minor"/>
      </rPr>
      <t>)</t>
    </r>
  </si>
  <si>
    <r>
      <t>High-Side MOSFET Parameters (Q</t>
    </r>
    <r>
      <rPr>
        <b/>
        <vertAlign val="subscript"/>
        <sz val="11"/>
        <color theme="2" tint="-0.89996032593768116"/>
        <rFont val="Calibri"/>
        <family val="2"/>
        <scheme val="minor"/>
      </rPr>
      <t>HS</t>
    </r>
    <r>
      <rPr>
        <b/>
        <sz val="11"/>
        <color theme="2" tint="-0.89999084444715716"/>
        <rFont val="Calibri"/>
        <family val="2"/>
        <scheme val="minor"/>
      </rPr>
      <t>)</t>
    </r>
  </si>
  <si>
    <r>
      <t>Select a bottomresistor based on calculated balue(R</t>
    </r>
    <r>
      <rPr>
        <vertAlign val="subscript"/>
        <sz val="11"/>
        <color theme="1"/>
        <rFont val="Calibri"/>
        <family val="2"/>
        <scheme val="minor"/>
      </rPr>
      <t>VREFB</t>
    </r>
    <r>
      <rPr>
        <sz val="11"/>
        <color theme="1"/>
        <rFont val="Calibri"/>
        <family val="2"/>
        <scheme val="minor"/>
      </rPr>
      <t>)</t>
    </r>
  </si>
  <si>
    <r>
      <t>Selected bandwidth (F</t>
    </r>
    <r>
      <rPr>
        <vertAlign val="subscript"/>
        <sz val="11"/>
        <color theme="1"/>
        <rFont val="Calibri"/>
        <family val="2"/>
        <scheme val="minor"/>
      </rPr>
      <t>CO</t>
    </r>
    <r>
      <rPr>
        <sz val="11"/>
        <color theme="1"/>
        <rFont val="Calibri"/>
        <family val="2"/>
        <scheme val="minor"/>
      </rPr>
      <t>)</t>
    </r>
  </si>
  <si>
    <r>
      <t>Suggested bandwidth (F</t>
    </r>
    <r>
      <rPr>
        <vertAlign val="subscript"/>
        <sz val="11"/>
        <color theme="1"/>
        <rFont val="Calibri"/>
        <family val="2"/>
        <scheme val="minor"/>
      </rPr>
      <t>CO_calc</t>
    </r>
    <r>
      <rPr>
        <sz val="11"/>
        <color theme="1"/>
        <rFont val="Calibri"/>
        <family val="2"/>
        <scheme val="minor"/>
      </rPr>
      <t>)</t>
    </r>
  </si>
  <si>
    <r>
      <t>Minimum value for (R</t>
    </r>
    <r>
      <rPr>
        <vertAlign val="subscript"/>
        <sz val="11"/>
        <color theme="1"/>
        <rFont val="Calibri"/>
        <family val="2"/>
        <scheme val="minor"/>
      </rPr>
      <t>VREFT_min</t>
    </r>
    <r>
      <rPr>
        <sz val="11"/>
        <color theme="1"/>
        <rFont val="Calibri"/>
        <family val="2"/>
        <scheme val="minor"/>
      </rPr>
      <t>)</t>
    </r>
  </si>
  <si>
    <r>
      <t>Maximum value for (R</t>
    </r>
    <r>
      <rPr>
        <vertAlign val="subscript"/>
        <sz val="11"/>
        <color theme="1"/>
        <rFont val="Calibri"/>
        <family val="2"/>
        <scheme val="minor"/>
      </rPr>
      <t>VREFT_max</t>
    </r>
    <r>
      <rPr>
        <sz val="11"/>
        <color theme="1"/>
        <rFont val="Calibri"/>
        <family val="2"/>
        <scheme val="minor"/>
      </rPr>
      <t>)</t>
    </r>
  </si>
  <si>
    <t>nest</t>
  </si>
  <si>
    <t>estimated efficiency at the peak current limit. Keep at ~95% for SYNC boost controllers</t>
  </si>
  <si>
    <t xml:space="preserve"> </t>
  </si>
  <si>
    <t>SCH_1 = SKIP</t>
  </si>
  <si>
    <t>SCH_2 = DEM</t>
  </si>
  <si>
    <t>SCH_3 = FPWM</t>
  </si>
  <si>
    <t>DEM</t>
  </si>
  <si>
    <t>Rev 0.2</t>
  </si>
  <si>
    <t>December-2021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</si>
</sst>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0.000"/>
    <numFmt numFmtId="165" formatCode="0.000E+00"/>
    <numFmt numFmtId="166" formatCode="0.0000"/>
    <numFmt numFmtId="167" formatCode="0.0"/>
    <numFmt numFmtId="168" formatCode="0.0E+00"/>
    <numFmt numFmtId="169" formatCode="0.00000"/>
  </numFmts>
  <fonts count="40" x14ac:knownFonts="1">
    <font>
      <sz val="11"/>
      <color theme="1"/>
      <name val="Calibri"/>
      <family val="2"/>
      <scheme val="minor"/>
    </font>
    <font>
      <sz val="11"/>
      <color theme="1"/>
      <name val="Calibri"/>
      <family val="2"/>
      <scheme val="minor"/>
    </font>
    <font>
      <b/>
      <sz val="11"/>
      <color theme="0"/>
      <name val="Calibri"/>
      <family val="2"/>
      <scheme val="minor"/>
    </font>
    <font>
      <sz val="10"/>
      <name val="Arial"/>
      <family val="2"/>
    </font>
    <font>
      <sz val="10"/>
      <name val="Arial"/>
      <family val="2"/>
    </font>
    <font>
      <b/>
      <sz val="10"/>
      <name val="Arial"/>
      <family val="2"/>
    </font>
    <font>
      <b/>
      <sz val="22"/>
      <color indexed="44"/>
      <name val="Arial"/>
      <family val="2"/>
    </font>
    <font>
      <b/>
      <sz val="9"/>
      <color indexed="81"/>
      <name val="Tahoma"/>
      <family val="2"/>
    </font>
    <font>
      <sz val="9"/>
      <color indexed="81"/>
      <name val="Tahoma"/>
      <family val="2"/>
    </font>
    <font>
      <b/>
      <sz val="12"/>
      <color rgb="FF0000FF"/>
      <name val="Arial"/>
      <family val="2"/>
    </font>
    <font>
      <sz val="28"/>
      <color theme="0"/>
      <name val="Calibri"/>
      <family val="2"/>
      <scheme val="minor"/>
    </font>
    <font>
      <b/>
      <sz val="11"/>
      <color indexed="10"/>
      <name val="Tahoma"/>
      <family val="2"/>
    </font>
    <font>
      <sz val="12"/>
      <color indexed="10"/>
      <name val="Tahoma"/>
      <family val="2"/>
    </font>
    <font>
      <sz val="10"/>
      <color theme="1"/>
      <name val="Calibri"/>
      <family val="2"/>
      <scheme val="minor"/>
    </font>
    <font>
      <vertAlign val="subscript"/>
      <sz val="10"/>
      <color theme="1"/>
      <name val="Calibri"/>
      <family val="2"/>
      <scheme val="minor"/>
    </font>
    <font>
      <sz val="11"/>
      <name val="Calibri"/>
      <family val="2"/>
      <scheme val="minor"/>
    </font>
    <font>
      <b/>
      <sz val="11"/>
      <color rgb="FF0070C0"/>
      <name val="Calibri"/>
      <family val="2"/>
      <scheme val="minor"/>
    </font>
    <font>
      <sz val="11"/>
      <color theme="1"/>
      <name val="Calibri"/>
      <family val="2"/>
    </font>
    <font>
      <u/>
      <sz val="11"/>
      <color theme="1"/>
      <name val="Calibri"/>
      <family val="2"/>
      <scheme val="minor"/>
    </font>
    <font>
      <vertAlign val="subscript"/>
      <sz val="11"/>
      <color theme="1"/>
      <name val="Calibri"/>
      <family val="2"/>
      <scheme val="minor"/>
    </font>
    <font>
      <b/>
      <sz val="12"/>
      <color theme="1"/>
      <name val="Calibri"/>
      <family val="2"/>
      <scheme val="minor"/>
    </font>
    <font>
      <vertAlign val="subscript"/>
      <sz val="11"/>
      <color theme="1"/>
      <name val="Calibri"/>
      <family val="2"/>
    </font>
    <font>
      <b/>
      <sz val="11"/>
      <color theme="3" tint="0.39997558519241921"/>
      <name val="Calibri"/>
      <family val="2"/>
      <scheme val="minor"/>
    </font>
    <font>
      <b/>
      <sz val="11"/>
      <color theme="1"/>
      <name val="Calibri"/>
      <family val="2"/>
      <scheme val="minor"/>
    </font>
    <font>
      <sz val="10"/>
      <name val="Calibri"/>
      <family val="2"/>
      <scheme val="minor"/>
    </font>
    <font>
      <b/>
      <sz val="12"/>
      <color rgb="FF00B0F0"/>
      <name val="Calibri"/>
      <family val="2"/>
      <scheme val="minor"/>
    </font>
    <font>
      <b/>
      <sz val="11"/>
      <color rgb="FF00B0F0"/>
      <name val="Calibri"/>
      <family val="2"/>
      <scheme val="minor"/>
    </font>
    <font>
      <b/>
      <sz val="10"/>
      <color rgb="FF00B0F0"/>
      <name val="Arial"/>
      <family val="2"/>
    </font>
    <font>
      <vertAlign val="subscript"/>
      <sz val="10"/>
      <name val="Arial"/>
      <family val="2"/>
    </font>
    <font>
      <vertAlign val="subscript"/>
      <sz val="11"/>
      <name val="Calibri"/>
      <family val="2"/>
      <scheme val="minor"/>
    </font>
    <font>
      <sz val="11"/>
      <color rgb="FF0070C0"/>
      <name val="Calibri"/>
      <family val="2"/>
      <scheme val="minor"/>
    </font>
    <font>
      <b/>
      <u/>
      <sz val="11"/>
      <color theme="1"/>
      <name val="Calibri"/>
      <family val="2"/>
      <scheme val="minor"/>
    </font>
    <font>
      <sz val="18"/>
      <color theme="2" tint="-0.89999084444715716"/>
      <name val="Calibri"/>
      <family val="2"/>
      <scheme val="minor"/>
    </font>
    <font>
      <sz val="11"/>
      <color theme="2" tint="-0.89999084444715716"/>
      <name val="Calibri"/>
      <family val="2"/>
      <scheme val="minor"/>
    </font>
    <font>
      <b/>
      <sz val="11"/>
      <color theme="2" tint="-0.89999084444715716"/>
      <name val="Calibri"/>
      <family val="2"/>
      <scheme val="minor"/>
    </font>
    <font>
      <sz val="10"/>
      <color theme="2" tint="-0.89999084444715716"/>
      <name val="Arial"/>
      <family val="2"/>
    </font>
    <font>
      <vertAlign val="subscript"/>
      <sz val="10"/>
      <color theme="2" tint="-0.89999084444715716"/>
      <name val="Arial"/>
      <family val="2"/>
    </font>
    <font>
      <sz val="11"/>
      <color theme="1" tint="0.14999847407452621"/>
      <name val="Calibri"/>
      <family val="2"/>
      <scheme val="minor"/>
    </font>
    <font>
      <vertAlign val="subscript"/>
      <sz val="11"/>
      <color theme="2" tint="-0.89996032593768116"/>
      <name val="Calibri"/>
      <family val="2"/>
      <scheme val="minor"/>
    </font>
    <font>
      <b/>
      <vertAlign val="subscript"/>
      <sz val="11"/>
      <color theme="2" tint="-0.89996032593768116"/>
      <name val="Calibri"/>
      <family val="2"/>
      <scheme val="minor"/>
    </font>
  </fonts>
  <fills count="17">
    <fill>
      <patternFill patternType="none"/>
    </fill>
    <fill>
      <patternFill patternType="gray125"/>
    </fill>
    <fill>
      <patternFill patternType="solid">
        <fgColor indexed="8"/>
        <bgColor indexed="64"/>
      </patternFill>
    </fill>
    <fill>
      <patternFill patternType="solid">
        <fgColor indexed="22"/>
        <bgColor indexed="64"/>
      </patternFill>
    </fill>
    <fill>
      <patternFill patternType="solid">
        <fgColor indexed="52"/>
        <bgColor indexed="64"/>
      </patternFill>
    </fill>
    <fill>
      <patternFill patternType="solid">
        <fgColor indexed="50"/>
        <bgColor indexed="64"/>
      </patternFill>
    </fill>
    <fill>
      <patternFill patternType="solid">
        <fgColor rgb="FFFF0000"/>
        <bgColor indexed="64"/>
      </patternFill>
    </fill>
    <fill>
      <patternFill patternType="solid">
        <fgColor rgb="FFFFFF00"/>
        <bgColor indexed="64"/>
      </patternFill>
    </fill>
    <fill>
      <patternFill patternType="solid">
        <fgColor theme="0" tint="-0.499984740745262"/>
        <bgColor indexed="64"/>
      </patternFill>
    </fill>
    <fill>
      <patternFill patternType="solid">
        <fgColor rgb="FFFFC000"/>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0.34998626667073579"/>
        <bgColor indexed="64"/>
      </patternFill>
    </fill>
    <fill>
      <patternFill patternType="solid">
        <fgColor theme="5" tint="0.79998168889431442"/>
        <bgColor indexed="64"/>
      </patternFill>
    </fill>
    <fill>
      <patternFill patternType="solid">
        <fgColor theme="2" tint="-0.89999084444715716"/>
        <bgColor indexed="64"/>
      </patternFill>
    </fill>
    <fill>
      <patternFill patternType="solid">
        <fgColor theme="0"/>
        <bgColor indexed="64"/>
      </patternFill>
    </fill>
    <fill>
      <patternFill patternType="solid">
        <fgColor rgb="FF00B050"/>
        <bgColor indexed="64"/>
      </patternFill>
    </fill>
  </fills>
  <borders count="31">
    <border>
      <left/>
      <right/>
      <top/>
      <bottom/>
      <diagonal/>
    </border>
    <border>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s>
  <cellStyleXfs count="12">
    <xf numFmtId="0" fontId="0" fillId="0" borderId="0"/>
    <xf numFmtId="0" fontId="3" fillId="0" borderId="0"/>
    <xf numFmtId="43" fontId="4" fillId="0" borderId="0" applyFont="0" applyFill="0" applyBorder="0" applyAlignment="0" applyProtection="0"/>
    <xf numFmtId="0" fontId="4" fillId="0" borderId="0"/>
    <xf numFmtId="0" fontId="1" fillId="0" borderId="0"/>
    <xf numFmtId="43" fontId="1" fillId="0" borderId="0" applyFont="0" applyFill="0" applyBorder="0" applyAlignment="0" applyProtection="0"/>
    <xf numFmtId="0" fontId="4" fillId="0" borderId="0"/>
    <xf numFmtId="0" fontId="4" fillId="0" borderId="0"/>
    <xf numFmtId="43" fontId="3" fillId="0" borderId="0" applyFont="0" applyFill="0" applyBorder="0" applyAlignment="0" applyProtection="0"/>
    <xf numFmtId="0" fontId="3" fillId="0" borderId="0"/>
    <xf numFmtId="0" fontId="3" fillId="0" borderId="0"/>
    <xf numFmtId="0" fontId="3" fillId="0" borderId="0"/>
  </cellStyleXfs>
  <cellXfs count="286">
    <xf numFmtId="0" fontId="0" fillId="0" borderId="0" xfId="0"/>
    <xf numFmtId="0" fontId="0" fillId="9" borderId="0" xfId="0" applyFill="1"/>
    <xf numFmtId="0" fontId="17" fillId="0" borderId="0" xfId="0" applyFont="1"/>
    <xf numFmtId="0" fontId="0" fillId="10" borderId="0" xfId="0" applyFill="1"/>
    <xf numFmtId="0" fontId="0" fillId="0" borderId="0" xfId="0"/>
    <xf numFmtId="0" fontId="4" fillId="0" borderId="0" xfId="3"/>
    <xf numFmtId="0" fontId="5" fillId="0" borderId="0" xfId="3" applyFont="1" applyFill="1" applyAlignment="1">
      <alignment horizontal="center"/>
    </xf>
    <xf numFmtId="0" fontId="5" fillId="3" borderId="0" xfId="3" applyFont="1" applyFill="1" applyAlignment="1">
      <alignment horizontal="center"/>
    </xf>
    <xf numFmtId="0" fontId="5" fillId="4" borderId="0" xfId="3" applyFont="1" applyFill="1" applyAlignment="1">
      <alignment horizontal="center"/>
    </xf>
    <xf numFmtId="0" fontId="5" fillId="5" borderId="0" xfId="3" applyFont="1" applyFill="1" applyAlignment="1">
      <alignment horizontal="center"/>
    </xf>
    <xf numFmtId="0" fontId="4" fillId="0" borderId="0" xfId="3"/>
    <xf numFmtId="0" fontId="5" fillId="0" borderId="0" xfId="3" applyFont="1"/>
    <xf numFmtId="0" fontId="5" fillId="0" borderId="0" xfId="3" applyFont="1" applyFill="1" applyAlignment="1">
      <alignment horizontal="center"/>
    </xf>
    <xf numFmtId="0" fontId="5" fillId="3" borderId="0" xfId="3" applyFont="1" applyFill="1" applyAlignment="1">
      <alignment horizontal="center"/>
    </xf>
    <xf numFmtId="0" fontId="5" fillId="4" borderId="0" xfId="3" applyFont="1" applyFill="1" applyAlignment="1">
      <alignment horizontal="center"/>
    </xf>
    <xf numFmtId="0" fontId="5" fillId="5" borderId="0" xfId="3" applyFont="1" applyFill="1" applyAlignment="1">
      <alignment horizontal="center"/>
    </xf>
    <xf numFmtId="0" fontId="5" fillId="0" borderId="0" xfId="3" applyFont="1" applyBorder="1"/>
    <xf numFmtId="0" fontId="5" fillId="0" borderId="0" xfId="3" applyFont="1" applyBorder="1" applyAlignment="1">
      <alignment horizontal="center"/>
    </xf>
    <xf numFmtId="0" fontId="4" fillId="0" borderId="0" xfId="3"/>
    <xf numFmtId="0" fontId="9" fillId="0" borderId="0" xfId="3" applyFont="1" applyBorder="1"/>
    <xf numFmtId="0" fontId="5" fillId="0" borderId="0" xfId="3" applyFont="1" applyAlignment="1">
      <alignment horizontal="center"/>
    </xf>
    <xf numFmtId="2" fontId="0" fillId="10" borderId="0" xfId="0" applyNumberFormat="1" applyFill="1"/>
    <xf numFmtId="0" fontId="0" fillId="11" borderId="0" xfId="0" applyFill="1"/>
    <xf numFmtId="165" fontId="0" fillId="9" borderId="0" xfId="0" applyNumberFormat="1" applyFill="1"/>
    <xf numFmtId="0" fontId="5" fillId="0" borderId="0" xfId="3" applyFont="1" applyFill="1" applyAlignment="1">
      <alignment horizontal="right"/>
    </xf>
    <xf numFmtId="0" fontId="4" fillId="0" borderId="0" xfId="3" applyFont="1" applyFill="1" applyAlignment="1">
      <alignment horizontal="center"/>
    </xf>
    <xf numFmtId="0" fontId="5" fillId="0" borderId="0" xfId="3" applyFont="1" applyFill="1"/>
    <xf numFmtId="0" fontId="0" fillId="0" borderId="0" xfId="0" applyFill="1"/>
    <xf numFmtId="164" fontId="0" fillId="9" borderId="0" xfId="0" applyNumberFormat="1" applyFill="1"/>
    <xf numFmtId="2" fontId="0" fillId="9" borderId="0" xfId="0" applyNumberFormat="1" applyFill="1"/>
    <xf numFmtId="1" fontId="0" fillId="9" borderId="0" xfId="0" applyNumberFormat="1" applyFill="1"/>
    <xf numFmtId="0" fontId="16" fillId="0" borderId="0" xfId="0" applyFont="1" applyFill="1" applyBorder="1"/>
    <xf numFmtId="0" fontId="0" fillId="0" borderId="0" xfId="0"/>
    <xf numFmtId="164" fontId="0" fillId="0" borderId="0" xfId="0" applyNumberFormat="1"/>
    <xf numFmtId="11" fontId="15" fillId="10" borderId="0" xfId="0" applyNumberFormat="1" applyFont="1" applyFill="1"/>
    <xf numFmtId="0" fontId="18" fillId="0" borderId="0" xfId="0" applyFont="1"/>
    <xf numFmtId="0" fontId="5" fillId="0" borderId="0" xfId="3" applyFont="1" applyAlignment="1">
      <alignment horizontal="center"/>
    </xf>
    <xf numFmtId="11" fontId="0" fillId="9" borderId="0" xfId="0" applyNumberFormat="1" applyFill="1"/>
    <xf numFmtId="0" fontId="0" fillId="0" borderId="0" xfId="0" applyFont="1"/>
    <xf numFmtId="0" fontId="5" fillId="0" borderId="0" xfId="3" applyFont="1" applyFill="1" applyAlignment="1">
      <alignment horizontal="left"/>
    </xf>
    <xf numFmtId="166" fontId="0" fillId="9" borderId="0" xfId="0" applyNumberFormat="1" applyFill="1"/>
    <xf numFmtId="0" fontId="15" fillId="10" borderId="0" xfId="0" applyFont="1" applyFill="1"/>
    <xf numFmtId="0" fontId="20" fillId="0" borderId="0" xfId="0" applyFont="1"/>
    <xf numFmtId="0" fontId="22" fillId="0" borderId="0" xfId="0" applyFont="1"/>
    <xf numFmtId="0" fontId="0" fillId="12" borderId="0" xfId="0" applyFill="1"/>
    <xf numFmtId="1" fontId="0" fillId="0" borderId="0" xfId="0" applyNumberFormat="1"/>
    <xf numFmtId="0" fontId="5" fillId="0" borderId="0" xfId="3" applyFont="1" applyAlignment="1">
      <alignment horizontal="center"/>
    </xf>
    <xf numFmtId="0" fontId="23" fillId="0" borderId="0" xfId="0" applyFont="1"/>
    <xf numFmtId="0" fontId="24" fillId="0" borderId="0" xfId="0" applyFont="1"/>
    <xf numFmtId="164" fontId="4" fillId="0" borderId="0" xfId="3" applyNumberFormat="1"/>
    <xf numFmtId="0" fontId="0" fillId="0" borderId="0" xfId="0" applyBorder="1"/>
    <xf numFmtId="2" fontId="0" fillId="0" borderId="0" xfId="0" applyNumberFormat="1" applyBorder="1"/>
    <xf numFmtId="0" fontId="25" fillId="0" borderId="0" xfId="0" applyFont="1"/>
    <xf numFmtId="2" fontId="0" fillId="0" borderId="5" xfId="0" applyNumberFormat="1" applyBorder="1"/>
    <xf numFmtId="2" fontId="0" fillId="0" borderId="7" xfId="0" applyNumberFormat="1" applyBorder="1"/>
    <xf numFmtId="0" fontId="4" fillId="0" borderId="8" xfId="3" applyBorder="1"/>
    <xf numFmtId="0" fontId="0" fillId="0" borderId="8" xfId="0" applyBorder="1"/>
    <xf numFmtId="0" fontId="4" fillId="0" borderId="8" xfId="3" applyFill="1" applyBorder="1"/>
    <xf numFmtId="0" fontId="4" fillId="0" borderId="9" xfId="3" applyFill="1" applyBorder="1"/>
    <xf numFmtId="0" fontId="0" fillId="0" borderId="5" xfId="0" applyBorder="1"/>
    <xf numFmtId="0" fontId="4" fillId="0" borderId="7" xfId="3" applyBorder="1"/>
    <xf numFmtId="0" fontId="4" fillId="0" borderId="7" xfId="3" applyFill="1" applyBorder="1"/>
    <xf numFmtId="0" fontId="0" fillId="0" borderId="6" xfId="0" applyBorder="1"/>
    <xf numFmtId="0" fontId="0" fillId="0" borderId="7" xfId="0" applyBorder="1"/>
    <xf numFmtId="0" fontId="0" fillId="0" borderId="9" xfId="0" applyBorder="1"/>
    <xf numFmtId="164" fontId="0" fillId="0" borderId="0" xfId="0" applyNumberFormat="1" applyBorder="1"/>
    <xf numFmtId="164" fontId="0" fillId="0" borderId="8" xfId="0" applyNumberFormat="1" applyBorder="1"/>
    <xf numFmtId="0" fontId="4" fillId="0" borderId="5" xfId="3" applyBorder="1"/>
    <xf numFmtId="2" fontId="0" fillId="0" borderId="10" xfId="0" applyNumberFormat="1" applyBorder="1"/>
    <xf numFmtId="0" fontId="26" fillId="0" borderId="0" xfId="0" applyFont="1"/>
    <xf numFmtId="0" fontId="27" fillId="0" borderId="0" xfId="3" applyFont="1"/>
    <xf numFmtId="167" fontId="0" fillId="0" borderId="0" xfId="0" applyNumberFormat="1"/>
    <xf numFmtId="0" fontId="0" fillId="0" borderId="2" xfId="0" applyBorder="1"/>
    <xf numFmtId="164" fontId="4" fillId="0" borderId="3" xfId="3" applyNumberFormat="1" applyBorder="1"/>
    <xf numFmtId="0" fontId="4" fillId="0" borderId="3" xfId="3" applyBorder="1"/>
    <xf numFmtId="0" fontId="0" fillId="0" borderId="3" xfId="0" applyBorder="1"/>
    <xf numFmtId="0" fontId="4" fillId="0" borderId="2" xfId="3" applyBorder="1"/>
    <xf numFmtId="164" fontId="0" fillId="0" borderId="3" xfId="0" applyNumberFormat="1" applyBorder="1"/>
    <xf numFmtId="0" fontId="0" fillId="0" borderId="4" xfId="0" applyBorder="1"/>
    <xf numFmtId="164" fontId="4" fillId="0" borderId="0" xfId="3" applyNumberFormat="1" applyBorder="1"/>
    <xf numFmtId="0" fontId="4" fillId="0" borderId="0" xfId="3" applyBorder="1"/>
    <xf numFmtId="164" fontId="4" fillId="0" borderId="8" xfId="3" applyNumberFormat="1" applyBorder="1"/>
    <xf numFmtId="0" fontId="4" fillId="0" borderId="0" xfId="3" applyFill="1" applyBorder="1"/>
    <xf numFmtId="0" fontId="4" fillId="0" borderId="6" xfId="3" applyFill="1" applyBorder="1"/>
    <xf numFmtId="0" fontId="0" fillId="0" borderId="10" xfId="0" applyBorder="1"/>
    <xf numFmtId="0" fontId="0" fillId="0" borderId="11" xfId="0" applyBorder="1"/>
    <xf numFmtId="164" fontId="4" fillId="0" borderId="11" xfId="3" applyNumberFormat="1" applyBorder="1"/>
    <xf numFmtId="0" fontId="4" fillId="0" borderId="11" xfId="3" applyBorder="1"/>
    <xf numFmtId="0" fontId="4" fillId="0" borderId="10" xfId="3" applyBorder="1"/>
    <xf numFmtId="164" fontId="0" fillId="0" borderId="11" xfId="0" applyNumberFormat="1" applyBorder="1"/>
    <xf numFmtId="0" fontId="0" fillId="0" borderId="12" xfId="0" applyBorder="1"/>
    <xf numFmtId="1" fontId="0" fillId="0" borderId="4" xfId="0" applyNumberFormat="1" applyBorder="1"/>
    <xf numFmtId="1" fontId="0" fillId="0" borderId="6" xfId="0" applyNumberFormat="1" applyBorder="1"/>
    <xf numFmtId="1" fontId="0" fillId="0" borderId="9" xfId="0" applyNumberFormat="1" applyBorder="1"/>
    <xf numFmtId="0" fontId="0" fillId="0" borderId="13" xfId="0" applyBorder="1"/>
    <xf numFmtId="0" fontId="0" fillId="13" borderId="0" xfId="0" applyFill="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4" fillId="0" borderId="0" xfId="3" applyFont="1" applyFill="1" applyBorder="1" applyAlignment="1" applyProtection="1">
      <alignment horizontal="left"/>
    </xf>
    <xf numFmtId="0" fontId="4" fillId="0" borderId="8" xfId="3" applyFont="1" applyFill="1" applyBorder="1" applyAlignment="1" applyProtection="1">
      <alignment horizontal="left"/>
    </xf>
    <xf numFmtId="0" fontId="5" fillId="0" borderId="0" xfId="3" applyFont="1" applyAlignment="1">
      <alignment horizontal="center"/>
    </xf>
    <xf numFmtId="0" fontId="0" fillId="0" borderId="13" xfId="0" applyFill="1" applyBorder="1"/>
    <xf numFmtId="0" fontId="0" fillId="13" borderId="13" xfId="0" applyFill="1" applyBorder="1"/>
    <xf numFmtId="0" fontId="0" fillId="0" borderId="19" xfId="0" applyBorder="1"/>
    <xf numFmtId="0" fontId="0" fillId="0" borderId="14" xfId="0" applyFill="1" applyBorder="1"/>
    <xf numFmtId="0" fontId="0" fillId="13" borderId="15" xfId="0" applyFill="1" applyBorder="1"/>
    <xf numFmtId="0" fontId="0" fillId="0" borderId="15" xfId="0" applyFill="1" applyBorder="1"/>
    <xf numFmtId="0" fontId="0" fillId="0" borderId="20" xfId="0" applyBorder="1" applyAlignment="1">
      <alignment horizontal="center" wrapText="1"/>
    </xf>
    <xf numFmtId="0" fontId="0" fillId="0" borderId="21" xfId="0" applyBorder="1"/>
    <xf numFmtId="0" fontId="0" fillId="0" borderId="22" xfId="0" applyBorder="1"/>
    <xf numFmtId="0" fontId="15" fillId="0" borderId="0" xfId="0" applyFont="1"/>
    <xf numFmtId="0" fontId="0" fillId="6" borderId="0" xfId="0" applyFill="1" applyProtection="1">
      <protection hidden="1"/>
    </xf>
    <xf numFmtId="0" fontId="10" fillId="6" borderId="0" xfId="0" applyFont="1" applyFill="1" applyAlignment="1" applyProtection="1">
      <alignment horizontal="left" vertical="center"/>
      <protection hidden="1"/>
    </xf>
    <xf numFmtId="0" fontId="0" fillId="6" borderId="0" xfId="0" applyFill="1" applyAlignment="1" applyProtection="1">
      <alignment horizontal="right"/>
      <protection hidden="1"/>
    </xf>
    <xf numFmtId="0" fontId="0" fillId="6" borderId="0" xfId="0" applyFill="1" applyBorder="1" applyProtection="1">
      <protection hidden="1"/>
    </xf>
    <xf numFmtId="0" fontId="15" fillId="8" borderId="0" xfId="0" applyFont="1" applyFill="1" applyProtection="1">
      <protection hidden="1"/>
    </xf>
    <xf numFmtId="0" fontId="0" fillId="14" borderId="0" xfId="0" applyFill="1" applyProtection="1">
      <protection hidden="1"/>
    </xf>
    <xf numFmtId="0" fontId="0" fillId="8" borderId="0" xfId="0" applyFill="1" applyBorder="1" applyProtection="1">
      <protection hidden="1"/>
    </xf>
    <xf numFmtId="0" fontId="0" fillId="8" borderId="0" xfId="0" applyFill="1" applyBorder="1" applyAlignment="1" applyProtection="1">
      <alignment horizontal="right"/>
      <protection hidden="1"/>
    </xf>
    <xf numFmtId="0" fontId="15" fillId="8" borderId="0" xfId="0" applyFont="1" applyFill="1" applyBorder="1" applyProtection="1">
      <protection hidden="1"/>
    </xf>
    <xf numFmtId="0" fontId="0" fillId="14" borderId="0" xfId="0" applyFill="1" applyBorder="1" applyProtection="1">
      <protection hidden="1"/>
    </xf>
    <xf numFmtId="0" fontId="2" fillId="8" borderId="0" xfId="0" applyFont="1" applyFill="1" applyBorder="1" applyProtection="1">
      <protection hidden="1"/>
    </xf>
    <xf numFmtId="0" fontId="0" fillId="7" borderId="0" xfId="0" applyFill="1" applyBorder="1" applyProtection="1">
      <protection hidden="1"/>
    </xf>
    <xf numFmtId="0" fontId="2" fillId="8" borderId="0" xfId="0" quotePrefix="1" applyFont="1" applyFill="1" applyBorder="1" applyProtection="1">
      <protection hidden="1"/>
    </xf>
    <xf numFmtId="0" fontId="2" fillId="8" borderId="0" xfId="0" applyFont="1" applyFill="1" applyBorder="1" applyAlignment="1" applyProtection="1">
      <alignment horizontal="right"/>
      <protection hidden="1"/>
    </xf>
    <xf numFmtId="0" fontId="0" fillId="8" borderId="1" xfId="0" applyFill="1" applyBorder="1" applyProtection="1">
      <protection hidden="1"/>
    </xf>
    <xf numFmtId="0" fontId="0" fillId="8" borderId="1" xfId="0" applyFill="1" applyBorder="1" applyAlignment="1" applyProtection="1">
      <alignment horizontal="right"/>
      <protection hidden="1"/>
    </xf>
    <xf numFmtId="0" fontId="15" fillId="8" borderId="1" xfId="0" applyFont="1" applyFill="1" applyBorder="1" applyProtection="1">
      <protection hidden="1"/>
    </xf>
    <xf numFmtId="0" fontId="0" fillId="14" borderId="1" xfId="0" applyFill="1" applyBorder="1" applyProtection="1">
      <protection hidden="1"/>
    </xf>
    <xf numFmtId="0" fontId="0" fillId="15" borderId="0" xfId="0" applyFill="1" applyProtection="1">
      <protection hidden="1"/>
    </xf>
    <xf numFmtId="0" fontId="0" fillId="15" borderId="0" xfId="0" applyFill="1" applyAlignment="1" applyProtection="1">
      <alignment horizontal="right"/>
      <protection hidden="1"/>
    </xf>
    <xf numFmtId="49" fontId="0" fillId="15" borderId="0" xfId="0" applyNumberFormat="1" applyFill="1" applyProtection="1">
      <protection hidden="1"/>
    </xf>
    <xf numFmtId="0" fontId="0" fillId="15" borderId="0" xfId="0" applyFill="1" applyBorder="1" applyProtection="1">
      <protection hidden="1"/>
    </xf>
    <xf numFmtId="0" fontId="0" fillId="15" borderId="2" xfId="0" applyFill="1" applyBorder="1" applyProtection="1">
      <protection hidden="1"/>
    </xf>
    <xf numFmtId="0" fontId="0" fillId="15" borderId="3" xfId="0" applyFill="1" applyBorder="1" applyProtection="1">
      <protection hidden="1"/>
    </xf>
    <xf numFmtId="0" fontId="13" fillId="15" borderId="3" xfId="3" applyFont="1" applyFill="1" applyBorder="1" applyAlignment="1" applyProtection="1">
      <alignment horizontal="right"/>
      <protection hidden="1"/>
    </xf>
    <xf numFmtId="0" fontId="0" fillId="15" borderId="4" xfId="0" applyFill="1" applyBorder="1" applyProtection="1">
      <protection hidden="1"/>
    </xf>
    <xf numFmtId="0" fontId="0" fillId="15" borderId="5" xfId="0" applyFill="1" applyBorder="1" applyProtection="1">
      <protection hidden="1"/>
    </xf>
    <xf numFmtId="0" fontId="13" fillId="15" borderId="0" xfId="3" applyFont="1" applyFill="1" applyBorder="1" applyAlignment="1" applyProtection="1">
      <alignment horizontal="right"/>
      <protection hidden="1"/>
    </xf>
    <xf numFmtId="0" fontId="0" fillId="15" borderId="6" xfId="0" applyFill="1" applyBorder="1" applyProtection="1">
      <protection hidden="1"/>
    </xf>
    <xf numFmtId="0" fontId="13" fillId="15" borderId="5" xfId="0" applyFont="1" applyFill="1" applyBorder="1" applyProtection="1">
      <protection hidden="1"/>
    </xf>
    <xf numFmtId="0" fontId="13" fillId="15" borderId="0" xfId="0" applyFont="1" applyFill="1" applyBorder="1" applyProtection="1">
      <protection hidden="1"/>
    </xf>
    <xf numFmtId="0" fontId="13" fillId="15" borderId="0" xfId="0" applyFont="1" applyFill="1" applyBorder="1" applyAlignment="1" applyProtection="1">
      <alignment horizontal="right"/>
      <protection hidden="1"/>
    </xf>
    <xf numFmtId="0" fontId="0" fillId="15" borderId="8" xfId="0" applyFill="1" applyBorder="1" applyProtection="1">
      <protection hidden="1"/>
    </xf>
    <xf numFmtId="0" fontId="0" fillId="15" borderId="9" xfId="0" applyFill="1" applyBorder="1" applyProtection="1">
      <protection hidden="1"/>
    </xf>
    <xf numFmtId="0" fontId="13" fillId="15" borderId="0" xfId="0" applyFont="1" applyFill="1" applyProtection="1">
      <protection hidden="1"/>
    </xf>
    <xf numFmtId="0" fontId="16" fillId="15" borderId="0" xfId="0" applyFont="1" applyFill="1" applyBorder="1" applyProtection="1">
      <protection hidden="1"/>
    </xf>
    <xf numFmtId="0" fontId="13" fillId="15" borderId="3" xfId="0" applyFont="1" applyFill="1" applyBorder="1" applyProtection="1">
      <protection hidden="1"/>
    </xf>
    <xf numFmtId="0" fontId="0" fillId="15" borderId="7" xfId="0" applyFill="1" applyBorder="1" applyProtection="1">
      <protection hidden="1"/>
    </xf>
    <xf numFmtId="0" fontId="13" fillId="15" borderId="8" xfId="3" applyFont="1" applyFill="1" applyBorder="1" applyAlignment="1" applyProtection="1">
      <alignment horizontal="right"/>
      <protection hidden="1"/>
    </xf>
    <xf numFmtId="0" fontId="0" fillId="15" borderId="0" xfId="0" applyFill="1" applyBorder="1" applyAlignment="1" applyProtection="1">
      <alignment horizontal="right"/>
      <protection hidden="1"/>
    </xf>
    <xf numFmtId="0" fontId="17" fillId="15" borderId="6" xfId="0" applyFont="1" applyFill="1" applyBorder="1" applyProtection="1">
      <protection hidden="1"/>
    </xf>
    <xf numFmtId="0" fontId="0" fillId="15" borderId="8" xfId="0" applyFill="1" applyBorder="1" applyAlignment="1" applyProtection="1">
      <alignment horizontal="right"/>
      <protection hidden="1"/>
    </xf>
    <xf numFmtId="0" fontId="17" fillId="15" borderId="9" xfId="0" applyFont="1" applyFill="1" applyBorder="1" applyProtection="1">
      <protection hidden="1"/>
    </xf>
    <xf numFmtId="0" fontId="0" fillId="15" borderId="3" xfId="0" applyFill="1" applyBorder="1" applyAlignment="1" applyProtection="1">
      <alignment horizontal="right"/>
      <protection hidden="1"/>
    </xf>
    <xf numFmtId="0" fontId="16" fillId="15" borderId="2" xfId="0" applyFont="1" applyFill="1" applyBorder="1" applyProtection="1">
      <protection hidden="1"/>
    </xf>
    <xf numFmtId="0" fontId="15" fillId="15" borderId="3" xfId="0" applyFont="1" applyFill="1" applyBorder="1" applyAlignment="1" applyProtection="1">
      <alignment horizontal="right"/>
      <protection hidden="1"/>
    </xf>
    <xf numFmtId="0" fontId="16" fillId="15" borderId="5" xfId="0" applyFont="1" applyFill="1" applyBorder="1" applyProtection="1">
      <protection hidden="1"/>
    </xf>
    <xf numFmtId="0" fontId="23" fillId="15" borderId="0" xfId="0" applyFont="1" applyFill="1" applyBorder="1" applyAlignment="1" applyProtection="1">
      <alignment horizontal="right"/>
      <protection hidden="1"/>
    </xf>
    <xf numFmtId="0" fontId="0" fillId="15" borderId="0" xfId="0" applyFill="1" applyBorder="1" applyAlignment="1" applyProtection="1">
      <alignment horizontal="center"/>
      <protection hidden="1"/>
    </xf>
    <xf numFmtId="0" fontId="0" fillId="15" borderId="6" xfId="0" applyFill="1" applyBorder="1" applyAlignment="1" applyProtection="1">
      <alignment horizontal="center"/>
      <protection hidden="1"/>
    </xf>
    <xf numFmtId="0" fontId="0" fillId="14" borderId="0" xfId="0" applyFill="1" applyAlignment="1" applyProtection="1">
      <alignment horizontal="right"/>
      <protection hidden="1"/>
    </xf>
    <xf numFmtId="0" fontId="15" fillId="14" borderId="0" xfId="0" applyFont="1" applyFill="1" applyProtection="1">
      <protection hidden="1"/>
    </xf>
    <xf numFmtId="0" fontId="0" fillId="7" borderId="24" xfId="0" applyFill="1" applyBorder="1" applyProtection="1">
      <protection locked="0" hidden="1"/>
    </xf>
    <xf numFmtId="0" fontId="0" fillId="7" borderId="25" xfId="0" applyFill="1" applyBorder="1" applyProtection="1">
      <protection locked="0" hidden="1"/>
    </xf>
    <xf numFmtId="2" fontId="0" fillId="15" borderId="25" xfId="0" applyNumberFormat="1" applyFill="1" applyBorder="1" applyProtection="1">
      <protection hidden="1"/>
    </xf>
    <xf numFmtId="0" fontId="0" fillId="15" borderId="25" xfId="0" applyFill="1" applyBorder="1" applyProtection="1">
      <protection hidden="1"/>
    </xf>
    <xf numFmtId="164" fontId="0" fillId="0" borderId="25" xfId="0" applyNumberFormat="1" applyBorder="1" applyProtection="1">
      <protection hidden="1"/>
    </xf>
    <xf numFmtId="2" fontId="0" fillId="0" borderId="26" xfId="0" applyNumberFormat="1" applyBorder="1" applyProtection="1">
      <protection hidden="1"/>
    </xf>
    <xf numFmtId="2" fontId="0" fillId="15" borderId="26" xfId="0" applyNumberFormat="1" applyFill="1" applyBorder="1" applyProtection="1">
      <protection hidden="1"/>
    </xf>
    <xf numFmtId="0" fontId="0" fillId="7" borderId="26" xfId="0" applyFill="1" applyBorder="1" applyProtection="1">
      <protection locked="0" hidden="1"/>
    </xf>
    <xf numFmtId="2" fontId="0" fillId="0" borderId="25" xfId="0" applyNumberFormat="1" applyBorder="1" applyProtection="1">
      <protection hidden="1"/>
    </xf>
    <xf numFmtId="2" fontId="0" fillId="0" borderId="24" xfId="0" applyNumberFormat="1" applyBorder="1" applyProtection="1">
      <protection hidden="1"/>
    </xf>
    <xf numFmtId="1" fontId="0" fillId="0" borderId="26" xfId="0" applyNumberFormat="1" applyBorder="1" applyProtection="1">
      <protection hidden="1"/>
    </xf>
    <xf numFmtId="0" fontId="0" fillId="7" borderId="24" xfId="0" applyFont="1" applyFill="1" applyBorder="1" applyAlignment="1" applyProtection="1">
      <alignment vertical="top"/>
      <protection hidden="1"/>
    </xf>
    <xf numFmtId="0" fontId="0" fillId="0" borderId="25" xfId="0" applyFont="1" applyFill="1" applyBorder="1" applyAlignment="1" applyProtection="1">
      <alignment vertical="top"/>
      <protection hidden="1"/>
    </xf>
    <xf numFmtId="164" fontId="0" fillId="15" borderId="25" xfId="0" applyNumberFormat="1" applyFill="1" applyBorder="1" applyProtection="1">
      <protection hidden="1"/>
    </xf>
    <xf numFmtId="0" fontId="0" fillId="15" borderId="25" xfId="0" applyFill="1" applyBorder="1" applyAlignment="1" applyProtection="1">
      <alignment horizontal="center"/>
      <protection hidden="1"/>
    </xf>
    <xf numFmtId="1" fontId="0" fillId="15" borderId="7" xfId="0" applyNumberFormat="1" applyFill="1" applyBorder="1" applyProtection="1">
      <protection hidden="1"/>
    </xf>
    <xf numFmtId="0" fontId="0" fillId="7" borderId="23" xfId="0" applyFill="1" applyBorder="1" applyProtection="1">
      <protection locked="0" hidden="1"/>
    </xf>
    <xf numFmtId="0" fontId="0" fillId="7" borderId="0" xfId="0" applyFill="1"/>
    <xf numFmtId="0" fontId="30" fillId="0" borderId="0" xfId="0" applyFont="1" applyFill="1" applyBorder="1"/>
    <xf numFmtId="0" fontId="31" fillId="0" borderId="0" xfId="0" applyFont="1"/>
    <xf numFmtId="0" fontId="0" fillId="0" borderId="0" xfId="0" applyBorder="1" applyAlignment="1">
      <alignment horizontal="center"/>
    </xf>
    <xf numFmtId="11" fontId="0" fillId="0" borderId="0" xfId="0" applyNumberFormat="1" applyFill="1"/>
    <xf numFmtId="168" fontId="0" fillId="9" borderId="0" xfId="0" applyNumberFormat="1" applyFill="1"/>
    <xf numFmtId="0" fontId="3" fillId="0" borderId="8" xfId="3" applyFont="1" applyFill="1" applyBorder="1"/>
    <xf numFmtId="0" fontId="3" fillId="0" borderId="8" xfId="3" applyFont="1" applyBorder="1"/>
    <xf numFmtId="0" fontId="23" fillId="15" borderId="24" xfId="0" applyFont="1" applyFill="1" applyBorder="1" applyAlignment="1" applyProtection="1">
      <alignment horizontal="center"/>
      <protection hidden="1"/>
    </xf>
    <xf numFmtId="2" fontId="0" fillId="0" borderId="0" xfId="0" applyNumberFormat="1" applyFill="1"/>
    <xf numFmtId="0" fontId="23" fillId="0" borderId="0" xfId="0" quotePrefix="1" applyFont="1"/>
    <xf numFmtId="0" fontId="0" fillId="14" borderId="0" xfId="0" applyFont="1" applyFill="1" applyProtection="1">
      <protection hidden="1"/>
    </xf>
    <xf numFmtId="0" fontId="37" fillId="14" borderId="0" xfId="0" applyFont="1" applyFill="1" applyBorder="1" applyProtection="1">
      <protection hidden="1"/>
    </xf>
    <xf numFmtId="0" fontId="0" fillId="0" borderId="0" xfId="0" applyAlignment="1"/>
    <xf numFmtId="0" fontId="0" fillId="15" borderId="0" xfId="0" applyFill="1"/>
    <xf numFmtId="0" fontId="0" fillId="10" borderId="0" xfId="0" applyFont="1" applyFill="1"/>
    <xf numFmtId="0" fontId="13" fillId="15" borderId="7" xfId="0" applyFont="1" applyFill="1" applyBorder="1" applyProtection="1">
      <protection hidden="1"/>
    </xf>
    <xf numFmtId="0" fontId="13" fillId="15" borderId="8" xfId="0" applyFont="1" applyFill="1" applyBorder="1" applyProtection="1">
      <protection hidden="1"/>
    </xf>
    <xf numFmtId="167" fontId="0" fillId="15" borderId="25" xfId="0" applyNumberFormat="1" applyFill="1" applyBorder="1" applyProtection="1">
      <protection hidden="1"/>
    </xf>
    <xf numFmtId="164" fontId="0" fillId="0" borderId="0" xfId="0" applyNumberFormat="1" applyFill="1"/>
    <xf numFmtId="0" fontId="23" fillId="13" borderId="0" xfId="0" applyFont="1" applyFill="1"/>
    <xf numFmtId="164" fontId="0" fillId="6" borderId="0" xfId="0" applyNumberFormat="1" applyFill="1"/>
    <xf numFmtId="0" fontId="0" fillId="6" borderId="0" xfId="0" applyFill="1"/>
    <xf numFmtId="164" fontId="0" fillId="0" borderId="26" xfId="0" applyNumberFormat="1" applyBorder="1" applyProtection="1">
      <protection hidden="1"/>
    </xf>
    <xf numFmtId="169" fontId="0" fillId="0" borderId="0" xfId="0" applyNumberFormat="1"/>
    <xf numFmtId="0" fontId="17" fillId="15" borderId="10" xfId="0" applyFont="1" applyFill="1" applyBorder="1" applyAlignment="1" applyProtection="1">
      <alignment horizontal="left"/>
      <protection hidden="1"/>
    </xf>
    <xf numFmtId="0" fontId="0" fillId="15" borderId="7" xfId="0" applyFill="1" applyBorder="1" applyAlignment="1" applyProtection="1">
      <alignment horizontal="left"/>
      <protection hidden="1"/>
    </xf>
    <xf numFmtId="0" fontId="32" fillId="15" borderId="0" xfId="0" applyFont="1" applyFill="1" applyBorder="1" applyProtection="1">
      <protection hidden="1"/>
    </xf>
    <xf numFmtId="0" fontId="33" fillId="15" borderId="0" xfId="0" applyFont="1" applyFill="1" applyBorder="1" applyProtection="1">
      <protection hidden="1"/>
    </xf>
    <xf numFmtId="0" fontId="33" fillId="15" borderId="0" xfId="0" applyFont="1" applyFill="1" applyBorder="1" applyAlignment="1" applyProtection="1">
      <alignment horizontal="right"/>
      <protection hidden="1"/>
    </xf>
    <xf numFmtId="0" fontId="37" fillId="15" borderId="0" xfId="0" applyFont="1" applyFill="1" applyBorder="1" applyProtection="1">
      <protection hidden="1"/>
    </xf>
    <xf numFmtId="0" fontId="34" fillId="15" borderId="0" xfId="0" applyFont="1" applyFill="1" applyBorder="1" applyAlignment="1" applyProtection="1">
      <alignment horizontal="left"/>
      <protection hidden="1"/>
    </xf>
    <xf numFmtId="0" fontId="35" fillId="15" borderId="0" xfId="3" applyFont="1" applyFill="1" applyBorder="1" applyAlignment="1" applyProtection="1">
      <alignment horizontal="right"/>
      <protection hidden="1"/>
    </xf>
    <xf numFmtId="0" fontId="33" fillId="15" borderId="0" xfId="0" applyFont="1" applyFill="1" applyProtection="1">
      <protection hidden="1"/>
    </xf>
    <xf numFmtId="0" fontId="33" fillId="15" borderId="0" xfId="0" applyFont="1" applyFill="1" applyAlignment="1" applyProtection="1">
      <alignment horizontal="right"/>
      <protection hidden="1"/>
    </xf>
    <xf numFmtId="0" fontId="0" fillId="15" borderId="0" xfId="0" applyFont="1" applyFill="1" applyProtection="1">
      <protection hidden="1"/>
    </xf>
    <xf numFmtId="0" fontId="0" fillId="15" borderId="0" xfId="0" applyFont="1" applyFill="1" applyAlignment="1" applyProtection="1">
      <alignment horizontal="right"/>
      <protection hidden="1"/>
    </xf>
    <xf numFmtId="0" fontId="0" fillId="15" borderId="0" xfId="0" applyFont="1" applyFill="1" applyBorder="1" applyProtection="1">
      <protection hidden="1"/>
    </xf>
    <xf numFmtId="0" fontId="0" fillId="0" borderId="23" xfId="0" applyBorder="1"/>
    <xf numFmtId="0" fontId="0" fillId="0" borderId="25" xfId="0" applyBorder="1"/>
    <xf numFmtId="0" fontId="0" fillId="0" borderId="24" xfId="0" applyBorder="1"/>
    <xf numFmtId="0" fontId="0" fillId="0" borderId="26" xfId="0" applyBorder="1"/>
    <xf numFmtId="0" fontId="4" fillId="0" borderId="11" xfId="3" applyFill="1" applyBorder="1"/>
    <xf numFmtId="0" fontId="4" fillId="0" borderId="10" xfId="3" applyFill="1" applyBorder="1"/>
    <xf numFmtId="0" fontId="4" fillId="0" borderId="12" xfId="3" applyFill="1" applyBorder="1"/>
    <xf numFmtId="0" fontId="3" fillId="0" borderId="10" xfId="3" applyFont="1" applyFill="1" applyBorder="1"/>
    <xf numFmtId="0" fontId="3" fillId="0" borderId="11" xfId="3" applyFont="1" applyBorder="1"/>
    <xf numFmtId="0" fontId="0" fillId="8" borderId="0" xfId="0" applyFill="1" applyProtection="1">
      <protection hidden="1"/>
    </xf>
    <xf numFmtId="0" fontId="0" fillId="8" borderId="0" xfId="0" applyFill="1" applyAlignment="1" applyProtection="1">
      <alignment horizontal="right"/>
      <protection hidden="1"/>
    </xf>
    <xf numFmtId="1" fontId="0" fillId="8" borderId="0" xfId="0" applyNumberFormat="1" applyFill="1" applyProtection="1">
      <protection hidden="1"/>
    </xf>
    <xf numFmtId="167" fontId="0" fillId="0" borderId="25" xfId="0" applyNumberFormat="1" applyBorder="1" applyProtection="1">
      <protection hidden="1"/>
    </xf>
    <xf numFmtId="167" fontId="0" fillId="15" borderId="10" xfId="0" applyNumberFormat="1" applyFill="1" applyBorder="1" applyProtection="1">
      <protection hidden="1"/>
    </xf>
    <xf numFmtId="0" fontId="0" fillId="16" borderId="0" xfId="0" applyFill="1"/>
    <xf numFmtId="0" fontId="0" fillId="0" borderId="28" xfId="0" applyFill="1" applyBorder="1"/>
    <xf numFmtId="0" fontId="0" fillId="0" borderId="28" xfId="0" applyBorder="1"/>
    <xf numFmtId="0" fontId="37" fillId="8" borderId="0" xfId="0" applyFont="1" applyFill="1" applyBorder="1" applyProtection="1">
      <protection hidden="1"/>
    </xf>
    <xf numFmtId="0" fontId="0" fillId="8" borderId="0" xfId="0" applyFont="1" applyFill="1" applyProtection="1">
      <protection hidden="1"/>
    </xf>
    <xf numFmtId="0" fontId="33" fillId="15" borderId="2" xfId="0" applyFont="1" applyFill="1" applyBorder="1" applyProtection="1">
      <protection hidden="1"/>
    </xf>
    <xf numFmtId="0" fontId="33" fillId="15" borderId="3" xfId="0" applyFont="1" applyFill="1" applyBorder="1" applyProtection="1">
      <protection hidden="1"/>
    </xf>
    <xf numFmtId="0" fontId="35" fillId="15" borderId="3" xfId="3" applyFont="1" applyFill="1" applyBorder="1" applyAlignment="1" applyProtection="1">
      <alignment horizontal="right"/>
      <protection hidden="1"/>
    </xf>
    <xf numFmtId="0" fontId="35" fillId="15" borderId="4" xfId="3" applyFont="1" applyFill="1" applyBorder="1" applyProtection="1">
      <protection hidden="1"/>
    </xf>
    <xf numFmtId="0" fontId="34" fillId="15" borderId="5" xfId="0" applyFont="1" applyFill="1" applyBorder="1" applyProtection="1">
      <protection hidden="1"/>
    </xf>
    <xf numFmtId="0" fontId="35" fillId="15" borderId="6" xfId="3" applyFont="1" applyFill="1" applyBorder="1" applyProtection="1">
      <protection hidden="1"/>
    </xf>
    <xf numFmtId="0" fontId="33" fillId="15" borderId="5" xfId="0" applyFont="1" applyFill="1" applyBorder="1" applyProtection="1">
      <protection hidden="1"/>
    </xf>
    <xf numFmtId="0" fontId="33" fillId="15" borderId="7" xfId="0" applyFont="1" applyFill="1" applyBorder="1" applyProtection="1">
      <protection hidden="1"/>
    </xf>
    <xf numFmtId="0" fontId="33" fillId="15" borderId="8" xfId="0" applyFont="1" applyFill="1" applyBorder="1" applyProtection="1">
      <protection hidden="1"/>
    </xf>
    <xf numFmtId="0" fontId="35" fillId="15" borderId="8" xfId="3" applyFont="1" applyFill="1" applyBorder="1" applyAlignment="1" applyProtection="1">
      <alignment horizontal="right"/>
      <protection hidden="1"/>
    </xf>
    <xf numFmtId="0" fontId="35" fillId="15" borderId="9" xfId="3" applyFont="1" applyFill="1" applyBorder="1" applyProtection="1">
      <protection hidden="1"/>
    </xf>
    <xf numFmtId="0" fontId="33" fillId="15" borderId="6" xfId="0" applyFont="1" applyFill="1" applyBorder="1" applyProtection="1">
      <protection hidden="1"/>
    </xf>
    <xf numFmtId="0" fontId="33" fillId="15" borderId="8" xfId="0" applyFont="1" applyFill="1" applyBorder="1" applyAlignment="1" applyProtection="1">
      <alignment horizontal="right"/>
      <protection hidden="1"/>
    </xf>
    <xf numFmtId="0" fontId="33" fillId="15" borderId="9" xfId="0" applyFont="1" applyFill="1" applyBorder="1" applyProtection="1">
      <protection hidden="1"/>
    </xf>
    <xf numFmtId="0" fontId="13" fillId="15" borderId="8" xfId="0" applyFont="1" applyFill="1" applyBorder="1" applyAlignment="1" applyProtection="1">
      <alignment horizontal="right"/>
      <protection hidden="1"/>
    </xf>
    <xf numFmtId="167" fontId="0" fillId="15" borderId="26" xfId="0" applyNumberFormat="1" applyFill="1" applyBorder="1" applyProtection="1">
      <protection hidden="1"/>
    </xf>
    <xf numFmtId="0" fontId="0" fillId="0" borderId="30" xfId="0" applyFill="1" applyBorder="1"/>
    <xf numFmtId="0" fontId="0" fillId="0" borderId="30" xfId="0" applyBorder="1"/>
    <xf numFmtId="0" fontId="33" fillId="7" borderId="24" xfId="0" applyFont="1" applyFill="1" applyBorder="1" applyProtection="1">
      <protection locked="0" hidden="1"/>
    </xf>
    <xf numFmtId="0" fontId="33" fillId="7" borderId="25" xfId="0" applyFont="1" applyFill="1" applyBorder="1" applyProtection="1">
      <protection locked="0" hidden="1"/>
    </xf>
    <xf numFmtId="0" fontId="33" fillId="7" borderId="26" xfId="0" applyFont="1" applyFill="1" applyBorder="1" applyProtection="1">
      <protection locked="0" hidden="1"/>
    </xf>
    <xf numFmtId="2" fontId="0" fillId="7" borderId="25" xfId="0" applyNumberFormat="1" applyFill="1" applyBorder="1" applyProtection="1">
      <protection locked="0" hidden="1"/>
    </xf>
    <xf numFmtId="0" fontId="6" fillId="2" borderId="0" xfId="3" applyFont="1" applyFill="1" applyAlignment="1">
      <alignment horizontal="center"/>
    </xf>
    <xf numFmtId="0" fontId="5" fillId="0" borderId="0" xfId="3" applyFont="1" applyAlignment="1">
      <alignment horizontal="center"/>
    </xf>
    <xf numFmtId="0" fontId="0" fillId="0" borderId="20" xfId="0" applyBorder="1" applyAlignment="1">
      <alignment horizontal="center" wrapText="1"/>
    </xf>
    <xf numFmtId="0" fontId="0" fillId="0" borderId="29" xfId="0" applyBorder="1" applyAlignment="1">
      <alignment horizontal="center" wrapText="1"/>
    </xf>
    <xf numFmtId="0" fontId="0" fillId="0" borderId="21" xfId="0" applyBorder="1" applyAlignment="1">
      <alignment horizontal="center" wrapText="1"/>
    </xf>
    <xf numFmtId="0" fontId="0" fillId="0" borderId="22" xfId="0" applyBorder="1" applyAlignment="1">
      <alignment horizontal="center" wrapText="1"/>
    </xf>
    <xf numFmtId="0" fontId="0" fillId="0" borderId="20" xfId="0" applyBorder="1" applyAlignment="1">
      <alignment horizontal="center"/>
    </xf>
    <xf numFmtId="0" fontId="0" fillId="0" borderId="21" xfId="0" applyBorder="1" applyAlignment="1">
      <alignment horizontal="center"/>
    </xf>
    <xf numFmtId="0" fontId="0" fillId="0" borderId="22" xfId="0" applyBorder="1" applyAlignment="1">
      <alignment horizontal="center"/>
    </xf>
    <xf numFmtId="0" fontId="0" fillId="0" borderId="27" xfId="0" applyBorder="1" applyAlignment="1">
      <alignment horizontal="center"/>
    </xf>
    <xf numFmtId="0" fontId="23" fillId="0" borderId="10" xfId="0" applyFont="1" applyBorder="1" applyAlignment="1">
      <alignment horizontal="center"/>
    </xf>
    <xf numFmtId="0" fontId="23" fillId="0" borderId="11" xfId="0" applyFont="1" applyBorder="1" applyAlignment="1">
      <alignment horizontal="center"/>
    </xf>
    <xf numFmtId="0" fontId="23" fillId="0" borderId="12" xfId="0" applyFont="1" applyBorder="1" applyAlignment="1">
      <alignment horizontal="center"/>
    </xf>
    <xf numFmtId="0" fontId="0" fillId="0" borderId="5" xfId="0" applyBorder="1" applyAlignment="1">
      <alignment horizontal="center"/>
    </xf>
    <xf numFmtId="0" fontId="0" fillId="0" borderId="0" xfId="0" applyBorder="1" applyAlignment="1">
      <alignment horizontal="center"/>
    </xf>
    <xf numFmtId="0" fontId="0" fillId="0" borderId="6" xfId="0" applyBorder="1" applyAlignment="1">
      <alignment horizontal="center"/>
    </xf>
    <xf numFmtId="0" fontId="4" fillId="0" borderId="0" xfId="3" applyBorder="1" applyAlignment="1">
      <alignment horizontal="center"/>
    </xf>
    <xf numFmtId="0" fontId="0" fillId="0" borderId="3" xfId="0" applyBorder="1" applyAlignment="1">
      <alignment horizontal="center"/>
    </xf>
    <xf numFmtId="0" fontId="0" fillId="0" borderId="2" xfId="0" applyBorder="1" applyAlignment="1">
      <alignment horizontal="center"/>
    </xf>
    <xf numFmtId="0" fontId="0" fillId="0" borderId="4" xfId="0" applyBorder="1" applyAlignment="1">
      <alignment horizontal="center"/>
    </xf>
    <xf numFmtId="0" fontId="23" fillId="0" borderId="2" xfId="0" applyFont="1" applyBorder="1" applyAlignment="1">
      <alignment horizontal="center"/>
    </xf>
    <xf numFmtId="0" fontId="23" fillId="0" borderId="4" xfId="0" applyFont="1" applyBorder="1" applyAlignment="1">
      <alignment horizontal="center"/>
    </xf>
    <xf numFmtId="0" fontId="0" fillId="7" borderId="5" xfId="0" applyFill="1" applyBorder="1" applyAlignment="1" applyProtection="1">
      <alignment horizontal="center"/>
      <protection locked="0" hidden="1"/>
    </xf>
    <xf numFmtId="0" fontId="0" fillId="0" borderId="25" xfId="0" applyFill="1" applyBorder="1" applyProtection="1">
      <protection hidden="1"/>
    </xf>
  </cellXfs>
  <cellStyles count="12">
    <cellStyle name="Comma 2" xfId="5" xr:uid="{00000000-0005-0000-0000-000000000000}"/>
    <cellStyle name="Comma 3" xfId="2" xr:uid="{00000000-0005-0000-0000-000001000000}"/>
    <cellStyle name="Comma 3 2" xfId="8" xr:uid="{00000000-0005-0000-0000-000001000000}"/>
    <cellStyle name="Normal" xfId="0" builtinId="0"/>
    <cellStyle name="Normal 2" xfId="3" xr:uid="{00000000-0005-0000-0000-000003000000}"/>
    <cellStyle name="Normal 2 2" xfId="9" xr:uid="{00000000-0005-0000-0000-000003000000}"/>
    <cellStyle name="Normal 3" xfId="4" xr:uid="{00000000-0005-0000-0000-000004000000}"/>
    <cellStyle name="Normal 4" xfId="1" xr:uid="{00000000-0005-0000-0000-000005000000}"/>
    <cellStyle name="Normal 4 2" xfId="7" xr:uid="{00000000-0005-0000-0000-000006000000}"/>
    <cellStyle name="Normal 4 2 2" xfId="11" xr:uid="{00000000-0005-0000-0000-000006000000}"/>
    <cellStyle name="Normal 4 3" xfId="6" xr:uid="{00000000-0005-0000-0000-000007000000}"/>
    <cellStyle name="Normal 4 3 2" xfId="10" xr:uid="{00000000-0005-0000-0000-000007000000}"/>
  </cellStyles>
  <dxfs count="0"/>
  <tableStyles count="0" defaultTableStyle="TableStyleMedium2" defaultPivotStyle="PivotStyleLight16"/>
  <colors>
    <mruColors>
      <color rgb="FFEAEA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baseline="0"/>
              <a:t>Bode Plot</a:t>
            </a:r>
          </a:p>
        </c:rich>
      </c:tx>
      <c:layout>
        <c:manualLayout>
          <c:xMode val="edge"/>
          <c:yMode val="edge"/>
          <c:x val="9.4354157174953393E-2"/>
          <c:y val="3.9916010498687662E-3"/>
        </c:manualLayout>
      </c:layout>
      <c:overlay val="0"/>
    </c:title>
    <c:autoTitleDeleted val="0"/>
    <c:plotArea>
      <c:layout>
        <c:manualLayout>
          <c:layoutTarget val="inner"/>
          <c:xMode val="edge"/>
          <c:yMode val="edge"/>
          <c:x val="9.0594052720499751E-2"/>
          <c:y val="8.9158108013693851E-2"/>
          <c:w val="0.80965876742891785"/>
          <c:h val="0.76159168715027026"/>
        </c:manualLayout>
      </c:layout>
      <c:scatterChart>
        <c:scatterStyle val="smoothMarker"/>
        <c:varyColors val="0"/>
        <c:ser>
          <c:idx val="0"/>
          <c:order val="0"/>
          <c:tx>
            <c:v>Gain (dB)</c:v>
          </c:tx>
          <c:spPr>
            <a:ln w="28575">
              <a:solidFill>
                <a:srgbClr val="FF0000"/>
              </a:solidFill>
            </a:ln>
          </c:spPr>
          <c:marker>
            <c:symbol val="none"/>
          </c:marker>
          <c:xVal>
            <c:numRef>
              <c:f>Loop_Modeling!$O$19:$O$560</c:f>
              <c:numCache>
                <c:formatCode>0.00</c:formatCode>
                <c:ptCount val="542"/>
                <c:pt idx="0">
                  <c:v>10.232929922807543</c:v>
                </c:pt>
                <c:pt idx="1">
                  <c:v>10.471285480509</c:v>
                </c:pt>
                <c:pt idx="2">
                  <c:v>10.715193052376069</c:v>
                </c:pt>
                <c:pt idx="3">
                  <c:v>10.964781961431854</c:v>
                </c:pt>
                <c:pt idx="4">
                  <c:v>11.220184543019636</c:v>
                </c:pt>
                <c:pt idx="5">
                  <c:v>11.481536214968834</c:v>
                </c:pt>
                <c:pt idx="6">
                  <c:v>11.748975549395301</c:v>
                </c:pt>
                <c:pt idx="7">
                  <c:v>12.022644346174133</c:v>
                </c:pt>
                <c:pt idx="8">
                  <c:v>12.302687708123818</c:v>
                </c:pt>
                <c:pt idx="9">
                  <c:v>12.58925411794168</c:v>
                </c:pt>
                <c:pt idx="10">
                  <c:v>12.882495516931346</c:v>
                </c:pt>
                <c:pt idx="11">
                  <c:v>13.182567385564075</c:v>
                </c:pt>
                <c:pt idx="12">
                  <c:v>13.489628825916535</c:v>
                </c:pt>
                <c:pt idx="13">
                  <c:v>13.803842646028857</c:v>
                </c:pt>
                <c:pt idx="14">
                  <c:v>14.125375446227544</c:v>
                </c:pt>
                <c:pt idx="15">
                  <c:v>14.454397707459275</c:v>
                </c:pt>
                <c:pt idx="16">
                  <c:v>14.791083881682074</c:v>
                </c:pt>
                <c:pt idx="17">
                  <c:v>15.135612484362087</c:v>
                </c:pt>
                <c:pt idx="18">
                  <c:v>15.488166189124817</c:v>
                </c:pt>
                <c:pt idx="19">
                  <c:v>15.848931924611136</c:v>
                </c:pt>
                <c:pt idx="20">
                  <c:v>16.218100973589298</c:v>
                </c:pt>
                <c:pt idx="21">
                  <c:v>16.595869074375614</c:v>
                </c:pt>
                <c:pt idx="22">
                  <c:v>16.982436524617448</c:v>
                </c:pt>
                <c:pt idx="23">
                  <c:v>17.378008287493756</c:v>
                </c:pt>
                <c:pt idx="24">
                  <c:v>17.782794100389236</c:v>
                </c:pt>
                <c:pt idx="25">
                  <c:v>18.197008586099841</c:v>
                </c:pt>
                <c:pt idx="26">
                  <c:v>18.62087136662868</c:v>
                </c:pt>
                <c:pt idx="27">
                  <c:v>19.054607179632477</c:v>
                </c:pt>
                <c:pt idx="28">
                  <c:v>19.498445997580465</c:v>
                </c:pt>
                <c:pt idx="29">
                  <c:v>19.952623149688804</c:v>
                </c:pt>
                <c:pt idx="30">
                  <c:v>20.4173794466953</c:v>
                </c:pt>
                <c:pt idx="31">
                  <c:v>20.8929613085404</c:v>
                </c:pt>
                <c:pt idx="32">
                  <c:v>21.379620895022335</c:v>
                </c:pt>
                <c:pt idx="33">
                  <c:v>21.877616239495538</c:v>
                </c:pt>
                <c:pt idx="34">
                  <c:v>22.387211385683404</c:v>
                </c:pt>
                <c:pt idx="35">
                  <c:v>22.908676527677727</c:v>
                </c:pt>
                <c:pt idx="36">
                  <c:v>23.442288153199236</c:v>
                </c:pt>
                <c:pt idx="37">
                  <c:v>23.988329190194907</c:v>
                </c:pt>
                <c:pt idx="38">
                  <c:v>24.547089156850316</c:v>
                </c:pt>
                <c:pt idx="39">
                  <c:v>25.118864315095799</c:v>
                </c:pt>
                <c:pt idx="40">
                  <c:v>25.703957827688647</c:v>
                </c:pt>
                <c:pt idx="41">
                  <c:v>26.302679918953825</c:v>
                </c:pt>
                <c:pt idx="42">
                  <c:v>26.915348039269158</c:v>
                </c:pt>
                <c:pt idx="43">
                  <c:v>27.542287033381665</c:v>
                </c:pt>
                <c:pt idx="44">
                  <c:v>28.183829312644548</c:v>
                </c:pt>
                <c:pt idx="45">
                  <c:v>28.840315031266066</c:v>
                </c:pt>
                <c:pt idx="46">
                  <c:v>29.512092266663863</c:v>
                </c:pt>
                <c:pt idx="47">
                  <c:v>30.199517204020164</c:v>
                </c:pt>
                <c:pt idx="48">
                  <c:v>30.902954325135919</c:v>
                </c:pt>
                <c:pt idx="49">
                  <c:v>31.622776601683803</c:v>
                </c:pt>
                <c:pt idx="50">
                  <c:v>32.359365692962832</c:v>
                </c:pt>
                <c:pt idx="51">
                  <c:v>33.113112148259127</c:v>
                </c:pt>
                <c:pt idx="52">
                  <c:v>33.884415613920268</c:v>
                </c:pt>
                <c:pt idx="53">
                  <c:v>34.67368504525318</c:v>
                </c:pt>
                <c:pt idx="54">
                  <c:v>35.481338923357555</c:v>
                </c:pt>
                <c:pt idx="55">
                  <c:v>36.307805477010156</c:v>
                </c:pt>
                <c:pt idx="56">
                  <c:v>37.15352290971726</c:v>
                </c:pt>
                <c:pt idx="57">
                  <c:v>38.018939632056139</c:v>
                </c:pt>
                <c:pt idx="58">
                  <c:v>38.904514499428053</c:v>
                </c:pt>
                <c:pt idx="59">
                  <c:v>39.810717055349755</c:v>
                </c:pt>
                <c:pt idx="60">
                  <c:v>40.738027780411279</c:v>
                </c:pt>
                <c:pt idx="61">
                  <c:v>41.686938347033561</c:v>
                </c:pt>
                <c:pt idx="62">
                  <c:v>42.657951880159267</c:v>
                </c:pt>
                <c:pt idx="63">
                  <c:v>43.651583224016633</c:v>
                </c:pt>
                <c:pt idx="64">
                  <c:v>44.668359215096324</c:v>
                </c:pt>
                <c:pt idx="65">
                  <c:v>45.70881896148753</c:v>
                </c:pt>
                <c:pt idx="66">
                  <c:v>46.773514128719818</c:v>
                </c:pt>
                <c:pt idx="67">
                  <c:v>47.863009232263877</c:v>
                </c:pt>
                <c:pt idx="68">
                  <c:v>48.977881936844632</c:v>
                </c:pt>
                <c:pt idx="69">
                  <c:v>50.118723362727238</c:v>
                </c:pt>
                <c:pt idx="70">
                  <c:v>51.28613839913649</c:v>
                </c:pt>
                <c:pt idx="71">
                  <c:v>52.480746024977286</c:v>
                </c:pt>
                <c:pt idx="72">
                  <c:v>53.703179637025293</c:v>
                </c:pt>
                <c:pt idx="73">
                  <c:v>54.95408738576247</c:v>
                </c:pt>
                <c:pt idx="74">
                  <c:v>56.234132519034915</c:v>
                </c:pt>
                <c:pt idx="75">
                  <c:v>57.543993733715695</c:v>
                </c:pt>
                <c:pt idx="76">
                  <c:v>58.884365535558949</c:v>
                </c:pt>
                <c:pt idx="77">
                  <c:v>60.255958607435822</c:v>
                </c:pt>
                <c:pt idx="78">
                  <c:v>61.659500186148257</c:v>
                </c:pt>
                <c:pt idx="79">
                  <c:v>63.095734448019364</c:v>
                </c:pt>
                <c:pt idx="80">
                  <c:v>64.565422903465588</c:v>
                </c:pt>
                <c:pt idx="81">
                  <c:v>66.069344800759623</c:v>
                </c:pt>
                <c:pt idx="82">
                  <c:v>67.60829753919819</c:v>
                </c:pt>
                <c:pt idx="83">
                  <c:v>69.183097091893657</c:v>
                </c:pt>
                <c:pt idx="84">
                  <c:v>70.794578438413865</c:v>
                </c:pt>
                <c:pt idx="85">
                  <c:v>72.443596007499011</c:v>
                </c:pt>
                <c:pt idx="86">
                  <c:v>74.131024130091816</c:v>
                </c:pt>
                <c:pt idx="87">
                  <c:v>75.857757502918361</c:v>
                </c:pt>
                <c:pt idx="88">
                  <c:v>77.624711662869217</c:v>
                </c:pt>
                <c:pt idx="89">
                  <c:v>79.432823472428197</c:v>
                </c:pt>
                <c:pt idx="90">
                  <c:v>81.283051616409963</c:v>
                </c:pt>
                <c:pt idx="91">
                  <c:v>83.176377110267126</c:v>
                </c:pt>
                <c:pt idx="92">
                  <c:v>85.113803820237734</c:v>
                </c:pt>
                <c:pt idx="93">
                  <c:v>87.096358995608071</c:v>
                </c:pt>
                <c:pt idx="94">
                  <c:v>89.125093813374562</c:v>
                </c:pt>
                <c:pt idx="95">
                  <c:v>91.201083935590972</c:v>
                </c:pt>
                <c:pt idx="96">
                  <c:v>93.325430079699174</c:v>
                </c:pt>
                <c:pt idx="97">
                  <c:v>95.499258602143655</c:v>
                </c:pt>
                <c:pt idx="98">
                  <c:v>97.723722095581124</c:v>
                </c:pt>
                <c:pt idx="99">
                  <c:v>100</c:v>
                </c:pt>
                <c:pt idx="100">
                  <c:v>102.32929922807544</c:v>
                </c:pt>
                <c:pt idx="101">
                  <c:v>104.71285480508998</c:v>
                </c:pt>
                <c:pt idx="102">
                  <c:v>107.15193052376065</c:v>
                </c:pt>
                <c:pt idx="103">
                  <c:v>109.64781961431861</c:v>
                </c:pt>
                <c:pt idx="104">
                  <c:v>112.20184543019634</c:v>
                </c:pt>
                <c:pt idx="105">
                  <c:v>114.81536214968835</c:v>
                </c:pt>
                <c:pt idx="106">
                  <c:v>117.48975549395293</c:v>
                </c:pt>
                <c:pt idx="107">
                  <c:v>120.22644346174135</c:v>
                </c:pt>
                <c:pt idx="108">
                  <c:v>123.02687708123821</c:v>
                </c:pt>
                <c:pt idx="109">
                  <c:v>125.89254117941677</c:v>
                </c:pt>
                <c:pt idx="110">
                  <c:v>128.82495516931343</c:v>
                </c:pt>
                <c:pt idx="111">
                  <c:v>131.82567385564084</c:v>
                </c:pt>
                <c:pt idx="112">
                  <c:v>134.89628825916537</c:v>
                </c:pt>
                <c:pt idx="113">
                  <c:v>138.0384264602886</c:v>
                </c:pt>
                <c:pt idx="114">
                  <c:v>141.25375446227542</c:v>
                </c:pt>
                <c:pt idx="115">
                  <c:v>144.54397707459285</c:v>
                </c:pt>
                <c:pt idx="116">
                  <c:v>147.91083881682084</c:v>
                </c:pt>
                <c:pt idx="117">
                  <c:v>151.3561248436209</c:v>
                </c:pt>
                <c:pt idx="118">
                  <c:v>154.8816618912482</c:v>
                </c:pt>
                <c:pt idx="119">
                  <c:v>158.48931924611153</c:v>
                </c:pt>
                <c:pt idx="120">
                  <c:v>162.18100973589304</c:v>
                </c:pt>
                <c:pt idx="121">
                  <c:v>165.95869074375622</c:v>
                </c:pt>
                <c:pt idx="122">
                  <c:v>169.82436524617444</c:v>
                </c:pt>
                <c:pt idx="123">
                  <c:v>173.78008287493768</c:v>
                </c:pt>
                <c:pt idx="124">
                  <c:v>177.82794100389242</c:v>
                </c:pt>
                <c:pt idx="125">
                  <c:v>181.9700858609983</c:v>
                </c:pt>
                <c:pt idx="126">
                  <c:v>186.20871366628685</c:v>
                </c:pt>
                <c:pt idx="127">
                  <c:v>190.54607179632498</c:v>
                </c:pt>
                <c:pt idx="128">
                  <c:v>194.98445997580458</c:v>
                </c:pt>
                <c:pt idx="129">
                  <c:v>199.52623149688802</c:v>
                </c:pt>
                <c:pt idx="130">
                  <c:v>204.17379446695315</c:v>
                </c:pt>
                <c:pt idx="131">
                  <c:v>208.92961308540396</c:v>
                </c:pt>
                <c:pt idx="132">
                  <c:v>213.79620895022339</c:v>
                </c:pt>
                <c:pt idx="133">
                  <c:v>218.77616239495524</c:v>
                </c:pt>
                <c:pt idx="134">
                  <c:v>223.87211385683412</c:v>
                </c:pt>
                <c:pt idx="135">
                  <c:v>229.08676527677744</c:v>
                </c:pt>
                <c:pt idx="136">
                  <c:v>234.42288153199232</c:v>
                </c:pt>
                <c:pt idx="137">
                  <c:v>239.88329190194912</c:v>
                </c:pt>
                <c:pt idx="138">
                  <c:v>245.4708915685033</c:v>
                </c:pt>
                <c:pt idx="139">
                  <c:v>251.18864315095806</c:v>
                </c:pt>
                <c:pt idx="140">
                  <c:v>257.03957827688663</c:v>
                </c:pt>
                <c:pt idx="141">
                  <c:v>263.02679918953817</c:v>
                </c:pt>
                <c:pt idx="142">
                  <c:v>269.15348039269179</c:v>
                </c:pt>
                <c:pt idx="143">
                  <c:v>275.42287033381683</c:v>
                </c:pt>
                <c:pt idx="144">
                  <c:v>281.83829312644554</c:v>
                </c:pt>
                <c:pt idx="145">
                  <c:v>288.40315031266073</c:v>
                </c:pt>
                <c:pt idx="146">
                  <c:v>295.12092266663871</c:v>
                </c:pt>
                <c:pt idx="147">
                  <c:v>301.99517204020168</c:v>
                </c:pt>
                <c:pt idx="148">
                  <c:v>309.02954325135937</c:v>
                </c:pt>
                <c:pt idx="149">
                  <c:v>316.22776601683825</c:v>
                </c:pt>
                <c:pt idx="150">
                  <c:v>323.59365692962825</c:v>
                </c:pt>
                <c:pt idx="151">
                  <c:v>331.13112148259137</c:v>
                </c:pt>
                <c:pt idx="152">
                  <c:v>338.84415613920277</c:v>
                </c:pt>
                <c:pt idx="153">
                  <c:v>346.73685045253183</c:v>
                </c:pt>
                <c:pt idx="154">
                  <c:v>354.81338923357566</c:v>
                </c:pt>
                <c:pt idx="155">
                  <c:v>363.07805477010152</c:v>
                </c:pt>
                <c:pt idx="156">
                  <c:v>371.53522909717265</c:v>
                </c:pt>
                <c:pt idx="157">
                  <c:v>380.18939632056163</c:v>
                </c:pt>
                <c:pt idx="158">
                  <c:v>389.04514499428063</c:v>
                </c:pt>
                <c:pt idx="159">
                  <c:v>398.10717055349761</c:v>
                </c:pt>
                <c:pt idx="160">
                  <c:v>407.38027780411272</c:v>
                </c:pt>
                <c:pt idx="161">
                  <c:v>416.86938347033572</c:v>
                </c:pt>
                <c:pt idx="162">
                  <c:v>426.57951880159294</c:v>
                </c:pt>
                <c:pt idx="163">
                  <c:v>436.51583224016622</c:v>
                </c:pt>
                <c:pt idx="164">
                  <c:v>446.68359215096331</c:v>
                </c:pt>
                <c:pt idx="165">
                  <c:v>457.0881896148756</c:v>
                </c:pt>
                <c:pt idx="166">
                  <c:v>467.7351412871983</c:v>
                </c:pt>
                <c:pt idx="167">
                  <c:v>478.63009232263886</c:v>
                </c:pt>
                <c:pt idx="168">
                  <c:v>489.77881936844625</c:v>
                </c:pt>
                <c:pt idx="169">
                  <c:v>501.18723362727269</c:v>
                </c:pt>
                <c:pt idx="170">
                  <c:v>512.86138399136519</c:v>
                </c:pt>
                <c:pt idx="171">
                  <c:v>524.80746024977248</c:v>
                </c:pt>
                <c:pt idx="172">
                  <c:v>537.03179637025301</c:v>
                </c:pt>
                <c:pt idx="173">
                  <c:v>549.54087385762534</c:v>
                </c:pt>
                <c:pt idx="174">
                  <c:v>562.34132519034927</c:v>
                </c:pt>
                <c:pt idx="175">
                  <c:v>575.43993733715706</c:v>
                </c:pt>
                <c:pt idx="176">
                  <c:v>588.84365535558959</c:v>
                </c:pt>
                <c:pt idx="177">
                  <c:v>602.55958607435832</c:v>
                </c:pt>
                <c:pt idx="178">
                  <c:v>616.59500186148273</c:v>
                </c:pt>
                <c:pt idx="179">
                  <c:v>630.95734448019323</c:v>
                </c:pt>
                <c:pt idx="180">
                  <c:v>645.65422903465594</c:v>
                </c:pt>
                <c:pt idx="181">
                  <c:v>660.69344800759643</c:v>
                </c:pt>
                <c:pt idx="182">
                  <c:v>676.08297539198213</c:v>
                </c:pt>
                <c:pt idx="183">
                  <c:v>691.83097091893671</c:v>
                </c:pt>
                <c:pt idx="184">
                  <c:v>707.94578438413873</c:v>
                </c:pt>
                <c:pt idx="185">
                  <c:v>724.43596007499025</c:v>
                </c:pt>
                <c:pt idx="186">
                  <c:v>741.31024130091828</c:v>
                </c:pt>
                <c:pt idx="187">
                  <c:v>758.57757502918378</c:v>
                </c:pt>
                <c:pt idx="188">
                  <c:v>776.24711662869231</c:v>
                </c:pt>
                <c:pt idx="189">
                  <c:v>794.32823472428208</c:v>
                </c:pt>
                <c:pt idx="190">
                  <c:v>812.83051616409978</c:v>
                </c:pt>
                <c:pt idx="191">
                  <c:v>831.7637711026714</c:v>
                </c:pt>
                <c:pt idx="192">
                  <c:v>851.13803820237763</c:v>
                </c:pt>
                <c:pt idx="193">
                  <c:v>870.96358995608091</c:v>
                </c:pt>
                <c:pt idx="194">
                  <c:v>891.25093813374656</c:v>
                </c:pt>
                <c:pt idx="195">
                  <c:v>912.01083935590987</c:v>
                </c:pt>
                <c:pt idx="196">
                  <c:v>933.25430079699106</c:v>
                </c:pt>
                <c:pt idx="197">
                  <c:v>954.99258602143675</c:v>
                </c:pt>
                <c:pt idx="198">
                  <c:v>977.23722095581138</c:v>
                </c:pt>
                <c:pt idx="199">
                  <c:v>1000</c:v>
                </c:pt>
                <c:pt idx="200">
                  <c:v>1023.2929922807547</c:v>
                </c:pt>
                <c:pt idx="201">
                  <c:v>1047.1285480509</c:v>
                </c:pt>
                <c:pt idx="202">
                  <c:v>1071.5193052376069</c:v>
                </c:pt>
                <c:pt idx="203">
                  <c:v>1096.4781961431863</c:v>
                </c:pt>
                <c:pt idx="204">
                  <c:v>1122.0184543019636</c:v>
                </c:pt>
                <c:pt idx="205">
                  <c:v>1148.1536214968839</c:v>
                </c:pt>
                <c:pt idx="206">
                  <c:v>1174.8975549395295</c:v>
                </c:pt>
                <c:pt idx="207">
                  <c:v>1202.2644346174138</c:v>
                </c:pt>
                <c:pt idx="208">
                  <c:v>1230.2687708123824</c:v>
                </c:pt>
                <c:pt idx="209">
                  <c:v>1258.925411794168</c:v>
                </c:pt>
                <c:pt idx="210">
                  <c:v>1288.2495516931347</c:v>
                </c:pt>
                <c:pt idx="211">
                  <c:v>1318.2567385564089</c:v>
                </c:pt>
                <c:pt idx="212">
                  <c:v>1348.9628825916541</c:v>
                </c:pt>
                <c:pt idx="213">
                  <c:v>1380.3842646028863</c:v>
                </c:pt>
                <c:pt idx="214">
                  <c:v>1412.5375446227545</c:v>
                </c:pt>
                <c:pt idx="215">
                  <c:v>1445.4397707459289</c:v>
                </c:pt>
                <c:pt idx="216">
                  <c:v>1479.1083881682086</c:v>
                </c:pt>
                <c:pt idx="217">
                  <c:v>1513.5612484362093</c:v>
                </c:pt>
                <c:pt idx="218">
                  <c:v>1548.8166189124822</c:v>
                </c:pt>
                <c:pt idx="219">
                  <c:v>1584.8931924611156</c:v>
                </c:pt>
                <c:pt idx="220">
                  <c:v>1621.8100973589308</c:v>
                </c:pt>
                <c:pt idx="221">
                  <c:v>1659.5869074375626</c:v>
                </c:pt>
                <c:pt idx="222">
                  <c:v>1698.2436524617447</c:v>
                </c:pt>
                <c:pt idx="223">
                  <c:v>1737.8008287493772</c:v>
                </c:pt>
                <c:pt idx="224">
                  <c:v>1778.2794100389244</c:v>
                </c:pt>
                <c:pt idx="225">
                  <c:v>1819.7008586099832</c:v>
                </c:pt>
                <c:pt idx="226">
                  <c:v>1862.0871366628687</c:v>
                </c:pt>
                <c:pt idx="227">
                  <c:v>1905.4607179632501</c:v>
                </c:pt>
                <c:pt idx="228">
                  <c:v>1949.8445997580463</c:v>
                </c:pt>
                <c:pt idx="229">
                  <c:v>1995.2623149688804</c:v>
                </c:pt>
                <c:pt idx="230">
                  <c:v>2041.7379446695318</c:v>
                </c:pt>
                <c:pt idx="231">
                  <c:v>2089.2961308540398</c:v>
                </c:pt>
                <c:pt idx="232">
                  <c:v>2137.9620895022344</c:v>
                </c:pt>
                <c:pt idx="233">
                  <c:v>2187.7616239495528</c:v>
                </c:pt>
                <c:pt idx="234">
                  <c:v>2238.7211385683418</c:v>
                </c:pt>
                <c:pt idx="235">
                  <c:v>2290.8676527677749</c:v>
                </c:pt>
                <c:pt idx="236">
                  <c:v>2344.2288153199238</c:v>
                </c:pt>
                <c:pt idx="237">
                  <c:v>2398.8329190194918</c:v>
                </c:pt>
                <c:pt idx="238">
                  <c:v>2454.7089156850338</c:v>
                </c:pt>
                <c:pt idx="239">
                  <c:v>2511.8864315095811</c:v>
                </c:pt>
                <c:pt idx="240">
                  <c:v>2570.3957827688669</c:v>
                </c:pt>
                <c:pt idx="241">
                  <c:v>2630.2679918953822</c:v>
                </c:pt>
                <c:pt idx="242">
                  <c:v>2691.5348039269184</c:v>
                </c:pt>
                <c:pt idx="243">
                  <c:v>2754.228703338169</c:v>
                </c:pt>
                <c:pt idx="244">
                  <c:v>2818.3829312644561</c:v>
                </c:pt>
                <c:pt idx="245">
                  <c:v>2884.0315031266077</c:v>
                </c:pt>
                <c:pt idx="246">
                  <c:v>2951.2092266663876</c:v>
                </c:pt>
                <c:pt idx="247">
                  <c:v>3019.9517204020176</c:v>
                </c:pt>
                <c:pt idx="248">
                  <c:v>3090.295432513592</c:v>
                </c:pt>
                <c:pt idx="249">
                  <c:v>3162.2776601683804</c:v>
                </c:pt>
                <c:pt idx="250">
                  <c:v>3235.9365692962833</c:v>
                </c:pt>
                <c:pt idx="251">
                  <c:v>3311.3112148259115</c:v>
                </c:pt>
                <c:pt idx="252">
                  <c:v>3388.4415613920314</c:v>
                </c:pt>
                <c:pt idx="253">
                  <c:v>3467.3685045253224</c:v>
                </c:pt>
                <c:pt idx="254">
                  <c:v>3548.1338923357539</c:v>
                </c:pt>
                <c:pt idx="255">
                  <c:v>3630.7805477010188</c:v>
                </c:pt>
                <c:pt idx="256">
                  <c:v>3715.352290971724</c:v>
                </c:pt>
                <c:pt idx="257">
                  <c:v>3801.8939632056172</c:v>
                </c:pt>
                <c:pt idx="258">
                  <c:v>3890.451449942811</c:v>
                </c:pt>
                <c:pt idx="259">
                  <c:v>3981.0717055349769</c:v>
                </c:pt>
                <c:pt idx="260">
                  <c:v>4073.8027780411317</c:v>
                </c:pt>
                <c:pt idx="261">
                  <c:v>4168.6938347033583</c:v>
                </c:pt>
                <c:pt idx="262">
                  <c:v>4265.7951880159299</c:v>
                </c:pt>
                <c:pt idx="263">
                  <c:v>4365.1583224016631</c:v>
                </c:pt>
                <c:pt idx="264">
                  <c:v>4466.8359215096343</c:v>
                </c:pt>
                <c:pt idx="265">
                  <c:v>4570.8818961487532</c:v>
                </c:pt>
                <c:pt idx="266">
                  <c:v>4677.3514128719844</c:v>
                </c:pt>
                <c:pt idx="267">
                  <c:v>4786.3009232263848</c:v>
                </c:pt>
                <c:pt idx="268">
                  <c:v>4897.7881936844633</c:v>
                </c:pt>
                <c:pt idx="269">
                  <c:v>5011.8723362727324</c:v>
                </c:pt>
                <c:pt idx="270">
                  <c:v>5128.6138399136489</c:v>
                </c:pt>
                <c:pt idx="271">
                  <c:v>5248.0746024977261</c:v>
                </c:pt>
                <c:pt idx="272">
                  <c:v>5370.3179637025269</c:v>
                </c:pt>
                <c:pt idx="273">
                  <c:v>5495.4087385762541</c:v>
                </c:pt>
                <c:pt idx="274">
                  <c:v>5623.4132519034993</c:v>
                </c:pt>
                <c:pt idx="275">
                  <c:v>5754.399373371567</c:v>
                </c:pt>
                <c:pt idx="276">
                  <c:v>5888.4365535558973</c:v>
                </c:pt>
                <c:pt idx="277">
                  <c:v>6025.595860743585</c:v>
                </c:pt>
                <c:pt idx="278">
                  <c:v>6165.9500186148289</c:v>
                </c:pt>
                <c:pt idx="279">
                  <c:v>6309.5734448019384</c:v>
                </c:pt>
                <c:pt idx="280">
                  <c:v>6456.5422903465615</c:v>
                </c:pt>
                <c:pt idx="281">
                  <c:v>6606.9344800759654</c:v>
                </c:pt>
                <c:pt idx="282">
                  <c:v>6760.8297539198229</c:v>
                </c:pt>
                <c:pt idx="283">
                  <c:v>6918.3097091893687</c:v>
                </c:pt>
                <c:pt idx="284">
                  <c:v>7079.4578438413828</c:v>
                </c:pt>
                <c:pt idx="285">
                  <c:v>7244.3596007499036</c:v>
                </c:pt>
                <c:pt idx="286">
                  <c:v>7413.1024130091773</c:v>
                </c:pt>
                <c:pt idx="287">
                  <c:v>7585.7757502918394</c:v>
                </c:pt>
                <c:pt idx="288">
                  <c:v>7762.4711662869322</c:v>
                </c:pt>
                <c:pt idx="289">
                  <c:v>7943.2823472428154</c:v>
                </c:pt>
                <c:pt idx="290">
                  <c:v>8128.3051616410066</c:v>
                </c:pt>
                <c:pt idx="291">
                  <c:v>8317.6377110267094</c:v>
                </c:pt>
                <c:pt idx="292">
                  <c:v>8511.3803820237772</c:v>
                </c:pt>
                <c:pt idx="293">
                  <c:v>8709.6358995608189</c:v>
                </c:pt>
                <c:pt idx="294">
                  <c:v>8912.5093813374679</c:v>
                </c:pt>
                <c:pt idx="295">
                  <c:v>9120.1083935591087</c:v>
                </c:pt>
                <c:pt idx="296">
                  <c:v>9332.5430079699217</c:v>
                </c:pt>
                <c:pt idx="297">
                  <c:v>9549.9258602143691</c:v>
                </c:pt>
                <c:pt idx="298">
                  <c:v>9772.3722095581161</c:v>
                </c:pt>
                <c:pt idx="299">
                  <c:v>10000</c:v>
                </c:pt>
                <c:pt idx="300">
                  <c:v>10232.929922807549</c:v>
                </c:pt>
                <c:pt idx="301">
                  <c:v>10471.285480509003</c:v>
                </c:pt>
                <c:pt idx="302">
                  <c:v>10715.193052376071</c:v>
                </c:pt>
                <c:pt idx="303">
                  <c:v>10964.781961431856</c:v>
                </c:pt>
                <c:pt idx="304">
                  <c:v>11220.184543019639</c:v>
                </c:pt>
                <c:pt idx="305">
                  <c:v>11481.536214968832</c:v>
                </c:pt>
                <c:pt idx="306">
                  <c:v>11748.975549395318</c:v>
                </c:pt>
                <c:pt idx="307">
                  <c:v>12022.644346174151</c:v>
                </c:pt>
                <c:pt idx="308">
                  <c:v>12302.687708123816</c:v>
                </c:pt>
                <c:pt idx="309">
                  <c:v>12589.254117941671</c:v>
                </c:pt>
                <c:pt idx="310">
                  <c:v>12882.49551693136</c:v>
                </c:pt>
                <c:pt idx="311">
                  <c:v>13182.567385564091</c:v>
                </c:pt>
                <c:pt idx="312">
                  <c:v>13489.628825916556</c:v>
                </c:pt>
                <c:pt idx="313">
                  <c:v>13803.842646028841</c:v>
                </c:pt>
                <c:pt idx="314">
                  <c:v>14125.375446227561</c:v>
                </c:pt>
                <c:pt idx="315">
                  <c:v>14454.397707459291</c:v>
                </c:pt>
                <c:pt idx="316">
                  <c:v>14791.083881682089</c:v>
                </c:pt>
                <c:pt idx="317">
                  <c:v>15135.612484362096</c:v>
                </c:pt>
                <c:pt idx="318">
                  <c:v>15488.166189124853</c:v>
                </c:pt>
                <c:pt idx="319">
                  <c:v>15848.931924611146</c:v>
                </c:pt>
                <c:pt idx="320">
                  <c:v>16218.100973589309</c:v>
                </c:pt>
                <c:pt idx="321">
                  <c:v>16595.869074375616</c:v>
                </c:pt>
                <c:pt idx="322">
                  <c:v>16982.436524617482</c:v>
                </c:pt>
                <c:pt idx="323">
                  <c:v>17378.008287493791</c:v>
                </c:pt>
                <c:pt idx="324">
                  <c:v>17782.794100389234</c:v>
                </c:pt>
                <c:pt idx="325">
                  <c:v>18197.008586099837</c:v>
                </c:pt>
                <c:pt idx="326">
                  <c:v>18620.871366628675</c:v>
                </c:pt>
                <c:pt idx="327">
                  <c:v>19054.607179632505</c:v>
                </c:pt>
                <c:pt idx="328">
                  <c:v>19498.445997580486</c:v>
                </c:pt>
                <c:pt idx="329">
                  <c:v>19952.623149688792</c:v>
                </c:pt>
                <c:pt idx="330">
                  <c:v>20417.379446695286</c:v>
                </c:pt>
                <c:pt idx="331">
                  <c:v>20892.961308540423</c:v>
                </c:pt>
                <c:pt idx="332">
                  <c:v>21379.620895022348</c:v>
                </c:pt>
                <c:pt idx="333">
                  <c:v>21877.61623949555</c:v>
                </c:pt>
                <c:pt idx="334">
                  <c:v>22387.211385683382</c:v>
                </c:pt>
                <c:pt idx="335">
                  <c:v>22908.676527677751</c:v>
                </c:pt>
                <c:pt idx="336">
                  <c:v>23442.288153199243</c:v>
                </c:pt>
                <c:pt idx="337">
                  <c:v>23988.329190194923</c:v>
                </c:pt>
                <c:pt idx="338">
                  <c:v>24547.089156850321</c:v>
                </c:pt>
                <c:pt idx="339">
                  <c:v>25118.86431509586</c:v>
                </c:pt>
                <c:pt idx="340">
                  <c:v>25703.95782768865</c:v>
                </c:pt>
                <c:pt idx="341">
                  <c:v>26302.679918953829</c:v>
                </c:pt>
                <c:pt idx="342">
                  <c:v>26915.348039269167</c:v>
                </c:pt>
                <c:pt idx="343">
                  <c:v>27542.287033381719</c:v>
                </c:pt>
                <c:pt idx="344">
                  <c:v>28183.829312644593</c:v>
                </c:pt>
                <c:pt idx="345">
                  <c:v>28840.315031266062</c:v>
                </c:pt>
                <c:pt idx="346">
                  <c:v>29512.092266663854</c:v>
                </c:pt>
                <c:pt idx="347">
                  <c:v>30199.517204020212</c:v>
                </c:pt>
                <c:pt idx="348">
                  <c:v>30902.954325135954</c:v>
                </c:pt>
                <c:pt idx="349">
                  <c:v>31622.77660168384</c:v>
                </c:pt>
                <c:pt idx="350">
                  <c:v>32359.365692962871</c:v>
                </c:pt>
                <c:pt idx="351">
                  <c:v>33113.11214825909</c:v>
                </c:pt>
                <c:pt idx="352">
                  <c:v>33884.41561392029</c:v>
                </c:pt>
                <c:pt idx="353">
                  <c:v>34673.685045253202</c:v>
                </c:pt>
                <c:pt idx="354">
                  <c:v>35481.33892335758</c:v>
                </c:pt>
                <c:pt idx="355">
                  <c:v>36307.805477010232</c:v>
                </c:pt>
                <c:pt idx="356">
                  <c:v>37153.522909717351</c:v>
                </c:pt>
                <c:pt idx="357">
                  <c:v>38018.939632056143</c:v>
                </c:pt>
                <c:pt idx="358">
                  <c:v>38904.514499428085</c:v>
                </c:pt>
                <c:pt idx="359">
                  <c:v>39810.717055349742</c:v>
                </c:pt>
                <c:pt idx="360">
                  <c:v>40738.027780411358</c:v>
                </c:pt>
                <c:pt idx="361">
                  <c:v>41686.938347033625</c:v>
                </c:pt>
                <c:pt idx="362">
                  <c:v>42657.951880159271</c:v>
                </c:pt>
                <c:pt idx="363">
                  <c:v>43651.583224016598</c:v>
                </c:pt>
                <c:pt idx="364">
                  <c:v>44668.359215096389</c:v>
                </c:pt>
                <c:pt idx="365">
                  <c:v>45708.818961487581</c:v>
                </c:pt>
                <c:pt idx="366">
                  <c:v>46773.514128719893</c:v>
                </c:pt>
                <c:pt idx="367">
                  <c:v>47863.009232263823</c:v>
                </c:pt>
                <c:pt idx="368">
                  <c:v>48977.881936844598</c:v>
                </c:pt>
                <c:pt idx="369">
                  <c:v>50118.723362727294</c:v>
                </c:pt>
                <c:pt idx="370">
                  <c:v>51286.138399136544</c:v>
                </c:pt>
                <c:pt idx="371">
                  <c:v>52480.746024977314</c:v>
                </c:pt>
                <c:pt idx="372">
                  <c:v>53703.179637025423</c:v>
                </c:pt>
                <c:pt idx="373">
                  <c:v>54954.087385762505</c:v>
                </c:pt>
                <c:pt idx="374">
                  <c:v>56234.132519034953</c:v>
                </c:pt>
                <c:pt idx="375">
                  <c:v>57543.993733715732</c:v>
                </c:pt>
                <c:pt idx="376">
                  <c:v>58884.365535558936</c:v>
                </c:pt>
                <c:pt idx="377">
                  <c:v>60255.95860743591</c:v>
                </c:pt>
                <c:pt idx="378">
                  <c:v>61659.500186148245</c:v>
                </c:pt>
                <c:pt idx="379">
                  <c:v>63095.734448019342</c:v>
                </c:pt>
                <c:pt idx="380">
                  <c:v>64565.422903465682</c:v>
                </c:pt>
                <c:pt idx="381">
                  <c:v>66069.344800759733</c:v>
                </c:pt>
                <c:pt idx="382">
                  <c:v>67608.297539198305</c:v>
                </c:pt>
                <c:pt idx="383">
                  <c:v>69183.097091893651</c:v>
                </c:pt>
                <c:pt idx="384">
                  <c:v>70794.578438413781</c:v>
                </c:pt>
                <c:pt idx="385">
                  <c:v>72443.596007499116</c:v>
                </c:pt>
                <c:pt idx="386">
                  <c:v>74131.024130091857</c:v>
                </c:pt>
                <c:pt idx="387">
                  <c:v>75857.757502918481</c:v>
                </c:pt>
                <c:pt idx="388">
                  <c:v>77624.711662869129</c:v>
                </c:pt>
                <c:pt idx="389">
                  <c:v>79432.823472428237</c:v>
                </c:pt>
                <c:pt idx="390">
                  <c:v>81283.051616410012</c:v>
                </c:pt>
                <c:pt idx="391">
                  <c:v>83176.377110267174</c:v>
                </c:pt>
                <c:pt idx="392">
                  <c:v>85113.803820237721</c:v>
                </c:pt>
                <c:pt idx="393">
                  <c:v>87096.358995608127</c:v>
                </c:pt>
                <c:pt idx="394">
                  <c:v>89125.093813374609</c:v>
                </c:pt>
                <c:pt idx="395">
                  <c:v>91201.083935591028</c:v>
                </c:pt>
                <c:pt idx="396">
                  <c:v>93325.430079699145</c:v>
                </c:pt>
                <c:pt idx="397">
                  <c:v>95499.258602143804</c:v>
                </c:pt>
                <c:pt idx="398">
                  <c:v>97723.722095581266</c:v>
                </c:pt>
                <c:pt idx="399">
                  <c:v>100000</c:v>
                </c:pt>
                <c:pt idx="400">
                  <c:v>102329.29922807543</c:v>
                </c:pt>
                <c:pt idx="401">
                  <c:v>104712.85480508996</c:v>
                </c:pt>
                <c:pt idx="402">
                  <c:v>107151.93052376082</c:v>
                </c:pt>
                <c:pt idx="403">
                  <c:v>109647.81961431868</c:v>
                </c:pt>
                <c:pt idx="404">
                  <c:v>112201.84543019651</c:v>
                </c:pt>
                <c:pt idx="405">
                  <c:v>114815.36214968823</c:v>
                </c:pt>
                <c:pt idx="406">
                  <c:v>117489.75549395311</c:v>
                </c:pt>
                <c:pt idx="407">
                  <c:v>120226.44346174144</c:v>
                </c:pt>
                <c:pt idx="408">
                  <c:v>123026.87708123829</c:v>
                </c:pt>
                <c:pt idx="409">
                  <c:v>125892.54117941685</c:v>
                </c:pt>
                <c:pt idx="410">
                  <c:v>128824.95516931375</c:v>
                </c:pt>
                <c:pt idx="411">
                  <c:v>131825.67385564081</c:v>
                </c:pt>
                <c:pt idx="412">
                  <c:v>134896.28825916545</c:v>
                </c:pt>
                <c:pt idx="413">
                  <c:v>138038.42646028858</c:v>
                </c:pt>
                <c:pt idx="414">
                  <c:v>141253.75446227577</c:v>
                </c:pt>
                <c:pt idx="415">
                  <c:v>144543.97707459307</c:v>
                </c:pt>
                <c:pt idx="416">
                  <c:v>147910.83881682079</c:v>
                </c:pt>
                <c:pt idx="417">
                  <c:v>151356.12484362084</c:v>
                </c:pt>
                <c:pt idx="418">
                  <c:v>154881.66189124843</c:v>
                </c:pt>
                <c:pt idx="419">
                  <c:v>158489.31924611164</c:v>
                </c:pt>
                <c:pt idx="420">
                  <c:v>162181.00973589328</c:v>
                </c:pt>
                <c:pt idx="421">
                  <c:v>165958.69074375604</c:v>
                </c:pt>
                <c:pt idx="422">
                  <c:v>169824.36524617471</c:v>
                </c:pt>
                <c:pt idx="423">
                  <c:v>173780.0828749378</c:v>
                </c:pt>
                <c:pt idx="424">
                  <c:v>177827.94100389251</c:v>
                </c:pt>
                <c:pt idx="425">
                  <c:v>181970.08586099857</c:v>
                </c:pt>
                <c:pt idx="426">
                  <c:v>186208.71366628664</c:v>
                </c:pt>
                <c:pt idx="427">
                  <c:v>190546.07179632492</c:v>
                </c:pt>
                <c:pt idx="428">
                  <c:v>194984.45997580473</c:v>
                </c:pt>
                <c:pt idx="429">
                  <c:v>199526.23149688813</c:v>
                </c:pt>
                <c:pt idx="430">
                  <c:v>204173.79446695308</c:v>
                </c:pt>
                <c:pt idx="431">
                  <c:v>208929.61308540447</c:v>
                </c:pt>
                <c:pt idx="432">
                  <c:v>213796.20895022334</c:v>
                </c:pt>
                <c:pt idx="433">
                  <c:v>218776.16239495538</c:v>
                </c:pt>
                <c:pt idx="434">
                  <c:v>223872.11385683404</c:v>
                </c:pt>
                <c:pt idx="435">
                  <c:v>229086.76527677779</c:v>
                </c:pt>
                <c:pt idx="436">
                  <c:v>234422.88153199267</c:v>
                </c:pt>
                <c:pt idx="437">
                  <c:v>239883.29190194907</c:v>
                </c:pt>
                <c:pt idx="438">
                  <c:v>245470.89156850305</c:v>
                </c:pt>
                <c:pt idx="439">
                  <c:v>251188.64315095844</c:v>
                </c:pt>
                <c:pt idx="440">
                  <c:v>257039.57827688678</c:v>
                </c:pt>
                <c:pt idx="441">
                  <c:v>263026.79918953858</c:v>
                </c:pt>
                <c:pt idx="442">
                  <c:v>269153.48039269145</c:v>
                </c:pt>
                <c:pt idx="443">
                  <c:v>275422.87033381703</c:v>
                </c:pt>
                <c:pt idx="444">
                  <c:v>281838.29312644573</c:v>
                </c:pt>
                <c:pt idx="445">
                  <c:v>288403.1503126609</c:v>
                </c:pt>
                <c:pt idx="446">
                  <c:v>295120.92266663886</c:v>
                </c:pt>
                <c:pt idx="447">
                  <c:v>301995.17204020242</c:v>
                </c:pt>
                <c:pt idx="448">
                  <c:v>309029.54325135931</c:v>
                </c:pt>
                <c:pt idx="449">
                  <c:v>316227.7660168382</c:v>
                </c:pt>
                <c:pt idx="450">
                  <c:v>323593.65692962846</c:v>
                </c:pt>
                <c:pt idx="451">
                  <c:v>331131.12148259126</c:v>
                </c:pt>
                <c:pt idx="452">
                  <c:v>338844.15613920329</c:v>
                </c:pt>
                <c:pt idx="453">
                  <c:v>346736.85045253241</c:v>
                </c:pt>
                <c:pt idx="454">
                  <c:v>354813.38923357555</c:v>
                </c:pt>
                <c:pt idx="455">
                  <c:v>363078.05477010203</c:v>
                </c:pt>
                <c:pt idx="456">
                  <c:v>371535.2290971732</c:v>
                </c:pt>
                <c:pt idx="457">
                  <c:v>380189.39632056188</c:v>
                </c:pt>
                <c:pt idx="458">
                  <c:v>389045.14499428123</c:v>
                </c:pt>
                <c:pt idx="459">
                  <c:v>398107.17055349716</c:v>
                </c:pt>
                <c:pt idx="460">
                  <c:v>407380.27780411334</c:v>
                </c:pt>
                <c:pt idx="461">
                  <c:v>416869.38347033598</c:v>
                </c:pt>
                <c:pt idx="462">
                  <c:v>426579.51880159322</c:v>
                </c:pt>
                <c:pt idx="463">
                  <c:v>436515.83224016649</c:v>
                </c:pt>
                <c:pt idx="464">
                  <c:v>446683.59215096442</c:v>
                </c:pt>
                <c:pt idx="465">
                  <c:v>457088.18961487547</c:v>
                </c:pt>
                <c:pt idx="466">
                  <c:v>467735.14128719864</c:v>
                </c:pt>
                <c:pt idx="467">
                  <c:v>478630.09232263872</c:v>
                </c:pt>
                <c:pt idx="468">
                  <c:v>489778.81936844654</c:v>
                </c:pt>
                <c:pt idx="469">
                  <c:v>501187.23362727347</c:v>
                </c:pt>
                <c:pt idx="470">
                  <c:v>512861.38399136515</c:v>
                </c:pt>
                <c:pt idx="471">
                  <c:v>524807.46024977288</c:v>
                </c:pt>
                <c:pt idx="472">
                  <c:v>537031.7963702539</c:v>
                </c:pt>
                <c:pt idx="473">
                  <c:v>549540.87385762564</c:v>
                </c:pt>
                <c:pt idx="474">
                  <c:v>562341.32519035018</c:v>
                </c:pt>
                <c:pt idx="475">
                  <c:v>575439.93733715697</c:v>
                </c:pt>
                <c:pt idx="476">
                  <c:v>588843.65535558888</c:v>
                </c:pt>
                <c:pt idx="477">
                  <c:v>602559.58607435878</c:v>
                </c:pt>
                <c:pt idx="478">
                  <c:v>616595.00186148309</c:v>
                </c:pt>
                <c:pt idx="479">
                  <c:v>630957.34448019415</c:v>
                </c:pt>
                <c:pt idx="480">
                  <c:v>645654.22903465747</c:v>
                </c:pt>
                <c:pt idx="481">
                  <c:v>660693.44800759677</c:v>
                </c:pt>
                <c:pt idx="482">
                  <c:v>676082.97539198259</c:v>
                </c:pt>
                <c:pt idx="483">
                  <c:v>691830.97091893724</c:v>
                </c:pt>
                <c:pt idx="484">
                  <c:v>707945.78438413853</c:v>
                </c:pt>
                <c:pt idx="485">
                  <c:v>724435.96007499192</c:v>
                </c:pt>
                <c:pt idx="486">
                  <c:v>741310.24130091805</c:v>
                </c:pt>
                <c:pt idx="487">
                  <c:v>758577.57502918423</c:v>
                </c:pt>
                <c:pt idx="488">
                  <c:v>776247.11662869214</c:v>
                </c:pt>
                <c:pt idx="489">
                  <c:v>794328.23472428333</c:v>
                </c:pt>
                <c:pt idx="490">
                  <c:v>812830.51616410096</c:v>
                </c:pt>
                <c:pt idx="491">
                  <c:v>831763.77110267128</c:v>
                </c:pt>
                <c:pt idx="492">
                  <c:v>851138.03820237669</c:v>
                </c:pt>
                <c:pt idx="493">
                  <c:v>870963.58995608077</c:v>
                </c:pt>
                <c:pt idx="494">
                  <c:v>891250.93813374708</c:v>
                </c:pt>
                <c:pt idx="495">
                  <c:v>912010.83935591124</c:v>
                </c:pt>
                <c:pt idx="496">
                  <c:v>933254.30079699249</c:v>
                </c:pt>
                <c:pt idx="497">
                  <c:v>954992.58602143743</c:v>
                </c:pt>
                <c:pt idx="498">
                  <c:v>977237.22095581202</c:v>
                </c:pt>
                <c:pt idx="499">
                  <c:v>1000000</c:v>
                </c:pt>
                <c:pt idx="500">
                  <c:v>1023292.9922807553</c:v>
                </c:pt>
                <c:pt idx="501">
                  <c:v>1047128.5480509007</c:v>
                </c:pt>
                <c:pt idx="502">
                  <c:v>1071519.3052376076</c:v>
                </c:pt>
                <c:pt idx="503">
                  <c:v>1096478.196143186</c:v>
                </c:pt>
                <c:pt idx="504">
                  <c:v>1122018.4543019643</c:v>
                </c:pt>
                <c:pt idx="505">
                  <c:v>1148153.6214968837</c:v>
                </c:pt>
                <c:pt idx="506">
                  <c:v>1174897.5549395324</c:v>
                </c:pt>
                <c:pt idx="507">
                  <c:v>1202264.4346174158</c:v>
                </c:pt>
                <c:pt idx="508">
                  <c:v>1230268.770812382</c:v>
                </c:pt>
                <c:pt idx="509">
                  <c:v>1258925.4117941677</c:v>
                </c:pt>
                <c:pt idx="510">
                  <c:v>1288249.5516931366</c:v>
                </c:pt>
                <c:pt idx="511">
                  <c:v>1318256.7385564097</c:v>
                </c:pt>
                <c:pt idx="512">
                  <c:v>1348962.8825916562</c:v>
                </c:pt>
                <c:pt idx="513">
                  <c:v>1380384.2646028849</c:v>
                </c:pt>
                <c:pt idx="514">
                  <c:v>1412537.5446227565</c:v>
                </c:pt>
                <c:pt idx="515">
                  <c:v>1445439.7707459298</c:v>
                </c:pt>
                <c:pt idx="516">
                  <c:v>1479108.3881682095</c:v>
                </c:pt>
                <c:pt idx="517">
                  <c:v>1513561.2484362102</c:v>
                </c:pt>
                <c:pt idx="518">
                  <c:v>1548816.6189124861</c:v>
                </c:pt>
                <c:pt idx="519">
                  <c:v>1584893.1924611153</c:v>
                </c:pt>
                <c:pt idx="520">
                  <c:v>1621810.0973589318</c:v>
                </c:pt>
                <c:pt idx="521">
                  <c:v>1659586.9074375622</c:v>
                </c:pt>
                <c:pt idx="522">
                  <c:v>1698243.6524617488</c:v>
                </c:pt>
                <c:pt idx="523">
                  <c:v>1737800.8287493798</c:v>
                </c:pt>
                <c:pt idx="524">
                  <c:v>1778279.4100389241</c:v>
                </c:pt>
                <c:pt idx="525">
                  <c:v>1819700.8586099846</c:v>
                </c:pt>
                <c:pt idx="526">
                  <c:v>1862087.1366628683</c:v>
                </c:pt>
                <c:pt idx="527">
                  <c:v>1905460.7179632513</c:v>
                </c:pt>
                <c:pt idx="528">
                  <c:v>1949844.5997580495</c:v>
                </c:pt>
                <c:pt idx="529">
                  <c:v>1995262.31496888</c:v>
                </c:pt>
                <c:pt idx="530">
                  <c:v>2041737.9446695296</c:v>
                </c:pt>
                <c:pt idx="531">
                  <c:v>2089296.1308540432</c:v>
                </c:pt>
                <c:pt idx="532">
                  <c:v>2137962.0895022359</c:v>
                </c:pt>
                <c:pt idx="533">
                  <c:v>2187761.6239495561</c:v>
                </c:pt>
                <c:pt idx="534">
                  <c:v>2238721.1385683389</c:v>
                </c:pt>
                <c:pt idx="535">
                  <c:v>2290867.6527677765</c:v>
                </c:pt>
                <c:pt idx="536">
                  <c:v>2344228.8153199251</c:v>
                </c:pt>
                <c:pt idx="537">
                  <c:v>2398832.9190194933</c:v>
                </c:pt>
                <c:pt idx="538">
                  <c:v>2454708.915685033</c:v>
                </c:pt>
                <c:pt idx="539">
                  <c:v>2511886.431509587</c:v>
                </c:pt>
                <c:pt idx="540">
                  <c:v>2570395.782768866</c:v>
                </c:pt>
                <c:pt idx="541">
                  <c:v>2630267.9918953842</c:v>
                </c:pt>
              </c:numCache>
            </c:numRef>
          </c:xVal>
          <c:yVal>
            <c:numRef>
              <c:f>Loop_Modeling!$BL$19:$BL$560</c:f>
              <c:numCache>
                <c:formatCode>General</c:formatCode>
                <c:ptCount val="542"/>
                <c:pt idx="0">
                  <c:v>66.55501516589257</c:v>
                </c:pt>
                <c:pt idx="1">
                  <c:v>66.354822898689534</c:v>
                </c:pt>
                <c:pt idx="2">
                  <c:v>66.154621580444484</c:v>
                </c:pt>
                <c:pt idx="3">
                  <c:v>65.954410785580947</c:v>
                </c:pt>
                <c:pt idx="4">
                  <c:v>65.754190068560817</c:v>
                </c:pt>
                <c:pt idx="5">
                  <c:v>65.553958962952223</c:v>
                </c:pt>
                <c:pt idx="6">
                  <c:v>65.353716980455545</c:v>
                </c:pt>
                <c:pt idx="7">
                  <c:v>65.153463609883019</c:v>
                </c:pt>
                <c:pt idx="8">
                  <c:v>64.953198316092823</c:v>
                </c:pt>
                <c:pt idx="9">
                  <c:v>64.752920538872729</c:v>
                </c:pt>
                <c:pt idx="10">
                  <c:v>64.552629691773461</c:v>
                </c:pt>
                <c:pt idx="11">
                  <c:v>64.352325160887915</c:v>
                </c:pt>
                <c:pt idx="12">
                  <c:v>64.152006303574211</c:v>
                </c:pt>
                <c:pt idx="13">
                  <c:v>63.951672447120835</c:v>
                </c:pt>
                <c:pt idx="14">
                  <c:v>63.751322887350319</c:v>
                </c:pt>
                <c:pt idx="15">
                  <c:v>63.55095688715879</c:v>
                </c:pt>
                <c:pt idx="16">
                  <c:v>63.350573674989747</c:v>
                </c:pt>
                <c:pt idx="17">
                  <c:v>63.150172443237444</c:v>
                </c:pt>
                <c:pt idx="18">
                  <c:v>62.949752346578023</c:v>
                </c:pt>
                <c:pt idx="19">
                  <c:v>62.749312500225315</c:v>
                </c:pt>
                <c:pt idx="20">
                  <c:v>62.548851978106406</c:v>
                </c:pt>
                <c:pt idx="21">
                  <c:v>62.348369810955894</c:v>
                </c:pt>
                <c:pt idx="22">
                  <c:v>62.147864984323846</c:v>
                </c:pt>
                <c:pt idx="23">
                  <c:v>61.947336436493146</c:v>
                </c:pt>
                <c:pt idx="24">
                  <c:v>61.746783056304409</c:v>
                </c:pt>
                <c:pt idx="25">
                  <c:v>61.546203680882677</c:v>
                </c:pt>
                <c:pt idx="26">
                  <c:v>61.34559709326269</c:v>
                </c:pt>
                <c:pt idx="27">
                  <c:v>61.144962019907716</c:v>
                </c:pt>
                <c:pt idx="28">
                  <c:v>60.944297128118841</c:v>
                </c:pt>
                <c:pt idx="29">
                  <c:v>60.743601023328736</c:v>
                </c:pt>
                <c:pt idx="30">
                  <c:v>60.542872246275287</c:v>
                </c:pt>
                <c:pt idx="31">
                  <c:v>60.342109270051701</c:v>
                </c:pt>
                <c:pt idx="32">
                  <c:v>60.141310497026069</c:v>
                </c:pt>
                <c:pt idx="33">
                  <c:v>59.940474255626206</c:v>
                </c:pt>
                <c:pt idx="34">
                  <c:v>59.739598796984424</c:v>
                </c:pt>
                <c:pt idx="35">
                  <c:v>59.538682291436245</c:v>
                </c:pt>
                <c:pt idx="36">
                  <c:v>59.337722824867399</c:v>
                </c:pt>
                <c:pt idx="37">
                  <c:v>59.136718394904037</c:v>
                </c:pt>
                <c:pt idx="38">
                  <c:v>58.935666906938522</c:v>
                </c:pt>
                <c:pt idx="39">
                  <c:v>58.734566169986167</c:v>
                </c:pt>
                <c:pt idx="40">
                  <c:v>58.53341389236607</c:v>
                </c:pt>
                <c:pt idx="41">
                  <c:v>58.332207677198589</c:v>
                </c:pt>
                <c:pt idx="42">
                  <c:v>58.130945017714822</c:v>
                </c:pt>
                <c:pt idx="43">
                  <c:v>57.929623292369044</c:v>
                </c:pt>
                <c:pt idx="44">
                  <c:v>57.728239759749052</c:v>
                </c:pt>
                <c:pt idx="45">
                  <c:v>57.52679155327673</c:v>
                </c:pt>
                <c:pt idx="46">
                  <c:v>57.325275675690889</c:v>
                </c:pt>
                <c:pt idx="47">
                  <c:v>57.123688993307027</c:v>
                </c:pt>
                <c:pt idx="48">
                  <c:v>56.9220282300451</c:v>
                </c:pt>
                <c:pt idx="49">
                  <c:v>56.720289961219009</c:v>
                </c:pt>
                <c:pt idx="50">
                  <c:v>56.518470607079763</c:v>
                </c:pt>
                <c:pt idx="51">
                  <c:v>56.316566426105979</c:v>
                </c:pt>
                <c:pt idx="52">
                  <c:v>56.114573508033629</c:v>
                </c:pt>
                <c:pt idx="53">
                  <c:v>55.912487766617943</c:v>
                </c:pt>
                <c:pt idx="54">
                  <c:v>55.710304932120913</c:v>
                </c:pt>
                <c:pt idx="55">
                  <c:v>55.508020543517318</c:v>
                </c:pt>
                <c:pt idx="56">
                  <c:v>55.305629940411826</c:v>
                </c:pt>
                <c:pt idx="57">
                  <c:v>55.103128254662359</c:v>
                </c:pt>
                <c:pt idx="58">
                  <c:v>54.900510401701304</c:v>
                </c:pt>
                <c:pt idx="59">
                  <c:v>54.697771071551109</c:v>
                </c:pt>
                <c:pt idx="60">
                  <c:v>54.494904719527796</c:v>
                </c:pt>
                <c:pt idx="61">
                  <c:v>54.29190555662737</c:v>
                </c:pt>
                <c:pt idx="62">
                  <c:v>54.088767539591871</c:v>
                </c:pt>
                <c:pt idx="63">
                  <c:v>53.885484360651148</c:v>
                </c:pt>
                <c:pt idx="64">
                  <c:v>53.682049436937717</c:v>
                </c:pt>
                <c:pt idx="65">
                  <c:v>53.478455899573092</c:v>
                </c:pt>
                <c:pt idx="66">
                  <c:v>53.274696582425477</c:v>
                </c:pt>
                <c:pt idx="67">
                  <c:v>53.070764010538241</c:v>
                </c:pt>
                <c:pt idx="68">
                  <c:v>52.8666503882326</c:v>
                </c:pt>
                <c:pt idx="69">
                  <c:v>52.662347586886568</c:v>
                </c:pt>
                <c:pt idx="70">
                  <c:v>52.457847132395862</c:v>
                </c:pt>
                <c:pt idx="71">
                  <c:v>52.253140192323698</c:v>
                </c:pt>
                <c:pt idx="72">
                  <c:v>52.048217562748576</c:v>
                </c:pt>
                <c:pt idx="73">
                  <c:v>51.843069654819587</c:v>
                </c:pt>
                <c:pt idx="74">
                  <c:v>51.637686481035878</c:v>
                </c:pt>
                <c:pt idx="75">
                  <c:v>51.432057641263583</c:v>
                </c:pt>
                <c:pt idx="76">
                  <c:v>51.226172308510776</c:v>
                </c:pt>
                <c:pt idx="77">
                  <c:v>51.020019214482978</c:v>
                </c:pt>
                <c:pt idx="78">
                  <c:v>50.813586634944699</c:v>
                </c:pt>
                <c:pt idx="79">
                  <c:v>50.606862374916503</c:v>
                </c:pt>
                <c:pt idx="80">
                  <c:v>50.399833753741554</c:v>
                </c:pt>
                <c:pt idx="81">
                  <c:v>50.192487590059443</c:v>
                </c:pt>
                <c:pt idx="82">
                  <c:v>49.98481018673003</c:v>
                </c:pt>
                <c:pt idx="83">
                  <c:v>49.776787315755094</c:v>
                </c:pt>
                <c:pt idx="84">
                  <c:v>49.568404203250431</c:v>
                </c:pt>
                <c:pt idx="85">
                  <c:v>49.35964551452809</c:v>
                </c:pt>
                <c:pt idx="86">
                  <c:v>49.150495339351814</c:v>
                </c:pt>
                <c:pt idx="87">
                  <c:v>48.940937177438677</c:v>
                </c:pt>
                <c:pt idx="88">
                  <c:v>48.730953924283746</c:v>
                </c:pt>
                <c:pt idx="89">
                  <c:v>48.520527857392437</c:v>
                </c:pt>
                <c:pt idx="90">
                  <c:v>48.309640623013635</c:v>
                </c:pt>
                <c:pt idx="91">
                  <c:v>48.098273223473129</c:v>
                </c:pt>
                <c:pt idx="92">
                  <c:v>47.886406005214859</c:v>
                </c:pt>
                <c:pt idx="93">
                  <c:v>47.674018647666557</c:v>
                </c:pt>
                <c:pt idx="94">
                  <c:v>47.461090153054037</c:v>
                </c:pt>
                <c:pt idx="95">
                  <c:v>47.247598837296501</c:v>
                </c:pt>
                <c:pt idx="96">
                  <c:v>47.03352232212567</c:v>
                </c:pt>
                <c:pt idx="97">
                  <c:v>46.818837528577156</c:v>
                </c:pt>
                <c:pt idx="98">
                  <c:v>46.603520672014312</c:v>
                </c:pt>
                <c:pt idx="99">
                  <c:v>46.387547258850852</c:v>
                </c:pt>
                <c:pt idx="100">
                  <c:v>46.170892085148161</c:v>
                </c:pt>
                <c:pt idx="101">
                  <c:v>45.953529237269152</c:v>
                </c:pt>
                <c:pt idx="102">
                  <c:v>45.735432094781032</c:v>
                </c:pt>
                <c:pt idx="103">
                  <c:v>45.516573335802299</c:v>
                </c:pt>
                <c:pt idx="104">
                  <c:v>45.296924944997301</c:v>
                </c:pt>
                <c:pt idx="105">
                  <c:v>45.076458224426844</c:v>
                </c:pt>
                <c:pt idx="106">
                  <c:v>44.855143807465595</c:v>
                </c:pt>
                <c:pt idx="107">
                  <c:v>44.632951676000019</c:v>
                </c:pt>
                <c:pt idx="108">
                  <c:v>44.40985118112286</c:v>
                </c:pt>
                <c:pt idx="109">
                  <c:v>44.185811067536079</c:v>
                </c:pt>
                <c:pt idx="110">
                  <c:v>43.960799501875357</c:v>
                </c:pt>
                <c:pt idx="111">
                  <c:v>43.734784105160351</c:v>
                </c:pt>
                <c:pt idx="112">
                  <c:v>43.507731989570161</c:v>
                </c:pt>
                <c:pt idx="113">
                  <c:v>43.279609799732356</c:v>
                </c:pt>
                <c:pt idx="114">
                  <c:v>43.050383758701201</c:v>
                </c:pt>
                <c:pt idx="115">
                  <c:v>42.820019718784295</c:v>
                </c:pt>
                <c:pt idx="116">
                  <c:v>42.58848321735934</c:v>
                </c:pt>
                <c:pt idx="117">
                  <c:v>42.355739537798627</c:v>
                </c:pt>
                <c:pt idx="118">
                  <c:v>42.121753775594499</c:v>
                </c:pt>
                <c:pt idx="119">
                  <c:v>41.886490909749121</c:v>
                </c:pt>
                <c:pt idx="120">
                  <c:v>41.649915879459904</c:v>
                </c:pt>
                <c:pt idx="121">
                  <c:v>41.411993666094503</c:v>
                </c:pt>
                <c:pt idx="122">
                  <c:v>41.17268938041191</c:v>
                </c:pt>
                <c:pt idx="123">
                  <c:v>40.931968354941219</c:v>
                </c:pt>
                <c:pt idx="124">
                  <c:v>40.689796241385963</c:v>
                </c:pt>
                <c:pt idx="125">
                  <c:v>40.446139112872395</c:v>
                </c:pt>
                <c:pt idx="126">
                  <c:v>40.200963570810273</c:v>
                </c:pt>
                <c:pt idx="127">
                  <c:v>39.954236856081899</c:v>
                </c:pt>
                <c:pt idx="128">
                  <c:v>39.705926964222556</c:v>
                </c:pt>
                <c:pt idx="129">
                  <c:v>39.45600276419902</c:v>
                </c:pt>
                <c:pt idx="130">
                  <c:v>39.204434120343265</c:v>
                </c:pt>
                <c:pt idx="131">
                  <c:v>38.951192016939025</c:v>
                </c:pt>
                <c:pt idx="132">
                  <c:v>38.696248684914089</c:v>
                </c:pt>
                <c:pt idx="133">
                  <c:v>38.4395777300359</c:v>
                </c:pt>
                <c:pt idx="134">
                  <c:v>38.181154261967684</c:v>
                </c:pt>
                <c:pt idx="135">
                  <c:v>37.920955023497704</c:v>
                </c:pt>
                <c:pt idx="136">
                  <c:v>37.658958519219127</c:v>
                </c:pt>
                <c:pt idx="137">
                  <c:v>37.395145142908788</c:v>
                </c:pt>
                <c:pt idx="138">
                  <c:v>37.129497302828554</c:v>
                </c:pt>
                <c:pt idx="139">
                  <c:v>36.861999544158778</c:v>
                </c:pt>
                <c:pt idx="140">
                  <c:v>36.592638667763978</c:v>
                </c:pt>
                <c:pt idx="141">
                  <c:v>36.321403844495102</c:v>
                </c:pt>
                <c:pt idx="142">
                  <c:v>36.04828672423924</c:v>
                </c:pt>
                <c:pt idx="143">
                  <c:v>35.773281538951515</c:v>
                </c:pt>
                <c:pt idx="144">
                  <c:v>35.496385198927918</c:v>
                </c:pt>
                <c:pt idx="145">
                  <c:v>35.217597381620593</c:v>
                </c:pt>
                <c:pt idx="146">
                  <c:v>34.936920612340153</c:v>
                </c:pt>
                <c:pt idx="147">
                  <c:v>34.654360336246661</c:v>
                </c:pt>
                <c:pt idx="148">
                  <c:v>34.369924981092822</c:v>
                </c:pt>
                <c:pt idx="149">
                  <c:v>34.083626010251912</c:v>
                </c:pt>
                <c:pt idx="150">
                  <c:v>33.795477965638888</c:v>
                </c:pt>
                <c:pt idx="151">
                  <c:v>33.505498500211587</c:v>
                </c:pt>
                <c:pt idx="152">
                  <c:v>33.213708399822089</c:v>
                </c:pt>
                <c:pt idx="153">
                  <c:v>32.920131594273123</c:v>
                </c:pt>
                <c:pt idx="154">
                  <c:v>32.624795157519124</c:v>
                </c:pt>
                <c:pt idx="155">
                  <c:v>32.327729297035795</c:v>
                </c:pt>
                <c:pt idx="156">
                  <c:v>32.028967332464582</c:v>
                </c:pt>
                <c:pt idx="157">
                  <c:v>31.728545663716901</c:v>
                </c:pt>
                <c:pt idx="158">
                  <c:v>31.426503728795005</c:v>
                </c:pt>
                <c:pt idx="159">
                  <c:v>31.122883951657002</c:v>
                </c:pt>
                <c:pt idx="160">
                  <c:v>30.817731680510811</c:v>
                </c:pt>
                <c:pt idx="161">
                  <c:v>30.511095116979575</c:v>
                </c:pt>
                <c:pt idx="162">
                  <c:v>30.203025236619734</c:v>
                </c:pt>
                <c:pt idx="163">
                  <c:v>29.893575701316536</c:v>
                </c:pt>
                <c:pt idx="164">
                  <c:v>29.58280276410116</c:v>
                </c:pt>
                <c:pt idx="165">
                  <c:v>29.270765166958952</c:v>
                </c:pt>
                <c:pt idx="166">
                  <c:v>28.957524032202592</c:v>
                </c:pt>
                <c:pt idx="167">
                  <c:v>28.643142747987064</c:v>
                </c:pt>
                <c:pt idx="168">
                  <c:v>28.327686848537226</c:v>
                </c:pt>
                <c:pt idx="169">
                  <c:v>28.011223889642114</c:v>
                </c:pt>
                <c:pt idx="170">
                  <c:v>27.693823319952497</c:v>
                </c:pt>
                <c:pt idx="171">
                  <c:v>27.375556348589726</c:v>
                </c:pt>
                <c:pt idx="172">
                  <c:v>27.056495809546174</c:v>
                </c:pt>
                <c:pt idx="173">
                  <c:v>26.736716023319474</c:v>
                </c:pt>
                <c:pt idx="174">
                  <c:v>26.416292656193377</c:v>
                </c:pt>
                <c:pt idx="175">
                  <c:v>26.095302577532856</c:v>
                </c:pt>
                <c:pt idx="176">
                  <c:v>25.773823715431131</c:v>
                </c:pt>
                <c:pt idx="177">
                  <c:v>25.45193491100467</c:v>
                </c:pt>
                <c:pt idx="178">
                  <c:v>25.129715771602299</c:v>
                </c:pt>
                <c:pt idx="179">
                  <c:v>24.807246523158774</c:v>
                </c:pt>
                <c:pt idx="180">
                  <c:v>24.48460786189974</c:v>
                </c:pt>
                <c:pt idx="181">
                  <c:v>24.161880805580438</c:v>
                </c:pt>
                <c:pt idx="182">
                  <c:v>23.839146544420355</c:v>
                </c:pt>
                <c:pt idx="183">
                  <c:v>23.516486291887631</c:v>
                </c:pt>
                <c:pt idx="184">
                  <c:v>23.19398113547723</c:v>
                </c:pt>
                <c:pt idx="185">
                  <c:v>22.871711887627342</c:v>
                </c:pt>
                <c:pt idx="186">
                  <c:v>22.549758936922363</c:v>
                </c:pt>
                <c:pt idx="187">
                  <c:v>22.228202099745825</c:v>
                </c:pt>
                <c:pt idx="188">
                  <c:v>21.907120472558375</c:v>
                </c:pt>
                <c:pt idx="189">
                  <c:v>21.586592285001103</c:v>
                </c:pt>
                <c:pt idx="190">
                  <c:v>21.266694754050476</c:v>
                </c:pt>
                <c:pt idx="191">
                  <c:v>20.947503939480928</c:v>
                </c:pt>
                <c:pt idx="192">
                  <c:v>20.629094600925786</c:v>
                </c:pt>
                <c:pt idx="193">
                  <c:v>20.311540056861741</c:v>
                </c:pt>
                <c:pt idx="194">
                  <c:v>19.994912045880806</c:v>
                </c:pt>
                <c:pt idx="195">
                  <c:v>19.679280590649896</c:v>
                </c:pt>
                <c:pt idx="196">
                  <c:v>19.364713864994997</c:v>
                </c:pt>
                <c:pt idx="197">
                  <c:v>19.051278064581282</c:v>
                </c:pt>
                <c:pt idx="198">
                  <c:v>18.739037281692504</c:v>
                </c:pt>
                <c:pt idx="199">
                  <c:v>18.428053384638751</c:v>
                </c:pt>
                <c:pt idx="200">
                  <c:v>18.11838590234569</c:v>
                </c:pt>
                <c:pt idx="201">
                  <c:v>17.810091914691803</c:v>
                </c:pt>
                <c:pt idx="202">
                  <c:v>17.503225949171156</c:v>
                </c:pt>
                <c:pt idx="203">
                  <c:v>17.197839884458439</c:v>
                </c:pt>
                <c:pt idx="204">
                  <c:v>16.893982861446929</c:v>
                </c:pt>
                <c:pt idx="205">
                  <c:v>16.591701202313239</c:v>
                </c:pt>
                <c:pt idx="206">
                  <c:v>16.291038338138581</c:v>
                </c:pt>
                <c:pt idx="207">
                  <c:v>15.992034745580266</c:v>
                </c:pt>
                <c:pt idx="208">
                  <c:v>15.694727893048285</c:v>
                </c:pt>
                <c:pt idx="209">
                  <c:v>15.399152196786074</c:v>
                </c:pt>
                <c:pt idx="210">
                  <c:v>15.105338987198685</c:v>
                </c:pt>
                <c:pt idx="211">
                  <c:v>14.813316485705037</c:v>
                </c:pt>
                <c:pt idx="212">
                  <c:v>14.523109792317134</c:v>
                </c:pt>
                <c:pt idx="213">
                  <c:v>14.234740884073622</c:v>
                </c:pt>
                <c:pt idx="214">
                  <c:v>13.948228624372858</c:v>
                </c:pt>
                <c:pt idx="215">
                  <c:v>13.66358878316664</c:v>
                </c:pt>
                <c:pt idx="216">
                  <c:v>13.38083406789249</c:v>
                </c:pt>
                <c:pt idx="217">
                  <c:v>13.09997416493408</c:v>
                </c:pt>
                <c:pt idx="218">
                  <c:v>12.821015791320637</c:v>
                </c:pt>
                <c:pt idx="219">
                  <c:v>12.543962756291902</c:v>
                </c:pt>
                <c:pt idx="220">
                  <c:v>12.26881603228161</c:v>
                </c:pt>
                <c:pt idx="221">
                  <c:v>11.995573834800435</c:v>
                </c:pt>
                <c:pt idx="222">
                  <c:v>11.724231710635834</c:v>
                </c:pt>
                <c:pt idx="223">
                  <c:v>11.454782633729019</c:v>
                </c:pt>
                <c:pt idx="224">
                  <c:v>11.187217108040636</c:v>
                </c:pt>
                <c:pt idx="225">
                  <c:v>10.92152327667679</c:v>
                </c:pt>
                <c:pt idx="226">
                  <c:v>10.657687036515505</c:v>
                </c:pt>
                <c:pt idx="227">
                  <c:v>10.39569215755259</c:v>
                </c:pt>
                <c:pt idx="228">
                  <c:v>10.135520406173601</c:v>
                </c:pt>
                <c:pt idx="229">
                  <c:v>9.8771516715535217</c:v>
                </c:pt>
                <c:pt idx="230">
                  <c:v>9.6205640943941653</c:v>
                </c:pt>
                <c:pt idx="231">
                  <c:v>9.3657341972195471</c:v>
                </c:pt>
                <c:pt idx="232">
                  <c:v>9.1126370154735117</c:v>
                </c:pt>
                <c:pt idx="233">
                  <c:v>8.8612462286917903</c:v>
                </c:pt>
                <c:pt idx="234">
                  <c:v>8.6115342910538875</c:v>
                </c:pt>
                <c:pt idx="235">
                  <c:v>8.3634725606625544</c:v>
                </c:pt>
                <c:pt idx="236">
                  <c:v>8.1170314269408834</c:v>
                </c:pt>
                <c:pt idx="237">
                  <c:v>7.872180435587314</c:v>
                </c:pt>
                <c:pt idx="238">
                  <c:v>7.6288884105785968</c:v>
                </c:pt>
                <c:pt idx="239">
                  <c:v>7.3871235727627305</c:v>
                </c:pt>
                <c:pt idx="240">
                  <c:v>7.1468536546405073</c:v>
                </c:pt>
                <c:pt idx="241">
                  <c:v>6.9080460109847888</c:v>
                </c:pt>
                <c:pt idx="242">
                  <c:v>6.6706677250027813</c:v>
                </c:pt>
                <c:pt idx="243">
                  <c:v>6.4346857097983161</c:v>
                </c:pt>
                <c:pt idx="244">
                  <c:v>6.2000668049409438</c:v>
                </c:pt>
                <c:pt idx="245">
                  <c:v>5.9667778679983154</c:v>
                </c:pt>
                <c:pt idx="246">
                  <c:v>5.7347858609344406</c:v>
                </c:pt>
                <c:pt idx="247">
                  <c:v>5.5040579313179911</c:v>
                </c:pt>
                <c:pt idx="248">
                  <c:v>5.2745614883262579</c:v>
                </c:pt>
                <c:pt idx="249">
                  <c:v>5.0462642735654768</c:v>
                </c:pt>
                <c:pt idx="250">
                  <c:v>4.8191344267627034</c:v>
                </c:pt>
                <c:pt idx="251">
                  <c:v>4.593140546411937</c:v>
                </c:pt>
                <c:pt idx="252">
                  <c:v>4.3682517454850878</c:v>
                </c:pt>
                <c:pt idx="253">
                  <c:v>4.1444377023393146</c:v>
                </c:pt>
                <c:pt idx="254">
                  <c:v>3.9216687069709892</c:v>
                </c:pt>
                <c:pt idx="255">
                  <c:v>3.6999157027842253</c:v>
                </c:pt>
                <c:pt idx="256">
                  <c:v>3.4791503240531356</c:v>
                </c:pt>
                <c:pt idx="257">
                  <c:v>3.2593449292641314</c:v>
                </c:pt>
                <c:pt idx="258">
                  <c:v>3.0404726305379914</c:v>
                </c:pt>
                <c:pt idx="259">
                  <c:v>2.8225073193281376</c:v>
                </c:pt>
                <c:pt idx="260">
                  <c:v>2.605423688598012</c:v>
                </c:pt>
                <c:pt idx="261">
                  <c:v>2.3891972516804967</c:v>
                </c:pt>
                <c:pt idx="262">
                  <c:v>2.1738043580164974</c:v>
                </c:pt>
                <c:pt idx="263">
                  <c:v>1.9592222059697502</c:v>
                </c:pt>
                <c:pt idx="264">
                  <c:v>1.7454288529073103</c:v>
                </c:pt>
                <c:pt idx="265">
                  <c:v>1.5324032227292008</c:v>
                </c:pt>
                <c:pt idx="266">
                  <c:v>1.3201251110216738</c:v>
                </c:pt>
                <c:pt idx="267">
                  <c:v>1.1085751880008505</c:v>
                </c:pt>
                <c:pt idx="268">
                  <c:v>0.89773499940306212</c:v>
                </c:pt>
                <c:pt idx="269">
                  <c:v>0.68758696546599074</c:v>
                </c:pt>
                <c:pt idx="270">
                  <c:v>0.47811437813658475</c:v>
                </c:pt>
                <c:pt idx="271">
                  <c:v>0.26930139662740776</c:v>
                </c:pt>
                <c:pt idx="272">
                  <c:v>6.1133041430922332E-2</c:v>
                </c:pt>
                <c:pt idx="273">
                  <c:v>-0.14640481311010659</c:v>
                </c:pt>
                <c:pt idx="274">
                  <c:v>-0.35332544759012846</c:v>
                </c:pt>
                <c:pt idx="275">
                  <c:v>-0.55964130761636854</c:v>
                </c:pt>
                <c:pt idx="276">
                  <c:v>-0.76536401511147067</c:v>
                </c:pt>
                <c:pt idx="277">
                  <c:v>-0.97050438079904644</c:v>
                </c:pt>
                <c:pt idx="278">
                  <c:v>-1.175072417837316</c:v>
                </c:pt>
                <c:pt idx="279">
                  <c:v>-1.3790773565836107</c:v>
                </c:pt>
                <c:pt idx="280">
                  <c:v>-1.5825276604804783</c:v>
                </c:pt>
                <c:pt idx="281">
                  <c:v>-1.7854310430710549</c:v>
                </c:pt>
                <c:pt idx="282">
                  <c:v>-1.9877944861616894</c:v>
                </c:pt>
                <c:pt idx="283">
                  <c:v>-2.1896242591635007</c:v>
                </c:pt>
                <c:pt idx="284">
                  <c:v>-2.3909259396554865</c:v>
                </c:pt>
                <c:pt idx="285">
                  <c:v>-2.591704435225564</c:v>
                </c:pt>
                <c:pt idx="286">
                  <c:v>-2.7919640066562517</c:v>
                </c:pt>
                <c:pt idx="287">
                  <c:v>-2.9917082925324294</c:v>
                </c:pt>
                <c:pt idx="288">
                  <c:v>-3.1909403353615873</c:v>
                </c:pt>
                <c:pt idx="289">
                  <c:v>-3.3896626093050553</c:v>
                </c:pt>
                <c:pt idx="290">
                  <c:v>-3.5878770496290779</c:v>
                </c:pt>
                <c:pt idx="291">
                  <c:v>-3.7855850839940812</c:v>
                </c:pt>
                <c:pt idx="292">
                  <c:v>-3.9827876657078196</c:v>
                </c:pt>
                <c:pt idx="293">
                  <c:v>-4.1794853090767194</c:v>
                </c:pt>
                <c:pt idx="294">
                  <c:v>-4.3756781269926526</c:v>
                </c:pt>
                <c:pt idx="295">
                  <c:v>-4.5713658709032376</c:v>
                </c:pt>
                <c:pt idx="296">
                  <c:v>-4.7665479733101863</c:v>
                </c:pt>
                <c:pt idx="297">
                  <c:v>-4.9612235929494481</c:v>
                </c:pt>
                <c:pt idx="298">
                  <c:v>-5.1553916628018719</c:v>
                </c:pt>
                <c:pt idx="299">
                  <c:v>-5.3490509410854559</c:v>
                </c:pt>
                <c:pt idx="300">
                  <c:v>-5.542200065374697</c:v>
                </c:pt>
                <c:pt idx="301">
                  <c:v>-5.7348376099887899</c:v>
                </c:pt>
                <c:pt idx="302">
                  <c:v>-5.9269621467798936</c:v>
                </c:pt>
                <c:pt idx="303">
                  <c:v>-6.1185723094447724</c:v>
                </c:pt>
                <c:pt idx="304">
                  <c:v>-6.3096668614665656</c:v>
                </c:pt>
                <c:pt idx="305">
                  <c:v>-6.500244767779372</c:v>
                </c:pt>
                <c:pt idx="306">
                  <c:v>-6.6903052702260446</c:v>
                </c:pt>
                <c:pt idx="307">
                  <c:v>-6.8798479668573433</c:v>
                </c:pt>
                <c:pt idx="308">
                  <c:v>-7.0688728950936213</c:v>
                </c:pt>
                <c:pt idx="309">
                  <c:v>-7.2573806187382406</c:v>
                </c:pt>
                <c:pt idx="310">
                  <c:v>-7.4453723187981851</c:v>
                </c:pt>
                <c:pt idx="311">
                  <c:v>-7.6328498880288294</c:v>
                </c:pt>
                <c:pt idx="312">
                  <c:v>-7.8198160290770504</c:v>
                </c:pt>
                <c:pt idx="313">
                  <c:v>-8.0062743560507084</c:v>
                </c:pt>
                <c:pt idx="314">
                  <c:v>-8.1922294992931946</c:v>
                </c:pt>
                <c:pt idx="315">
                  <c:v>-8.3776872130878726</c:v>
                </c:pt>
                <c:pt idx="316">
                  <c:v>-8.5626544859619091</c:v>
                </c:pt>
                <c:pt idx="317">
                  <c:v>-8.7471396531993069</c:v>
                </c:pt>
                <c:pt idx="318">
                  <c:v>-8.9311525111106285</c:v>
                </c:pt>
                <c:pt idx="319">
                  <c:v>-9.1147044325469988</c:v>
                </c:pt>
                <c:pt idx="320">
                  <c:v>-9.2978084830787697</c:v>
                </c:pt>
                <c:pt idx="321">
                  <c:v>-9.4804795371960253</c:v>
                </c:pt>
                <c:pt idx="322">
                  <c:v>-9.6627343938267725</c:v>
                </c:pt>
                <c:pt idx="323">
                  <c:v>-9.8445918904030449</c:v>
                </c:pt>
                <c:pt idx="324">
                  <c:v>-10.026073014649281</c:v>
                </c:pt>
                <c:pt idx="325">
                  <c:v>-10.20720101320855</c:v>
                </c:pt>
                <c:pt idx="326">
                  <c:v>-10.388001496176152</c:v>
                </c:pt>
                <c:pt idx="327">
                  <c:v>-10.568502536559389</c:v>
                </c:pt>
                <c:pt idx="328">
                  <c:v>-10.748734763650818</c:v>
                </c:pt>
                <c:pt idx="329">
                  <c:v>-10.928731449270092</c:v>
                </c:pt>
                <c:pt idx="330">
                  <c:v>-11.108528585811047</c:v>
                </c:pt>
                <c:pt idx="331">
                  <c:v>-11.288164955021712</c:v>
                </c:pt>
                <c:pt idx="332">
                  <c:v>-11.467682186449453</c:v>
                </c:pt>
                <c:pt idx="333">
                  <c:v>-11.647124804496677</c:v>
                </c:pt>
                <c:pt idx="334">
                  <c:v>-11.826540263062688</c:v>
                </c:pt>
                <c:pt idx="335">
                  <c:v>-12.005978966790549</c:v>
                </c:pt>
                <c:pt idx="336">
                  <c:v>-12.185494277990632</c:v>
                </c:pt>
                <c:pt idx="337">
                  <c:v>-12.365142508389091</c:v>
                </c:pt>
                <c:pt idx="338">
                  <c:v>-12.544982894927646</c:v>
                </c:pt>
                <c:pt idx="339">
                  <c:v>-12.72507755894469</c:v>
                </c:pt>
                <c:pt idx="340">
                  <c:v>-12.905491448175304</c:v>
                </c:pt>
                <c:pt idx="341">
                  <c:v>-13.086292261133611</c:v>
                </c:pt>
                <c:pt idx="342">
                  <c:v>-13.26755035357335</c:v>
                </c:pt>
                <c:pt idx="343">
                  <c:v>-13.44933862686721</c:v>
                </c:pt>
                <c:pt idx="344">
                  <c:v>-13.631732398297471</c:v>
                </c:pt>
                <c:pt idx="345">
                  <c:v>-13.81480925340702</c:v>
                </c:pt>
                <c:pt idx="346">
                  <c:v>-13.998648880723465</c:v>
                </c:pt>
                <c:pt idx="347">
                  <c:v>-14.183332889332149</c:v>
                </c:pt>
                <c:pt idx="348">
                  <c:v>-14.368944609936982</c:v>
                </c:pt>
                <c:pt idx="349">
                  <c:v>-14.55556888021308</c:v>
                </c:pt>
                <c:pt idx="350">
                  <c:v>-14.743291815407041</c:v>
                </c:pt>
                <c:pt idx="351">
                  <c:v>-14.932200565297084</c:v>
                </c:pt>
                <c:pt idx="352">
                  <c:v>-15.122383058760903</c:v>
                </c:pt>
                <c:pt idx="353">
                  <c:v>-15.313927737335591</c:v>
                </c:pt>
                <c:pt idx="354">
                  <c:v>-15.506923279266632</c:v>
                </c:pt>
                <c:pt idx="355">
                  <c:v>-15.701458315652934</c:v>
                </c:pt>
                <c:pt idx="356">
                  <c:v>-15.897621140375639</c:v>
                </c:pt>
                <c:pt idx="357">
                  <c:v>-16.095499415579347</c:v>
                </c:pt>
                <c:pt idx="358">
                  <c:v>-16.295179874517686</c:v>
                </c:pt>
                <c:pt idx="359">
                  <c:v>-16.496748023619354</c:v>
                </c:pt>
                <c:pt idx="360">
                  <c:v>-16.700287845643164</c:v>
                </c:pt>
                <c:pt idx="361">
                  <c:v>-16.90588150578812</c:v>
                </c:pt>
                <c:pt idx="362">
                  <c:v>-17.11360906260699</c:v>
                </c:pt>
                <c:pt idx="363">
                  <c:v>-17.323548185529823</c:v>
                </c:pt>
                <c:pt idx="364">
                  <c:v>-17.535773880749787</c:v>
                </c:pt>
                <c:pt idx="365">
                  <c:v>-17.750358227149896</c:v>
                </c:pt>
                <c:pt idx="366">
                  <c:v>-17.967370123861926</c:v>
                </c:pt>
                <c:pt idx="367">
                  <c:v>-18.186875050944607</c:v>
                </c:pt>
                <c:pt idx="368">
                  <c:v>-18.40893484455664</c:v>
                </c:pt>
                <c:pt idx="369">
                  <c:v>-18.633607487869018</c:v>
                </c:pt>
                <c:pt idx="370">
                  <c:v>-18.860946918829292</c:v>
                </c:pt>
                <c:pt idx="371">
                  <c:v>-19.091002855745501</c:v>
                </c:pt>
                <c:pt idx="372">
                  <c:v>-19.323820641505385</c:v>
                </c:pt>
                <c:pt idx="373">
                  <c:v>-19.559441107096017</c:v>
                </c:pt>
                <c:pt idx="374">
                  <c:v>-19.797900454929785</c:v>
                </c:pt>
                <c:pt idx="375">
                  <c:v>-20.039230162321857</c:v>
                </c:pt>
                <c:pt idx="376">
                  <c:v>-20.283456905314502</c:v>
                </c:pt>
                <c:pt idx="377">
                  <c:v>-20.53060250288091</c:v>
                </c:pt>
                <c:pt idx="378">
                  <c:v>-20.780683881392946</c:v>
                </c:pt>
                <c:pt idx="379">
                  <c:v>-21.03371305909414</c:v>
                </c:pt>
                <c:pt idx="380">
                  <c:v>-21.289697150175005</c:v>
                </c:pt>
                <c:pt idx="381">
                  <c:v>-21.548638387919393</c:v>
                </c:pt>
                <c:pt idx="382">
                  <c:v>-21.810534166268631</c:v>
                </c:pt>
                <c:pt idx="383">
                  <c:v>-22.075377099035755</c:v>
                </c:pt>
                <c:pt idx="384">
                  <c:v>-22.343155095903555</c:v>
                </c:pt>
                <c:pt idx="385">
                  <c:v>-22.613851454246685</c:v>
                </c:pt>
                <c:pt idx="386">
                  <c:v>-22.887444965745196</c:v>
                </c:pt>
                <c:pt idx="387">
                  <c:v>-23.163910036688407</c:v>
                </c:pt>
                <c:pt idx="388">
                  <c:v>-23.443216820817451</c:v>
                </c:pt>
                <c:pt idx="389">
                  <c:v>-23.725331363517057</c:v>
                </c:pt>
                <c:pt idx="390">
                  <c:v>-24.010215756140397</c:v>
                </c:pt>
                <c:pt idx="391">
                  <c:v>-24.297828299238308</c:v>
                </c:pt>
                <c:pt idx="392">
                  <c:v>-24.588123673466132</c:v>
                </c:pt>
                <c:pt idx="393">
                  <c:v>-24.881053116950788</c:v>
                </c:pt>
                <c:pt idx="394">
                  <c:v>-25.176564607926327</c:v>
                </c:pt>
                <c:pt idx="395">
                  <c:v>-25.474603051482635</c:v>
                </c:pt>
                <c:pt idx="396">
                  <c:v>-25.775110469311372</c:v>
                </c:pt>
                <c:pt idx="397">
                  <c:v>-26.078026191394208</c:v>
                </c:pt>
                <c:pt idx="398">
                  <c:v>-26.383287048635388</c:v>
                </c:pt>
                <c:pt idx="399">
                  <c:v>-26.690827565510595</c:v>
                </c:pt>
                <c:pt idx="400">
                  <c:v>-27.000580151882069</c:v>
                </c:pt>
                <c:pt idx="401">
                  <c:v>-27.312475293205488</c:v>
                </c:pt>
                <c:pt idx="402">
                  <c:v>-27.626441738440363</c:v>
                </c:pt>
                <c:pt idx="403">
                  <c:v>-27.942406685062</c:v>
                </c:pt>
                <c:pt idx="404">
                  <c:v>-28.260295960656094</c:v>
                </c:pt>
                <c:pt idx="405">
                  <c:v>-28.580034200670163</c:v>
                </c:pt>
                <c:pt idx="406">
                  <c:v>-28.901545021978524</c:v>
                </c:pt>
                <c:pt idx="407">
                  <c:v>-29.224751192001253</c:v>
                </c:pt>
                <c:pt idx="408">
                  <c:v>-29.549574793205107</c:v>
                </c:pt>
                <c:pt idx="409">
                  <c:v>-29.875937382884295</c:v>
                </c:pt>
                <c:pt idx="410">
                  <c:v>-30.203760148200402</c:v>
                </c:pt>
                <c:pt idx="411">
                  <c:v>-30.532964056522335</c:v>
                </c:pt>
                <c:pt idx="412">
                  <c:v>-30.863470001177475</c:v>
                </c:pt>
                <c:pt idx="413">
                  <c:v>-31.19519894277164</c:v>
                </c:pt>
                <c:pt idx="414">
                  <c:v>-31.528072046296856</c:v>
                </c:pt>
                <c:pt idx="415">
                  <c:v>-31.862010814276882</c:v>
                </c:pt>
                <c:pt idx="416">
                  <c:v>-32.196937216244244</c:v>
                </c:pt>
                <c:pt idx="417">
                  <c:v>-32.532773814864981</c:v>
                </c:pt>
                <c:pt idx="418">
                  <c:v>-32.869443889047169</c:v>
                </c:pt>
                <c:pt idx="419">
                  <c:v>-33.206871554383838</c:v>
                </c:pt>
                <c:pt idx="420">
                  <c:v>-33.544981881281608</c:v>
                </c:pt>
                <c:pt idx="421">
                  <c:v>-33.883701011121005</c:v>
                </c:pt>
                <c:pt idx="422">
                  <c:v>-34.222956270788117</c:v>
                </c:pt>
                <c:pt idx="423">
                  <c:v>-34.562676285890404</c:v>
                </c:pt>
                <c:pt idx="424">
                  <c:v>-34.902791092947332</c:v>
                </c:pt>
                <c:pt idx="425">
                  <c:v>-35.243232250810443</c:v>
                </c:pt>
                <c:pt idx="426">
                  <c:v>-35.583932951528226</c:v>
                </c:pt>
                <c:pt idx="427">
                  <c:v>-35.924828130820913</c:v>
                </c:pt>
                <c:pt idx="428">
                  <c:v>-36.265854578280923</c:v>
                </c:pt>
                <c:pt idx="429">
                  <c:v>-36.606951047355821</c:v>
                </c:pt>
                <c:pt idx="430">
                  <c:v>-36.94805836510583</c:v>
                </c:pt>
                <c:pt idx="431">
                  <c:v>-37.289119541665031</c:v>
                </c:pt>
                <c:pt idx="432">
                  <c:v>-37.630079879263164</c:v>
                </c:pt>
                <c:pt idx="433">
                  <c:v>-37.970887080596057</c:v>
                </c:pt>
                <c:pt idx="434">
                  <c:v>-38.311491356257299</c:v>
                </c:pt>
                <c:pt idx="435">
                  <c:v>-38.651845530874695</c:v>
                </c:pt>
                <c:pt idx="436">
                  <c:v>-38.991905147518381</c:v>
                </c:pt>
                <c:pt idx="437">
                  <c:v>-39.331628569883506</c:v>
                </c:pt>
                <c:pt idx="438">
                  <c:v>-39.670977081679005</c:v>
                </c:pt>
                <c:pt idx="439">
                  <c:v>-40.009914982594161</c:v>
                </c:pt>
                <c:pt idx="440">
                  <c:v>-40.348409680157921</c:v>
                </c:pt>
                <c:pt idx="441">
                  <c:v>-40.686431776755931</c:v>
                </c:pt>
                <c:pt idx="442">
                  <c:v>-41.023955151027884</c:v>
                </c:pt>
                <c:pt idx="443">
                  <c:v>-41.360957032834413</c:v>
                </c:pt>
                <c:pt idx="444">
                  <c:v>-41.697418070960985</c:v>
                </c:pt>
                <c:pt idx="445">
                  <c:v>-42.033322392711781</c:v>
                </c:pt>
                <c:pt idx="446">
                  <c:v>-42.368657654546865</c:v>
                </c:pt>
                <c:pt idx="447">
                  <c:v>-42.703415082925922</c:v>
                </c:pt>
                <c:pt idx="448">
                  <c:v>-43.037589504546261</c:v>
                </c:pt>
                <c:pt idx="449">
                  <c:v>-43.371179365197875</c:v>
                </c:pt>
                <c:pt idx="450">
                  <c:v>-43.704186736507779</c:v>
                </c:pt>
                <c:pt idx="451">
                  <c:v>-44.0366173099072</c:v>
                </c:pt>
                <c:pt idx="452">
                  <c:v>-44.368480377227762</c:v>
                </c:pt>
                <c:pt idx="453">
                  <c:v>-44.699788797418677</c:v>
                </c:pt>
                <c:pt idx="454">
                  <c:v>-45.030558948972285</c:v>
                </c:pt>
                <c:pt idx="455">
                  <c:v>-45.360810667750229</c:v>
                </c:pt>
                <c:pt idx="456">
                  <c:v>-45.690567170015434</c:v>
                </c:pt>
                <c:pt idx="457">
                  <c:v>-46.019854960599027</c:v>
                </c:pt>
                <c:pt idx="458">
                  <c:v>-46.348703726253163</c:v>
                </c:pt>
                <c:pt idx="459">
                  <c:v>-46.677146214374766</c:v>
                </c:pt>
                <c:pt idx="460">
                  <c:v>-47.005218097416623</c:v>
                </c:pt>
                <c:pt idx="461">
                  <c:v>-47.33295782343437</c:v>
                </c:pt>
                <c:pt idx="462">
                  <c:v>-47.660406453353517</c:v>
                </c:pt>
                <c:pt idx="463">
                  <c:v>-47.987607485663631</c:v>
                </c:pt>
                <c:pt idx="464">
                  <c:v>-48.314606669378989</c:v>
                </c:pt>
                <c:pt idx="465">
                  <c:v>-48.641451806215244</c:v>
                </c:pt>
                <c:pt idx="466">
                  <c:v>-48.968192543047728</c:v>
                </c:pt>
                <c:pt idx="467">
                  <c:v>-49.294880155812777</c:v>
                </c:pt>
                <c:pt idx="468">
                  <c:v>-49.621567326107382</c:v>
                </c:pt>
                <c:pt idx="469">
                  <c:v>-49.948307911816499</c:v>
                </c:pt>
                <c:pt idx="470">
                  <c:v>-50.275156713165686</c:v>
                </c:pt>
                <c:pt idx="471">
                  <c:v>-50.602169235642613</c:v>
                </c:pt>
                <c:pt idx="472">
                  <c:v>-50.929401451272923</c:v>
                </c:pt>
                <c:pt idx="473">
                  <c:v>-51.256909559753161</c:v>
                </c:pt>
                <c:pt idx="474">
                  <c:v>-51.584749750950991</c:v>
                </c:pt>
                <c:pt idx="475">
                  <c:v>-51.91297797026958</c:v>
                </c:pt>
                <c:pt idx="476">
                  <c:v>-52.241649688357811</c:v>
                </c:pt>
                <c:pt idx="477">
                  <c:v>-52.570819676592997</c:v>
                </c:pt>
                <c:pt idx="478">
                  <c:v>-52.900541789722382</c:v>
                </c:pt>
                <c:pt idx="479">
                  <c:v>-53.230868756972455</c:v>
                </c:pt>
                <c:pt idx="480">
                  <c:v>-53.561851982856453</c:v>
                </c:pt>
                <c:pt idx="481">
                  <c:v>-53.893541358816918</c:v>
                </c:pt>
                <c:pt idx="482">
                  <c:v>-54.225985086735456</c:v>
                </c:pt>
                <c:pt idx="483">
                  <c:v>-54.559229515227543</c:v>
                </c:pt>
                <c:pt idx="484">
                  <c:v>-54.893318989520878</c:v>
                </c:pt>
                <c:pt idx="485">
                  <c:v>-55.228295715583087</c:v>
                </c:pt>
                <c:pt idx="486">
                  <c:v>-55.564199639036843</c:v>
                </c:pt>
                <c:pt idx="487">
                  <c:v>-55.901068339262146</c:v>
                </c:pt>
                <c:pt idx="488">
                  <c:v>-56.238936938944939</c:v>
                </c:pt>
                <c:pt idx="489">
                  <c:v>-56.577838029203626</c:v>
                </c:pt>
                <c:pt idx="490">
                  <c:v>-56.917801610278609</c:v>
                </c:pt>
                <c:pt idx="491">
                  <c:v>-57.258855047651309</c:v>
                </c:pt>
                <c:pt idx="492">
                  <c:v>-57.601023043321973</c:v>
                </c:pt>
                <c:pt idx="493">
                  <c:v>-57.944327621868055</c:v>
                </c:pt>
                <c:pt idx="494">
                  <c:v>-58.288788130787744</c:v>
                </c:pt>
                <c:pt idx="495">
                  <c:v>-58.634421254532924</c:v>
                </c:pt>
                <c:pt idx="496">
                  <c:v>-58.981241041550348</c:v>
                </c:pt>
                <c:pt idx="497">
                  <c:v>-59.329258943562166</c:v>
                </c:pt>
                <c:pt idx="498">
                  <c:v>-59.678483866258404</c:v>
                </c:pt>
                <c:pt idx="499">
                  <c:v>-60.028922230509025</c:v>
                </c:pt>
                <c:pt idx="500">
                  <c:v>-60.380578043167581</c:v>
                </c:pt>
                <c:pt idx="501">
                  <c:v>-60.733452976501432</c:v>
                </c:pt>
                <c:pt idx="502">
                  <c:v>-61.087546455267301</c:v>
                </c:pt>
                <c:pt idx="503">
                  <c:v>-61.442855750440863</c:v>
                </c:pt>
                <c:pt idx="504">
                  <c:v>-61.799376078614131</c:v>
                </c:pt>
                <c:pt idx="505">
                  <c:v>-62.157100706084456</c:v>
                </c:pt>
                <c:pt idx="506">
                  <c:v>-62.51602105668529</c:v>
                </c:pt>
                <c:pt idx="507">
                  <c:v>-62.876126822436149</c:v>
                </c:pt>
                <c:pt idx="508">
                  <c:v>-63.237406076130654</c:v>
                </c:pt>
                <c:pt idx="509">
                  <c:v>-63.599845385023677</c:v>
                </c:pt>
                <c:pt idx="510">
                  <c:v>-63.963429924830997</c:v>
                </c:pt>
                <c:pt idx="511">
                  <c:v>-64.328143593307914</c:v>
                </c:pt>
                <c:pt idx="512">
                  <c:v>-64.693969122731687</c:v>
                </c:pt>
                <c:pt idx="513">
                  <c:v>-65.06088819067223</c:v>
                </c:pt>
                <c:pt idx="514">
                  <c:v>-65.428881528497143</c:v>
                </c:pt>
                <c:pt idx="515">
                  <c:v>-65.797929027117959</c:v>
                </c:pt>
                <c:pt idx="516">
                  <c:v>-66.168009839547153</c:v>
                </c:pt>
                <c:pt idx="517">
                  <c:v>-66.539102479894126</c:v>
                </c:pt>
                <c:pt idx="518">
                  <c:v>-66.91118491848836</c:v>
                </c:pt>
                <c:pt idx="519">
                  <c:v>-67.284234672872088</c:v>
                </c:pt>
                <c:pt idx="520">
                  <c:v>-67.658228894460976</c:v>
                </c:pt>
                <c:pt idx="521">
                  <c:v>-68.033144450718424</c:v>
                </c:pt>
                <c:pt idx="522">
                  <c:v>-68.408958002738814</c:v>
                </c:pt>
                <c:pt idx="523">
                  <c:v>-68.785646078176683</c:v>
                </c:pt>
                <c:pt idx="524">
                  <c:v>-69.163185139500158</c:v>
                </c:pt>
                <c:pt idx="525">
                  <c:v>-69.541551647579126</c:v>
                </c:pt>
                <c:pt idx="526">
                  <c:v>-69.920722120657373</c:v>
                </c:pt>
                <c:pt idx="527">
                  <c:v>-70.300673188778291</c:v>
                </c:pt>
                <c:pt idx="528">
                  <c:v>-70.681381643765292</c:v>
                </c:pt>
                <c:pt idx="529">
                  <c:v>-71.062824484876842</c:v>
                </c:pt>
                <c:pt idx="530">
                  <c:v>-71.444978960271769</c:v>
                </c:pt>
                <c:pt idx="531">
                  <c:v>-71.827822604440144</c:v>
                </c:pt>
                <c:pt idx="532">
                  <c:v>-72.211333271763053</c:v>
                </c:pt>
                <c:pt idx="533">
                  <c:v>-72.595489166376154</c:v>
                </c:pt>
                <c:pt idx="534">
                  <c:v>-72.980268868516674</c:v>
                </c:pt>
                <c:pt idx="535">
                  <c:v>-73.365651357541466</c:v>
                </c:pt>
                <c:pt idx="536">
                  <c:v>-73.751616031801419</c:v>
                </c:pt>
                <c:pt idx="537">
                  <c:v>-74.138142725563242</c:v>
                </c:pt>
                <c:pt idx="538">
                  <c:v>-74.525211723165953</c:v>
                </c:pt>
                <c:pt idx="539">
                  <c:v>-74.912803770596085</c:v>
                </c:pt>
                <c:pt idx="540">
                  <c:v>-75.300900084666239</c:v>
                </c:pt>
                <c:pt idx="541">
                  <c:v>-75.689482359973766</c:v>
                </c:pt>
              </c:numCache>
            </c:numRef>
          </c:yVal>
          <c:smooth val="1"/>
          <c:extLst>
            <c:ext xmlns:c16="http://schemas.microsoft.com/office/drawing/2014/chart" uri="{C3380CC4-5D6E-409C-BE32-E72D297353CC}">
              <c16:uniqueId val="{00000000-ECAC-4E20-B866-0DB1B3DE6FE8}"/>
            </c:ext>
          </c:extLst>
        </c:ser>
        <c:ser>
          <c:idx val="2"/>
          <c:order val="2"/>
          <c:tx>
            <c:v>f_LP</c:v>
          </c:tx>
          <c:spPr>
            <a:ln w="38100" cmpd="sng"/>
          </c:spPr>
          <c:marker>
            <c:symbol val="x"/>
            <c:size val="7"/>
            <c:spPr>
              <a:noFill/>
            </c:spPr>
          </c:marker>
          <c:dPt>
            <c:idx val="0"/>
            <c:marker>
              <c:spPr>
                <a:noFill/>
                <a:ln w="19050">
                  <a:solidFill>
                    <a:schemeClr val="tx1"/>
                  </a:solidFill>
                </a:ln>
              </c:spPr>
            </c:marker>
            <c:bubble3D val="0"/>
            <c:extLst>
              <c:ext xmlns:c16="http://schemas.microsoft.com/office/drawing/2014/chart" uri="{C3380CC4-5D6E-409C-BE32-E72D297353CC}">
                <c16:uniqueId val="{00000001-ECAC-4E20-B866-0DB1B3DE6FE8}"/>
              </c:ext>
            </c:extLst>
          </c:dPt>
          <c:dLbls>
            <c:dLbl>
              <c:idx val="0"/>
              <c:tx>
                <c:rich>
                  <a:bodyPr/>
                  <a:lstStyle/>
                  <a:p>
                    <a:r>
                      <a:rPr lang="en-US" sz="1100" b="1"/>
                      <a:t>f</a:t>
                    </a:r>
                    <a:r>
                      <a:rPr lang="en-US" sz="1100" b="1" baseline="-25000"/>
                      <a:t>LP</a:t>
                    </a:r>
                    <a:endParaRPr lang="en-US" b="1" baseline="-25000"/>
                  </a:p>
                </c:rich>
              </c:tx>
              <c:dLblPos val="b"/>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1-ECAC-4E20-B866-0DB1B3DE6FE8}"/>
                </c:ext>
              </c:extLst>
            </c:dLbl>
            <c:spPr>
              <a:noFill/>
              <a:ln>
                <a:noFill/>
              </a:ln>
              <a:effectLst/>
            </c:spPr>
            <c:dLblPos val="b"/>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Loop_Modeling!$O$11</c:f>
              <c:numCache>
                <c:formatCode>0</c:formatCode>
                <c:ptCount val="1"/>
                <c:pt idx="0">
                  <c:v>323.99818360353544</c:v>
                </c:pt>
              </c:numCache>
            </c:numRef>
          </c:xVal>
          <c:yVal>
            <c:numRef>
              <c:f>Loop_Modeling!$BL$11</c:f>
              <c:numCache>
                <c:formatCode>General</c:formatCode>
                <c:ptCount val="1"/>
                <c:pt idx="0">
                  <c:v>33.779791205847467</c:v>
                </c:pt>
              </c:numCache>
            </c:numRef>
          </c:yVal>
          <c:smooth val="0"/>
          <c:extLst>
            <c:ext xmlns:c16="http://schemas.microsoft.com/office/drawing/2014/chart" uri="{C3380CC4-5D6E-409C-BE32-E72D297353CC}">
              <c16:uniqueId val="{00000002-ECAC-4E20-B866-0DB1B3DE6FE8}"/>
            </c:ext>
          </c:extLst>
        </c:ser>
        <c:ser>
          <c:idx val="3"/>
          <c:order val="3"/>
          <c:tx>
            <c:v>fz_rhp</c:v>
          </c:tx>
          <c:spPr>
            <a:ln>
              <a:solidFill>
                <a:schemeClr val="tx1"/>
              </a:solidFill>
            </a:ln>
          </c:spPr>
          <c:marker>
            <c:symbol val="circle"/>
            <c:size val="7"/>
            <c:spPr>
              <a:noFill/>
              <a:ln w="19050">
                <a:solidFill>
                  <a:schemeClr val="tx1"/>
                </a:solidFill>
              </a:ln>
            </c:spPr>
          </c:marker>
          <c:dLbls>
            <c:dLbl>
              <c:idx val="0"/>
              <c:layout>
                <c:manualLayout>
                  <c:x val="8.0501209561423519E-3"/>
                  <c:y val="-1.5493667278504181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3-ECAC-4E20-B866-0DB1B3DE6FE8}"/>
                </c:ext>
              </c:extLst>
            </c:dLbl>
            <c:spPr>
              <a:noFill/>
              <a:ln>
                <a:noFill/>
              </a:ln>
              <a:effectLst/>
            </c:spPr>
            <c:txPr>
              <a:bodyPr/>
              <a:lstStyle/>
              <a:p>
                <a:pPr>
                  <a:defRPr b="1"/>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Loop_Modeling!$O$9</c:f>
              <c:numCache>
                <c:formatCode>0</c:formatCode>
                <c:ptCount val="1"/>
                <c:pt idx="0">
                  <c:v>27428.830617964941</c:v>
                </c:pt>
              </c:numCache>
            </c:numRef>
          </c:xVal>
          <c:yVal>
            <c:numRef>
              <c:f>Loop_Modeling!$BL$9</c:f>
              <c:numCache>
                <c:formatCode>General</c:formatCode>
                <c:ptCount val="1"/>
                <c:pt idx="0">
                  <c:v>-13.416706972808063</c:v>
                </c:pt>
              </c:numCache>
            </c:numRef>
          </c:yVal>
          <c:smooth val="1"/>
          <c:extLst>
            <c:ext xmlns:c16="http://schemas.microsoft.com/office/drawing/2014/chart" uri="{C3380CC4-5D6E-409C-BE32-E72D297353CC}">
              <c16:uniqueId val="{00000004-ECAC-4E20-B866-0DB1B3DE6FE8}"/>
            </c:ext>
          </c:extLst>
        </c:ser>
        <c:ser>
          <c:idx val="4"/>
          <c:order val="4"/>
          <c:tx>
            <c:v>f_esr</c:v>
          </c:tx>
          <c:spPr>
            <a:ln>
              <a:noFill/>
            </a:ln>
          </c:spPr>
          <c:marker>
            <c:symbol val="circle"/>
            <c:size val="5"/>
            <c:spPr>
              <a:noFill/>
              <a:ln w="19050">
                <a:solidFill>
                  <a:schemeClr val="tx1"/>
                </a:solidFill>
              </a:ln>
            </c:spPr>
          </c:marker>
          <c:dPt>
            <c:idx val="0"/>
            <c:marker>
              <c:symbol val="circle"/>
              <c:size val="7"/>
            </c:marker>
            <c:bubble3D val="0"/>
            <c:extLst>
              <c:ext xmlns:c16="http://schemas.microsoft.com/office/drawing/2014/chart" uri="{C3380CC4-5D6E-409C-BE32-E72D297353CC}">
                <c16:uniqueId val="{00000005-ECAC-4E20-B866-0DB1B3DE6FE8}"/>
              </c:ext>
            </c:extLst>
          </c:dPt>
          <c:dLbls>
            <c:dLbl>
              <c:idx val="0"/>
              <c:layout>
                <c:manualLayout>
                  <c:x val="-5.990474489899654E-2"/>
                  <c:y val="-1.2457193490087108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5-ECAC-4E20-B866-0DB1B3DE6FE8}"/>
                </c:ext>
              </c:extLst>
            </c:dLbl>
            <c:spPr>
              <a:noFill/>
              <a:ln>
                <a:noFill/>
              </a:ln>
              <a:effectLst/>
            </c:spPr>
            <c:txPr>
              <a:bodyPr/>
              <a:lstStyle/>
              <a:p>
                <a:pPr>
                  <a:defRPr b="1"/>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Loop_Modeling!$O$10</c:f>
              <c:numCache>
                <c:formatCode>0</c:formatCode>
                <c:ptCount val="1"/>
                <c:pt idx="0">
                  <c:v>361715.77975430764</c:v>
                </c:pt>
              </c:numCache>
            </c:numRef>
          </c:xVal>
          <c:yVal>
            <c:numRef>
              <c:f>Loop_Modeling!$BL$10</c:f>
              <c:numCache>
                <c:formatCode>General</c:formatCode>
                <c:ptCount val="1"/>
                <c:pt idx="0">
                  <c:v>-45.306930072935138</c:v>
                </c:pt>
              </c:numCache>
            </c:numRef>
          </c:yVal>
          <c:smooth val="1"/>
          <c:extLst>
            <c:ext xmlns:c16="http://schemas.microsoft.com/office/drawing/2014/chart" uri="{C3380CC4-5D6E-409C-BE32-E72D297353CC}">
              <c16:uniqueId val="{00000006-ECAC-4E20-B866-0DB1B3DE6FE8}"/>
            </c:ext>
          </c:extLst>
        </c:ser>
        <c:ser>
          <c:idx val="5"/>
          <c:order val="5"/>
          <c:tx>
            <c:v>fz_ea</c:v>
          </c:tx>
          <c:marker>
            <c:symbol val="circle"/>
            <c:size val="8"/>
            <c:spPr>
              <a:noFill/>
              <a:ln w="25400">
                <a:solidFill>
                  <a:srgbClr val="00B0F0"/>
                </a:solidFill>
              </a:ln>
            </c:spPr>
          </c:marker>
          <c:dLbls>
            <c:dLbl>
              <c:idx val="0"/>
              <c:spPr/>
              <c:txPr>
                <a:bodyPr/>
                <a:lstStyle/>
                <a:p>
                  <a:pPr>
                    <a:defRPr b="1"/>
                  </a:pPr>
                  <a:endParaRPr lang="en-US"/>
                </a:p>
              </c:txPr>
              <c:dLblPos val="b"/>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7-ECAC-4E20-B866-0DB1B3DE6FE8}"/>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0"/>
              </c:ext>
            </c:extLst>
          </c:dLbls>
          <c:xVal>
            <c:numRef>
              <c:f>Loop_Modeling!$O$12</c:f>
              <c:numCache>
                <c:formatCode>General</c:formatCode>
                <c:ptCount val="1"/>
                <c:pt idx="0">
                  <c:v>1354.7407481434739</c:v>
                </c:pt>
              </c:numCache>
            </c:numRef>
          </c:xVal>
          <c:yVal>
            <c:numRef>
              <c:f>Loop_Modeling!$BL$12</c:f>
              <c:numCache>
                <c:formatCode>General</c:formatCode>
                <c:ptCount val="1"/>
                <c:pt idx="0">
                  <c:v>14.469443424818774</c:v>
                </c:pt>
              </c:numCache>
            </c:numRef>
          </c:yVal>
          <c:smooth val="1"/>
          <c:extLst>
            <c:ext xmlns:c16="http://schemas.microsoft.com/office/drawing/2014/chart" uri="{C3380CC4-5D6E-409C-BE32-E72D297353CC}">
              <c16:uniqueId val="{00000008-ECAC-4E20-B866-0DB1B3DE6FE8}"/>
            </c:ext>
          </c:extLst>
        </c:ser>
        <c:ser>
          <c:idx val="6"/>
          <c:order val="6"/>
          <c:tx>
            <c:v>fp_ea</c:v>
          </c:tx>
          <c:marker>
            <c:symbol val="x"/>
            <c:size val="7"/>
            <c:spPr>
              <a:noFill/>
              <a:ln w="25400">
                <a:solidFill>
                  <a:srgbClr val="00B0F0"/>
                </a:solidFill>
              </a:ln>
            </c:spPr>
          </c:marker>
          <c:dLbls>
            <c:dLbl>
              <c:idx val="0"/>
              <c:layout>
                <c:manualLayout>
                  <c:x val="-5.3995739911983948E-2"/>
                  <c:y val="3.3712510009006609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9-ECAC-4E20-B866-0DB1B3DE6FE8}"/>
                </c:ext>
              </c:extLst>
            </c:dLbl>
            <c:spPr>
              <a:noFill/>
              <a:ln>
                <a:noFill/>
              </a:ln>
              <a:effectLst/>
            </c:spPr>
            <c:txPr>
              <a:bodyPr/>
              <a:lstStyle/>
              <a:p>
                <a:pPr>
                  <a:defRPr b="1"/>
                </a:pPr>
                <a:endParaRPr lang="en-US"/>
              </a:p>
            </c:txPr>
            <c:dLblPos val="b"/>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Loop_Modeling!$O$13</c:f>
              <c:numCache>
                <c:formatCode>General</c:formatCode>
                <c:ptCount val="1"/>
                <c:pt idx="0">
                  <c:v>46061.185436878121</c:v>
                </c:pt>
              </c:numCache>
            </c:numRef>
          </c:xVal>
          <c:yVal>
            <c:numRef>
              <c:f>Loop_Modeling!$BL$13</c:f>
              <c:numCache>
                <c:formatCode>General</c:formatCode>
                <c:ptCount val="1"/>
                <c:pt idx="0">
                  <c:v>-17.822460992757158</c:v>
                </c:pt>
              </c:numCache>
            </c:numRef>
          </c:yVal>
          <c:smooth val="1"/>
          <c:extLst>
            <c:ext xmlns:c16="http://schemas.microsoft.com/office/drawing/2014/chart" uri="{C3380CC4-5D6E-409C-BE32-E72D297353CC}">
              <c16:uniqueId val="{0000000A-ECAC-4E20-B866-0DB1B3DE6FE8}"/>
            </c:ext>
          </c:extLst>
        </c:ser>
        <c:dLbls>
          <c:showLegendKey val="0"/>
          <c:showVal val="0"/>
          <c:showCatName val="0"/>
          <c:showSerName val="0"/>
          <c:showPercent val="0"/>
          <c:showBubbleSize val="0"/>
        </c:dLbls>
        <c:axId val="357835904"/>
        <c:axId val="364477056"/>
      </c:scatterChart>
      <c:scatterChart>
        <c:scatterStyle val="smoothMarker"/>
        <c:varyColors val="0"/>
        <c:ser>
          <c:idx val="1"/>
          <c:order val="1"/>
          <c:tx>
            <c:v>Phase (deg)</c:v>
          </c:tx>
          <c:spPr>
            <a:ln w="28575">
              <a:solidFill>
                <a:schemeClr val="tx1">
                  <a:lumMod val="95000"/>
                  <a:lumOff val="5000"/>
                </a:schemeClr>
              </a:solidFill>
              <a:prstDash val="sysDash"/>
            </a:ln>
          </c:spPr>
          <c:marker>
            <c:symbol val="none"/>
          </c:marker>
          <c:xVal>
            <c:numRef>
              <c:f>Loop_Modeling!$O$19:$O$560</c:f>
              <c:numCache>
                <c:formatCode>0.00</c:formatCode>
                <c:ptCount val="542"/>
                <c:pt idx="0">
                  <c:v>10.232929922807543</c:v>
                </c:pt>
                <c:pt idx="1">
                  <c:v>10.471285480509</c:v>
                </c:pt>
                <c:pt idx="2">
                  <c:v>10.715193052376069</c:v>
                </c:pt>
                <c:pt idx="3">
                  <c:v>10.964781961431854</c:v>
                </c:pt>
                <c:pt idx="4">
                  <c:v>11.220184543019636</c:v>
                </c:pt>
                <c:pt idx="5">
                  <c:v>11.481536214968834</c:v>
                </c:pt>
                <c:pt idx="6">
                  <c:v>11.748975549395301</c:v>
                </c:pt>
                <c:pt idx="7">
                  <c:v>12.022644346174133</c:v>
                </c:pt>
                <c:pt idx="8">
                  <c:v>12.302687708123818</c:v>
                </c:pt>
                <c:pt idx="9">
                  <c:v>12.58925411794168</c:v>
                </c:pt>
                <c:pt idx="10">
                  <c:v>12.882495516931346</c:v>
                </c:pt>
                <c:pt idx="11">
                  <c:v>13.182567385564075</c:v>
                </c:pt>
                <c:pt idx="12">
                  <c:v>13.489628825916535</c:v>
                </c:pt>
                <c:pt idx="13">
                  <c:v>13.803842646028857</c:v>
                </c:pt>
                <c:pt idx="14">
                  <c:v>14.125375446227544</c:v>
                </c:pt>
                <c:pt idx="15">
                  <c:v>14.454397707459275</c:v>
                </c:pt>
                <c:pt idx="16">
                  <c:v>14.791083881682074</c:v>
                </c:pt>
                <c:pt idx="17">
                  <c:v>15.135612484362087</c:v>
                </c:pt>
                <c:pt idx="18">
                  <c:v>15.488166189124817</c:v>
                </c:pt>
                <c:pt idx="19">
                  <c:v>15.848931924611136</c:v>
                </c:pt>
                <c:pt idx="20">
                  <c:v>16.218100973589298</c:v>
                </c:pt>
                <c:pt idx="21">
                  <c:v>16.595869074375614</c:v>
                </c:pt>
                <c:pt idx="22">
                  <c:v>16.982436524617448</c:v>
                </c:pt>
                <c:pt idx="23">
                  <c:v>17.378008287493756</c:v>
                </c:pt>
                <c:pt idx="24">
                  <c:v>17.782794100389236</c:v>
                </c:pt>
                <c:pt idx="25">
                  <c:v>18.197008586099841</c:v>
                </c:pt>
                <c:pt idx="26">
                  <c:v>18.62087136662868</c:v>
                </c:pt>
                <c:pt idx="27">
                  <c:v>19.054607179632477</c:v>
                </c:pt>
                <c:pt idx="28">
                  <c:v>19.498445997580465</c:v>
                </c:pt>
                <c:pt idx="29">
                  <c:v>19.952623149688804</c:v>
                </c:pt>
                <c:pt idx="30">
                  <c:v>20.4173794466953</c:v>
                </c:pt>
                <c:pt idx="31">
                  <c:v>20.8929613085404</c:v>
                </c:pt>
                <c:pt idx="32">
                  <c:v>21.379620895022335</c:v>
                </c:pt>
                <c:pt idx="33">
                  <c:v>21.877616239495538</c:v>
                </c:pt>
                <c:pt idx="34">
                  <c:v>22.387211385683404</c:v>
                </c:pt>
                <c:pt idx="35">
                  <c:v>22.908676527677727</c:v>
                </c:pt>
                <c:pt idx="36">
                  <c:v>23.442288153199236</c:v>
                </c:pt>
                <c:pt idx="37">
                  <c:v>23.988329190194907</c:v>
                </c:pt>
                <c:pt idx="38">
                  <c:v>24.547089156850316</c:v>
                </c:pt>
                <c:pt idx="39">
                  <c:v>25.118864315095799</c:v>
                </c:pt>
                <c:pt idx="40">
                  <c:v>25.703957827688647</c:v>
                </c:pt>
                <c:pt idx="41">
                  <c:v>26.302679918953825</c:v>
                </c:pt>
                <c:pt idx="42">
                  <c:v>26.915348039269158</c:v>
                </c:pt>
                <c:pt idx="43">
                  <c:v>27.542287033381665</c:v>
                </c:pt>
                <c:pt idx="44">
                  <c:v>28.183829312644548</c:v>
                </c:pt>
                <c:pt idx="45">
                  <c:v>28.840315031266066</c:v>
                </c:pt>
                <c:pt idx="46">
                  <c:v>29.512092266663863</c:v>
                </c:pt>
                <c:pt idx="47">
                  <c:v>30.199517204020164</c:v>
                </c:pt>
                <c:pt idx="48">
                  <c:v>30.902954325135919</c:v>
                </c:pt>
                <c:pt idx="49">
                  <c:v>31.622776601683803</c:v>
                </c:pt>
                <c:pt idx="50">
                  <c:v>32.359365692962832</c:v>
                </c:pt>
                <c:pt idx="51">
                  <c:v>33.113112148259127</c:v>
                </c:pt>
                <c:pt idx="52">
                  <c:v>33.884415613920268</c:v>
                </c:pt>
                <c:pt idx="53">
                  <c:v>34.67368504525318</c:v>
                </c:pt>
                <c:pt idx="54">
                  <c:v>35.481338923357555</c:v>
                </c:pt>
                <c:pt idx="55">
                  <c:v>36.307805477010156</c:v>
                </c:pt>
                <c:pt idx="56">
                  <c:v>37.15352290971726</c:v>
                </c:pt>
                <c:pt idx="57">
                  <c:v>38.018939632056139</c:v>
                </c:pt>
                <c:pt idx="58">
                  <c:v>38.904514499428053</c:v>
                </c:pt>
                <c:pt idx="59">
                  <c:v>39.810717055349755</c:v>
                </c:pt>
                <c:pt idx="60">
                  <c:v>40.738027780411279</c:v>
                </c:pt>
                <c:pt idx="61">
                  <c:v>41.686938347033561</c:v>
                </c:pt>
                <c:pt idx="62">
                  <c:v>42.657951880159267</c:v>
                </c:pt>
                <c:pt idx="63">
                  <c:v>43.651583224016633</c:v>
                </c:pt>
                <c:pt idx="64">
                  <c:v>44.668359215096324</c:v>
                </c:pt>
                <c:pt idx="65">
                  <c:v>45.70881896148753</c:v>
                </c:pt>
                <c:pt idx="66">
                  <c:v>46.773514128719818</c:v>
                </c:pt>
                <c:pt idx="67">
                  <c:v>47.863009232263877</c:v>
                </c:pt>
                <c:pt idx="68">
                  <c:v>48.977881936844632</c:v>
                </c:pt>
                <c:pt idx="69">
                  <c:v>50.118723362727238</c:v>
                </c:pt>
                <c:pt idx="70">
                  <c:v>51.28613839913649</c:v>
                </c:pt>
                <c:pt idx="71">
                  <c:v>52.480746024977286</c:v>
                </c:pt>
                <c:pt idx="72">
                  <c:v>53.703179637025293</c:v>
                </c:pt>
                <c:pt idx="73">
                  <c:v>54.95408738576247</c:v>
                </c:pt>
                <c:pt idx="74">
                  <c:v>56.234132519034915</c:v>
                </c:pt>
                <c:pt idx="75">
                  <c:v>57.543993733715695</c:v>
                </c:pt>
                <c:pt idx="76">
                  <c:v>58.884365535558949</c:v>
                </c:pt>
                <c:pt idx="77">
                  <c:v>60.255958607435822</c:v>
                </c:pt>
                <c:pt idx="78">
                  <c:v>61.659500186148257</c:v>
                </c:pt>
                <c:pt idx="79">
                  <c:v>63.095734448019364</c:v>
                </c:pt>
                <c:pt idx="80">
                  <c:v>64.565422903465588</c:v>
                </c:pt>
                <c:pt idx="81">
                  <c:v>66.069344800759623</c:v>
                </c:pt>
                <c:pt idx="82">
                  <c:v>67.60829753919819</c:v>
                </c:pt>
                <c:pt idx="83">
                  <c:v>69.183097091893657</c:v>
                </c:pt>
                <c:pt idx="84">
                  <c:v>70.794578438413865</c:v>
                </c:pt>
                <c:pt idx="85">
                  <c:v>72.443596007499011</c:v>
                </c:pt>
                <c:pt idx="86">
                  <c:v>74.131024130091816</c:v>
                </c:pt>
                <c:pt idx="87">
                  <c:v>75.857757502918361</c:v>
                </c:pt>
                <c:pt idx="88">
                  <c:v>77.624711662869217</c:v>
                </c:pt>
                <c:pt idx="89">
                  <c:v>79.432823472428197</c:v>
                </c:pt>
                <c:pt idx="90">
                  <c:v>81.283051616409963</c:v>
                </c:pt>
                <c:pt idx="91">
                  <c:v>83.176377110267126</c:v>
                </c:pt>
                <c:pt idx="92">
                  <c:v>85.113803820237734</c:v>
                </c:pt>
                <c:pt idx="93">
                  <c:v>87.096358995608071</c:v>
                </c:pt>
                <c:pt idx="94">
                  <c:v>89.125093813374562</c:v>
                </c:pt>
                <c:pt idx="95">
                  <c:v>91.201083935590972</c:v>
                </c:pt>
                <c:pt idx="96">
                  <c:v>93.325430079699174</c:v>
                </c:pt>
                <c:pt idx="97">
                  <c:v>95.499258602143655</c:v>
                </c:pt>
                <c:pt idx="98">
                  <c:v>97.723722095581124</c:v>
                </c:pt>
                <c:pt idx="99">
                  <c:v>100</c:v>
                </c:pt>
                <c:pt idx="100">
                  <c:v>102.32929922807544</c:v>
                </c:pt>
                <c:pt idx="101">
                  <c:v>104.71285480508998</c:v>
                </c:pt>
                <c:pt idx="102">
                  <c:v>107.15193052376065</c:v>
                </c:pt>
                <c:pt idx="103">
                  <c:v>109.64781961431861</c:v>
                </c:pt>
                <c:pt idx="104">
                  <c:v>112.20184543019634</c:v>
                </c:pt>
                <c:pt idx="105">
                  <c:v>114.81536214968835</c:v>
                </c:pt>
                <c:pt idx="106">
                  <c:v>117.48975549395293</c:v>
                </c:pt>
                <c:pt idx="107">
                  <c:v>120.22644346174135</c:v>
                </c:pt>
                <c:pt idx="108">
                  <c:v>123.02687708123821</c:v>
                </c:pt>
                <c:pt idx="109">
                  <c:v>125.89254117941677</c:v>
                </c:pt>
                <c:pt idx="110">
                  <c:v>128.82495516931343</c:v>
                </c:pt>
                <c:pt idx="111">
                  <c:v>131.82567385564084</c:v>
                </c:pt>
                <c:pt idx="112">
                  <c:v>134.89628825916537</c:v>
                </c:pt>
                <c:pt idx="113">
                  <c:v>138.0384264602886</c:v>
                </c:pt>
                <c:pt idx="114">
                  <c:v>141.25375446227542</c:v>
                </c:pt>
                <c:pt idx="115">
                  <c:v>144.54397707459285</c:v>
                </c:pt>
                <c:pt idx="116">
                  <c:v>147.91083881682084</c:v>
                </c:pt>
                <c:pt idx="117">
                  <c:v>151.3561248436209</c:v>
                </c:pt>
                <c:pt idx="118">
                  <c:v>154.8816618912482</c:v>
                </c:pt>
                <c:pt idx="119">
                  <c:v>158.48931924611153</c:v>
                </c:pt>
                <c:pt idx="120">
                  <c:v>162.18100973589304</c:v>
                </c:pt>
                <c:pt idx="121">
                  <c:v>165.95869074375622</c:v>
                </c:pt>
                <c:pt idx="122">
                  <c:v>169.82436524617444</c:v>
                </c:pt>
                <c:pt idx="123">
                  <c:v>173.78008287493768</c:v>
                </c:pt>
                <c:pt idx="124">
                  <c:v>177.82794100389242</c:v>
                </c:pt>
                <c:pt idx="125">
                  <c:v>181.9700858609983</c:v>
                </c:pt>
                <c:pt idx="126">
                  <c:v>186.20871366628685</c:v>
                </c:pt>
                <c:pt idx="127">
                  <c:v>190.54607179632498</c:v>
                </c:pt>
                <c:pt idx="128">
                  <c:v>194.98445997580458</c:v>
                </c:pt>
                <c:pt idx="129">
                  <c:v>199.52623149688802</c:v>
                </c:pt>
                <c:pt idx="130">
                  <c:v>204.17379446695315</c:v>
                </c:pt>
                <c:pt idx="131">
                  <c:v>208.92961308540396</c:v>
                </c:pt>
                <c:pt idx="132">
                  <c:v>213.79620895022339</c:v>
                </c:pt>
                <c:pt idx="133">
                  <c:v>218.77616239495524</c:v>
                </c:pt>
                <c:pt idx="134">
                  <c:v>223.87211385683412</c:v>
                </c:pt>
                <c:pt idx="135">
                  <c:v>229.08676527677744</c:v>
                </c:pt>
                <c:pt idx="136">
                  <c:v>234.42288153199232</c:v>
                </c:pt>
                <c:pt idx="137">
                  <c:v>239.88329190194912</c:v>
                </c:pt>
                <c:pt idx="138">
                  <c:v>245.4708915685033</c:v>
                </c:pt>
                <c:pt idx="139">
                  <c:v>251.18864315095806</c:v>
                </c:pt>
                <c:pt idx="140">
                  <c:v>257.03957827688663</c:v>
                </c:pt>
                <c:pt idx="141">
                  <c:v>263.02679918953817</c:v>
                </c:pt>
                <c:pt idx="142">
                  <c:v>269.15348039269179</c:v>
                </c:pt>
                <c:pt idx="143">
                  <c:v>275.42287033381683</c:v>
                </c:pt>
                <c:pt idx="144">
                  <c:v>281.83829312644554</c:v>
                </c:pt>
                <c:pt idx="145">
                  <c:v>288.40315031266073</c:v>
                </c:pt>
                <c:pt idx="146">
                  <c:v>295.12092266663871</c:v>
                </c:pt>
                <c:pt idx="147">
                  <c:v>301.99517204020168</c:v>
                </c:pt>
                <c:pt idx="148">
                  <c:v>309.02954325135937</c:v>
                </c:pt>
                <c:pt idx="149">
                  <c:v>316.22776601683825</c:v>
                </c:pt>
                <c:pt idx="150">
                  <c:v>323.59365692962825</c:v>
                </c:pt>
                <c:pt idx="151">
                  <c:v>331.13112148259137</c:v>
                </c:pt>
                <c:pt idx="152">
                  <c:v>338.84415613920277</c:v>
                </c:pt>
                <c:pt idx="153">
                  <c:v>346.73685045253183</c:v>
                </c:pt>
                <c:pt idx="154">
                  <c:v>354.81338923357566</c:v>
                </c:pt>
                <c:pt idx="155">
                  <c:v>363.07805477010152</c:v>
                </c:pt>
                <c:pt idx="156">
                  <c:v>371.53522909717265</c:v>
                </c:pt>
                <c:pt idx="157">
                  <c:v>380.18939632056163</c:v>
                </c:pt>
                <c:pt idx="158">
                  <c:v>389.04514499428063</c:v>
                </c:pt>
                <c:pt idx="159">
                  <c:v>398.10717055349761</c:v>
                </c:pt>
                <c:pt idx="160">
                  <c:v>407.38027780411272</c:v>
                </c:pt>
                <c:pt idx="161">
                  <c:v>416.86938347033572</c:v>
                </c:pt>
                <c:pt idx="162">
                  <c:v>426.57951880159294</c:v>
                </c:pt>
                <c:pt idx="163">
                  <c:v>436.51583224016622</c:v>
                </c:pt>
                <c:pt idx="164">
                  <c:v>446.68359215096331</c:v>
                </c:pt>
                <c:pt idx="165">
                  <c:v>457.0881896148756</c:v>
                </c:pt>
                <c:pt idx="166">
                  <c:v>467.7351412871983</c:v>
                </c:pt>
                <c:pt idx="167">
                  <c:v>478.63009232263886</c:v>
                </c:pt>
                <c:pt idx="168">
                  <c:v>489.77881936844625</c:v>
                </c:pt>
                <c:pt idx="169">
                  <c:v>501.18723362727269</c:v>
                </c:pt>
                <c:pt idx="170">
                  <c:v>512.86138399136519</c:v>
                </c:pt>
                <c:pt idx="171">
                  <c:v>524.80746024977248</c:v>
                </c:pt>
                <c:pt idx="172">
                  <c:v>537.03179637025301</c:v>
                </c:pt>
                <c:pt idx="173">
                  <c:v>549.54087385762534</c:v>
                </c:pt>
                <c:pt idx="174">
                  <c:v>562.34132519034927</c:v>
                </c:pt>
                <c:pt idx="175">
                  <c:v>575.43993733715706</c:v>
                </c:pt>
                <c:pt idx="176">
                  <c:v>588.84365535558959</c:v>
                </c:pt>
                <c:pt idx="177">
                  <c:v>602.55958607435832</c:v>
                </c:pt>
                <c:pt idx="178">
                  <c:v>616.59500186148273</c:v>
                </c:pt>
                <c:pt idx="179">
                  <c:v>630.95734448019323</c:v>
                </c:pt>
                <c:pt idx="180">
                  <c:v>645.65422903465594</c:v>
                </c:pt>
                <c:pt idx="181">
                  <c:v>660.69344800759643</c:v>
                </c:pt>
                <c:pt idx="182">
                  <c:v>676.08297539198213</c:v>
                </c:pt>
                <c:pt idx="183">
                  <c:v>691.83097091893671</c:v>
                </c:pt>
                <c:pt idx="184">
                  <c:v>707.94578438413873</c:v>
                </c:pt>
                <c:pt idx="185">
                  <c:v>724.43596007499025</c:v>
                </c:pt>
                <c:pt idx="186">
                  <c:v>741.31024130091828</c:v>
                </c:pt>
                <c:pt idx="187">
                  <c:v>758.57757502918378</c:v>
                </c:pt>
                <c:pt idx="188">
                  <c:v>776.24711662869231</c:v>
                </c:pt>
                <c:pt idx="189">
                  <c:v>794.32823472428208</c:v>
                </c:pt>
                <c:pt idx="190">
                  <c:v>812.83051616409978</c:v>
                </c:pt>
                <c:pt idx="191">
                  <c:v>831.7637711026714</c:v>
                </c:pt>
                <c:pt idx="192">
                  <c:v>851.13803820237763</c:v>
                </c:pt>
                <c:pt idx="193">
                  <c:v>870.96358995608091</c:v>
                </c:pt>
                <c:pt idx="194">
                  <c:v>891.25093813374656</c:v>
                </c:pt>
                <c:pt idx="195">
                  <c:v>912.01083935590987</c:v>
                </c:pt>
                <c:pt idx="196">
                  <c:v>933.25430079699106</c:v>
                </c:pt>
                <c:pt idx="197">
                  <c:v>954.99258602143675</c:v>
                </c:pt>
                <c:pt idx="198">
                  <c:v>977.23722095581138</c:v>
                </c:pt>
                <c:pt idx="199">
                  <c:v>1000</c:v>
                </c:pt>
                <c:pt idx="200">
                  <c:v>1023.2929922807547</c:v>
                </c:pt>
                <c:pt idx="201">
                  <c:v>1047.1285480509</c:v>
                </c:pt>
                <c:pt idx="202">
                  <c:v>1071.5193052376069</c:v>
                </c:pt>
                <c:pt idx="203">
                  <c:v>1096.4781961431863</c:v>
                </c:pt>
                <c:pt idx="204">
                  <c:v>1122.0184543019636</c:v>
                </c:pt>
                <c:pt idx="205">
                  <c:v>1148.1536214968839</c:v>
                </c:pt>
                <c:pt idx="206">
                  <c:v>1174.8975549395295</c:v>
                </c:pt>
                <c:pt idx="207">
                  <c:v>1202.2644346174138</c:v>
                </c:pt>
                <c:pt idx="208">
                  <c:v>1230.2687708123824</c:v>
                </c:pt>
                <c:pt idx="209">
                  <c:v>1258.925411794168</c:v>
                </c:pt>
                <c:pt idx="210">
                  <c:v>1288.2495516931347</c:v>
                </c:pt>
                <c:pt idx="211">
                  <c:v>1318.2567385564089</c:v>
                </c:pt>
                <c:pt idx="212">
                  <c:v>1348.9628825916541</c:v>
                </c:pt>
                <c:pt idx="213">
                  <c:v>1380.3842646028863</c:v>
                </c:pt>
                <c:pt idx="214">
                  <c:v>1412.5375446227545</c:v>
                </c:pt>
                <c:pt idx="215">
                  <c:v>1445.4397707459289</c:v>
                </c:pt>
                <c:pt idx="216">
                  <c:v>1479.1083881682086</c:v>
                </c:pt>
                <c:pt idx="217">
                  <c:v>1513.5612484362093</c:v>
                </c:pt>
                <c:pt idx="218">
                  <c:v>1548.8166189124822</c:v>
                </c:pt>
                <c:pt idx="219">
                  <c:v>1584.8931924611156</c:v>
                </c:pt>
                <c:pt idx="220">
                  <c:v>1621.8100973589308</c:v>
                </c:pt>
                <c:pt idx="221">
                  <c:v>1659.5869074375626</c:v>
                </c:pt>
                <c:pt idx="222">
                  <c:v>1698.2436524617447</c:v>
                </c:pt>
                <c:pt idx="223">
                  <c:v>1737.8008287493772</c:v>
                </c:pt>
                <c:pt idx="224">
                  <c:v>1778.2794100389244</c:v>
                </c:pt>
                <c:pt idx="225">
                  <c:v>1819.7008586099832</c:v>
                </c:pt>
                <c:pt idx="226">
                  <c:v>1862.0871366628687</c:v>
                </c:pt>
                <c:pt idx="227">
                  <c:v>1905.4607179632501</c:v>
                </c:pt>
                <c:pt idx="228">
                  <c:v>1949.8445997580463</c:v>
                </c:pt>
                <c:pt idx="229">
                  <c:v>1995.2623149688804</c:v>
                </c:pt>
                <c:pt idx="230">
                  <c:v>2041.7379446695318</c:v>
                </c:pt>
                <c:pt idx="231">
                  <c:v>2089.2961308540398</c:v>
                </c:pt>
                <c:pt idx="232">
                  <c:v>2137.9620895022344</c:v>
                </c:pt>
                <c:pt idx="233">
                  <c:v>2187.7616239495528</c:v>
                </c:pt>
                <c:pt idx="234">
                  <c:v>2238.7211385683418</c:v>
                </c:pt>
                <c:pt idx="235">
                  <c:v>2290.8676527677749</c:v>
                </c:pt>
                <c:pt idx="236">
                  <c:v>2344.2288153199238</c:v>
                </c:pt>
                <c:pt idx="237">
                  <c:v>2398.8329190194918</c:v>
                </c:pt>
                <c:pt idx="238">
                  <c:v>2454.7089156850338</c:v>
                </c:pt>
                <c:pt idx="239">
                  <c:v>2511.8864315095811</c:v>
                </c:pt>
                <c:pt idx="240">
                  <c:v>2570.3957827688669</c:v>
                </c:pt>
                <c:pt idx="241">
                  <c:v>2630.2679918953822</c:v>
                </c:pt>
                <c:pt idx="242">
                  <c:v>2691.5348039269184</c:v>
                </c:pt>
                <c:pt idx="243">
                  <c:v>2754.228703338169</c:v>
                </c:pt>
                <c:pt idx="244">
                  <c:v>2818.3829312644561</c:v>
                </c:pt>
                <c:pt idx="245">
                  <c:v>2884.0315031266077</c:v>
                </c:pt>
                <c:pt idx="246">
                  <c:v>2951.2092266663876</c:v>
                </c:pt>
                <c:pt idx="247">
                  <c:v>3019.9517204020176</c:v>
                </c:pt>
                <c:pt idx="248">
                  <c:v>3090.295432513592</c:v>
                </c:pt>
                <c:pt idx="249">
                  <c:v>3162.2776601683804</c:v>
                </c:pt>
                <c:pt idx="250">
                  <c:v>3235.9365692962833</c:v>
                </c:pt>
                <c:pt idx="251">
                  <c:v>3311.3112148259115</c:v>
                </c:pt>
                <c:pt idx="252">
                  <c:v>3388.4415613920314</c:v>
                </c:pt>
                <c:pt idx="253">
                  <c:v>3467.3685045253224</c:v>
                </c:pt>
                <c:pt idx="254">
                  <c:v>3548.1338923357539</c:v>
                </c:pt>
                <c:pt idx="255">
                  <c:v>3630.7805477010188</c:v>
                </c:pt>
                <c:pt idx="256">
                  <c:v>3715.352290971724</c:v>
                </c:pt>
                <c:pt idx="257">
                  <c:v>3801.8939632056172</c:v>
                </c:pt>
                <c:pt idx="258">
                  <c:v>3890.451449942811</c:v>
                </c:pt>
                <c:pt idx="259">
                  <c:v>3981.0717055349769</c:v>
                </c:pt>
                <c:pt idx="260">
                  <c:v>4073.8027780411317</c:v>
                </c:pt>
                <c:pt idx="261">
                  <c:v>4168.6938347033583</c:v>
                </c:pt>
                <c:pt idx="262">
                  <c:v>4265.7951880159299</c:v>
                </c:pt>
                <c:pt idx="263">
                  <c:v>4365.1583224016631</c:v>
                </c:pt>
                <c:pt idx="264">
                  <c:v>4466.8359215096343</c:v>
                </c:pt>
                <c:pt idx="265">
                  <c:v>4570.8818961487532</c:v>
                </c:pt>
                <c:pt idx="266">
                  <c:v>4677.3514128719844</c:v>
                </c:pt>
                <c:pt idx="267">
                  <c:v>4786.3009232263848</c:v>
                </c:pt>
                <c:pt idx="268">
                  <c:v>4897.7881936844633</c:v>
                </c:pt>
                <c:pt idx="269">
                  <c:v>5011.8723362727324</c:v>
                </c:pt>
                <c:pt idx="270">
                  <c:v>5128.6138399136489</c:v>
                </c:pt>
                <c:pt idx="271">
                  <c:v>5248.0746024977261</c:v>
                </c:pt>
                <c:pt idx="272">
                  <c:v>5370.3179637025269</c:v>
                </c:pt>
                <c:pt idx="273">
                  <c:v>5495.4087385762541</c:v>
                </c:pt>
                <c:pt idx="274">
                  <c:v>5623.4132519034993</c:v>
                </c:pt>
                <c:pt idx="275">
                  <c:v>5754.399373371567</c:v>
                </c:pt>
                <c:pt idx="276">
                  <c:v>5888.4365535558973</c:v>
                </c:pt>
                <c:pt idx="277">
                  <c:v>6025.595860743585</c:v>
                </c:pt>
                <c:pt idx="278">
                  <c:v>6165.9500186148289</c:v>
                </c:pt>
                <c:pt idx="279">
                  <c:v>6309.5734448019384</c:v>
                </c:pt>
                <c:pt idx="280">
                  <c:v>6456.5422903465615</c:v>
                </c:pt>
                <c:pt idx="281">
                  <c:v>6606.9344800759654</c:v>
                </c:pt>
                <c:pt idx="282">
                  <c:v>6760.8297539198229</c:v>
                </c:pt>
                <c:pt idx="283">
                  <c:v>6918.3097091893687</c:v>
                </c:pt>
                <c:pt idx="284">
                  <c:v>7079.4578438413828</c:v>
                </c:pt>
                <c:pt idx="285">
                  <c:v>7244.3596007499036</c:v>
                </c:pt>
                <c:pt idx="286">
                  <c:v>7413.1024130091773</c:v>
                </c:pt>
                <c:pt idx="287">
                  <c:v>7585.7757502918394</c:v>
                </c:pt>
                <c:pt idx="288">
                  <c:v>7762.4711662869322</c:v>
                </c:pt>
                <c:pt idx="289">
                  <c:v>7943.2823472428154</c:v>
                </c:pt>
                <c:pt idx="290">
                  <c:v>8128.3051616410066</c:v>
                </c:pt>
                <c:pt idx="291">
                  <c:v>8317.6377110267094</c:v>
                </c:pt>
                <c:pt idx="292">
                  <c:v>8511.3803820237772</c:v>
                </c:pt>
                <c:pt idx="293">
                  <c:v>8709.6358995608189</c:v>
                </c:pt>
                <c:pt idx="294">
                  <c:v>8912.5093813374679</c:v>
                </c:pt>
                <c:pt idx="295">
                  <c:v>9120.1083935591087</c:v>
                </c:pt>
                <c:pt idx="296">
                  <c:v>9332.5430079699217</c:v>
                </c:pt>
                <c:pt idx="297">
                  <c:v>9549.9258602143691</c:v>
                </c:pt>
                <c:pt idx="298">
                  <c:v>9772.3722095581161</c:v>
                </c:pt>
                <c:pt idx="299">
                  <c:v>10000</c:v>
                </c:pt>
                <c:pt idx="300">
                  <c:v>10232.929922807549</c:v>
                </c:pt>
                <c:pt idx="301">
                  <c:v>10471.285480509003</c:v>
                </c:pt>
                <c:pt idx="302">
                  <c:v>10715.193052376071</c:v>
                </c:pt>
                <c:pt idx="303">
                  <c:v>10964.781961431856</c:v>
                </c:pt>
                <c:pt idx="304">
                  <c:v>11220.184543019639</c:v>
                </c:pt>
                <c:pt idx="305">
                  <c:v>11481.536214968832</c:v>
                </c:pt>
                <c:pt idx="306">
                  <c:v>11748.975549395318</c:v>
                </c:pt>
                <c:pt idx="307">
                  <c:v>12022.644346174151</c:v>
                </c:pt>
                <c:pt idx="308">
                  <c:v>12302.687708123816</c:v>
                </c:pt>
                <c:pt idx="309">
                  <c:v>12589.254117941671</c:v>
                </c:pt>
                <c:pt idx="310">
                  <c:v>12882.49551693136</c:v>
                </c:pt>
                <c:pt idx="311">
                  <c:v>13182.567385564091</c:v>
                </c:pt>
                <c:pt idx="312">
                  <c:v>13489.628825916556</c:v>
                </c:pt>
                <c:pt idx="313">
                  <c:v>13803.842646028841</c:v>
                </c:pt>
                <c:pt idx="314">
                  <c:v>14125.375446227561</c:v>
                </c:pt>
                <c:pt idx="315">
                  <c:v>14454.397707459291</c:v>
                </c:pt>
                <c:pt idx="316">
                  <c:v>14791.083881682089</c:v>
                </c:pt>
                <c:pt idx="317">
                  <c:v>15135.612484362096</c:v>
                </c:pt>
                <c:pt idx="318">
                  <c:v>15488.166189124853</c:v>
                </c:pt>
                <c:pt idx="319">
                  <c:v>15848.931924611146</c:v>
                </c:pt>
                <c:pt idx="320">
                  <c:v>16218.100973589309</c:v>
                </c:pt>
                <c:pt idx="321">
                  <c:v>16595.869074375616</c:v>
                </c:pt>
                <c:pt idx="322">
                  <c:v>16982.436524617482</c:v>
                </c:pt>
                <c:pt idx="323">
                  <c:v>17378.008287493791</c:v>
                </c:pt>
                <c:pt idx="324">
                  <c:v>17782.794100389234</c:v>
                </c:pt>
                <c:pt idx="325">
                  <c:v>18197.008586099837</c:v>
                </c:pt>
                <c:pt idx="326">
                  <c:v>18620.871366628675</c:v>
                </c:pt>
                <c:pt idx="327">
                  <c:v>19054.607179632505</c:v>
                </c:pt>
                <c:pt idx="328">
                  <c:v>19498.445997580486</c:v>
                </c:pt>
                <c:pt idx="329">
                  <c:v>19952.623149688792</c:v>
                </c:pt>
                <c:pt idx="330">
                  <c:v>20417.379446695286</c:v>
                </c:pt>
                <c:pt idx="331">
                  <c:v>20892.961308540423</c:v>
                </c:pt>
                <c:pt idx="332">
                  <c:v>21379.620895022348</c:v>
                </c:pt>
                <c:pt idx="333">
                  <c:v>21877.61623949555</c:v>
                </c:pt>
                <c:pt idx="334">
                  <c:v>22387.211385683382</c:v>
                </c:pt>
                <c:pt idx="335">
                  <c:v>22908.676527677751</c:v>
                </c:pt>
                <c:pt idx="336">
                  <c:v>23442.288153199243</c:v>
                </c:pt>
                <c:pt idx="337">
                  <c:v>23988.329190194923</c:v>
                </c:pt>
                <c:pt idx="338">
                  <c:v>24547.089156850321</c:v>
                </c:pt>
                <c:pt idx="339">
                  <c:v>25118.86431509586</c:v>
                </c:pt>
                <c:pt idx="340">
                  <c:v>25703.95782768865</c:v>
                </c:pt>
                <c:pt idx="341">
                  <c:v>26302.679918953829</c:v>
                </c:pt>
                <c:pt idx="342">
                  <c:v>26915.348039269167</c:v>
                </c:pt>
                <c:pt idx="343">
                  <c:v>27542.287033381719</c:v>
                </c:pt>
                <c:pt idx="344">
                  <c:v>28183.829312644593</c:v>
                </c:pt>
                <c:pt idx="345">
                  <c:v>28840.315031266062</c:v>
                </c:pt>
                <c:pt idx="346">
                  <c:v>29512.092266663854</c:v>
                </c:pt>
                <c:pt idx="347">
                  <c:v>30199.517204020212</c:v>
                </c:pt>
                <c:pt idx="348">
                  <c:v>30902.954325135954</c:v>
                </c:pt>
                <c:pt idx="349">
                  <c:v>31622.77660168384</c:v>
                </c:pt>
                <c:pt idx="350">
                  <c:v>32359.365692962871</c:v>
                </c:pt>
                <c:pt idx="351">
                  <c:v>33113.11214825909</c:v>
                </c:pt>
                <c:pt idx="352">
                  <c:v>33884.41561392029</c:v>
                </c:pt>
                <c:pt idx="353">
                  <c:v>34673.685045253202</c:v>
                </c:pt>
                <c:pt idx="354">
                  <c:v>35481.33892335758</c:v>
                </c:pt>
                <c:pt idx="355">
                  <c:v>36307.805477010232</c:v>
                </c:pt>
                <c:pt idx="356">
                  <c:v>37153.522909717351</c:v>
                </c:pt>
                <c:pt idx="357">
                  <c:v>38018.939632056143</c:v>
                </c:pt>
                <c:pt idx="358">
                  <c:v>38904.514499428085</c:v>
                </c:pt>
                <c:pt idx="359">
                  <c:v>39810.717055349742</c:v>
                </c:pt>
                <c:pt idx="360">
                  <c:v>40738.027780411358</c:v>
                </c:pt>
                <c:pt idx="361">
                  <c:v>41686.938347033625</c:v>
                </c:pt>
                <c:pt idx="362">
                  <c:v>42657.951880159271</c:v>
                </c:pt>
                <c:pt idx="363">
                  <c:v>43651.583224016598</c:v>
                </c:pt>
                <c:pt idx="364">
                  <c:v>44668.359215096389</c:v>
                </c:pt>
                <c:pt idx="365">
                  <c:v>45708.818961487581</c:v>
                </c:pt>
                <c:pt idx="366">
                  <c:v>46773.514128719893</c:v>
                </c:pt>
                <c:pt idx="367">
                  <c:v>47863.009232263823</c:v>
                </c:pt>
                <c:pt idx="368">
                  <c:v>48977.881936844598</c:v>
                </c:pt>
                <c:pt idx="369">
                  <c:v>50118.723362727294</c:v>
                </c:pt>
                <c:pt idx="370">
                  <c:v>51286.138399136544</c:v>
                </c:pt>
                <c:pt idx="371">
                  <c:v>52480.746024977314</c:v>
                </c:pt>
                <c:pt idx="372">
                  <c:v>53703.179637025423</c:v>
                </c:pt>
                <c:pt idx="373">
                  <c:v>54954.087385762505</c:v>
                </c:pt>
                <c:pt idx="374">
                  <c:v>56234.132519034953</c:v>
                </c:pt>
                <c:pt idx="375">
                  <c:v>57543.993733715732</c:v>
                </c:pt>
                <c:pt idx="376">
                  <c:v>58884.365535558936</c:v>
                </c:pt>
                <c:pt idx="377">
                  <c:v>60255.95860743591</c:v>
                </c:pt>
                <c:pt idx="378">
                  <c:v>61659.500186148245</c:v>
                </c:pt>
                <c:pt idx="379">
                  <c:v>63095.734448019342</c:v>
                </c:pt>
                <c:pt idx="380">
                  <c:v>64565.422903465682</c:v>
                </c:pt>
                <c:pt idx="381">
                  <c:v>66069.344800759733</c:v>
                </c:pt>
                <c:pt idx="382">
                  <c:v>67608.297539198305</c:v>
                </c:pt>
                <c:pt idx="383">
                  <c:v>69183.097091893651</c:v>
                </c:pt>
                <c:pt idx="384">
                  <c:v>70794.578438413781</c:v>
                </c:pt>
                <c:pt idx="385">
                  <c:v>72443.596007499116</c:v>
                </c:pt>
                <c:pt idx="386">
                  <c:v>74131.024130091857</c:v>
                </c:pt>
                <c:pt idx="387">
                  <c:v>75857.757502918481</c:v>
                </c:pt>
                <c:pt idx="388">
                  <c:v>77624.711662869129</c:v>
                </c:pt>
                <c:pt idx="389">
                  <c:v>79432.823472428237</c:v>
                </c:pt>
                <c:pt idx="390">
                  <c:v>81283.051616410012</c:v>
                </c:pt>
                <c:pt idx="391">
                  <c:v>83176.377110267174</c:v>
                </c:pt>
                <c:pt idx="392">
                  <c:v>85113.803820237721</c:v>
                </c:pt>
                <c:pt idx="393">
                  <c:v>87096.358995608127</c:v>
                </c:pt>
                <c:pt idx="394">
                  <c:v>89125.093813374609</c:v>
                </c:pt>
                <c:pt idx="395">
                  <c:v>91201.083935591028</c:v>
                </c:pt>
                <c:pt idx="396">
                  <c:v>93325.430079699145</c:v>
                </c:pt>
                <c:pt idx="397">
                  <c:v>95499.258602143804</c:v>
                </c:pt>
                <c:pt idx="398">
                  <c:v>97723.722095581266</c:v>
                </c:pt>
                <c:pt idx="399">
                  <c:v>100000</c:v>
                </c:pt>
                <c:pt idx="400">
                  <c:v>102329.29922807543</c:v>
                </c:pt>
                <c:pt idx="401">
                  <c:v>104712.85480508996</c:v>
                </c:pt>
                <c:pt idx="402">
                  <c:v>107151.93052376082</c:v>
                </c:pt>
                <c:pt idx="403">
                  <c:v>109647.81961431868</c:v>
                </c:pt>
                <c:pt idx="404">
                  <c:v>112201.84543019651</c:v>
                </c:pt>
                <c:pt idx="405">
                  <c:v>114815.36214968823</c:v>
                </c:pt>
                <c:pt idx="406">
                  <c:v>117489.75549395311</c:v>
                </c:pt>
                <c:pt idx="407">
                  <c:v>120226.44346174144</c:v>
                </c:pt>
                <c:pt idx="408">
                  <c:v>123026.87708123829</c:v>
                </c:pt>
                <c:pt idx="409">
                  <c:v>125892.54117941685</c:v>
                </c:pt>
                <c:pt idx="410">
                  <c:v>128824.95516931375</c:v>
                </c:pt>
                <c:pt idx="411">
                  <c:v>131825.67385564081</c:v>
                </c:pt>
                <c:pt idx="412">
                  <c:v>134896.28825916545</c:v>
                </c:pt>
                <c:pt idx="413">
                  <c:v>138038.42646028858</c:v>
                </c:pt>
                <c:pt idx="414">
                  <c:v>141253.75446227577</c:v>
                </c:pt>
                <c:pt idx="415">
                  <c:v>144543.97707459307</c:v>
                </c:pt>
                <c:pt idx="416">
                  <c:v>147910.83881682079</c:v>
                </c:pt>
                <c:pt idx="417">
                  <c:v>151356.12484362084</c:v>
                </c:pt>
                <c:pt idx="418">
                  <c:v>154881.66189124843</c:v>
                </c:pt>
                <c:pt idx="419">
                  <c:v>158489.31924611164</c:v>
                </c:pt>
                <c:pt idx="420">
                  <c:v>162181.00973589328</c:v>
                </c:pt>
                <c:pt idx="421">
                  <c:v>165958.69074375604</c:v>
                </c:pt>
                <c:pt idx="422">
                  <c:v>169824.36524617471</c:v>
                </c:pt>
                <c:pt idx="423">
                  <c:v>173780.0828749378</c:v>
                </c:pt>
                <c:pt idx="424">
                  <c:v>177827.94100389251</c:v>
                </c:pt>
                <c:pt idx="425">
                  <c:v>181970.08586099857</c:v>
                </c:pt>
                <c:pt idx="426">
                  <c:v>186208.71366628664</c:v>
                </c:pt>
                <c:pt idx="427">
                  <c:v>190546.07179632492</c:v>
                </c:pt>
                <c:pt idx="428">
                  <c:v>194984.45997580473</c:v>
                </c:pt>
                <c:pt idx="429">
                  <c:v>199526.23149688813</c:v>
                </c:pt>
                <c:pt idx="430">
                  <c:v>204173.79446695308</c:v>
                </c:pt>
                <c:pt idx="431">
                  <c:v>208929.61308540447</c:v>
                </c:pt>
                <c:pt idx="432">
                  <c:v>213796.20895022334</c:v>
                </c:pt>
                <c:pt idx="433">
                  <c:v>218776.16239495538</c:v>
                </c:pt>
                <c:pt idx="434">
                  <c:v>223872.11385683404</c:v>
                </c:pt>
                <c:pt idx="435">
                  <c:v>229086.76527677779</c:v>
                </c:pt>
                <c:pt idx="436">
                  <c:v>234422.88153199267</c:v>
                </c:pt>
                <c:pt idx="437">
                  <c:v>239883.29190194907</c:v>
                </c:pt>
                <c:pt idx="438">
                  <c:v>245470.89156850305</c:v>
                </c:pt>
                <c:pt idx="439">
                  <c:v>251188.64315095844</c:v>
                </c:pt>
                <c:pt idx="440">
                  <c:v>257039.57827688678</c:v>
                </c:pt>
                <c:pt idx="441">
                  <c:v>263026.79918953858</c:v>
                </c:pt>
                <c:pt idx="442">
                  <c:v>269153.48039269145</c:v>
                </c:pt>
                <c:pt idx="443">
                  <c:v>275422.87033381703</c:v>
                </c:pt>
                <c:pt idx="444">
                  <c:v>281838.29312644573</c:v>
                </c:pt>
                <c:pt idx="445">
                  <c:v>288403.1503126609</c:v>
                </c:pt>
                <c:pt idx="446">
                  <c:v>295120.92266663886</c:v>
                </c:pt>
                <c:pt idx="447">
                  <c:v>301995.17204020242</c:v>
                </c:pt>
                <c:pt idx="448">
                  <c:v>309029.54325135931</c:v>
                </c:pt>
                <c:pt idx="449">
                  <c:v>316227.7660168382</c:v>
                </c:pt>
                <c:pt idx="450">
                  <c:v>323593.65692962846</c:v>
                </c:pt>
                <c:pt idx="451">
                  <c:v>331131.12148259126</c:v>
                </c:pt>
                <c:pt idx="452">
                  <c:v>338844.15613920329</c:v>
                </c:pt>
                <c:pt idx="453">
                  <c:v>346736.85045253241</c:v>
                </c:pt>
                <c:pt idx="454">
                  <c:v>354813.38923357555</c:v>
                </c:pt>
                <c:pt idx="455">
                  <c:v>363078.05477010203</c:v>
                </c:pt>
                <c:pt idx="456">
                  <c:v>371535.2290971732</c:v>
                </c:pt>
                <c:pt idx="457">
                  <c:v>380189.39632056188</c:v>
                </c:pt>
                <c:pt idx="458">
                  <c:v>389045.14499428123</c:v>
                </c:pt>
                <c:pt idx="459">
                  <c:v>398107.17055349716</c:v>
                </c:pt>
                <c:pt idx="460">
                  <c:v>407380.27780411334</c:v>
                </c:pt>
                <c:pt idx="461">
                  <c:v>416869.38347033598</c:v>
                </c:pt>
                <c:pt idx="462">
                  <c:v>426579.51880159322</c:v>
                </c:pt>
                <c:pt idx="463">
                  <c:v>436515.83224016649</c:v>
                </c:pt>
                <c:pt idx="464">
                  <c:v>446683.59215096442</c:v>
                </c:pt>
                <c:pt idx="465">
                  <c:v>457088.18961487547</c:v>
                </c:pt>
                <c:pt idx="466">
                  <c:v>467735.14128719864</c:v>
                </c:pt>
                <c:pt idx="467">
                  <c:v>478630.09232263872</c:v>
                </c:pt>
                <c:pt idx="468">
                  <c:v>489778.81936844654</c:v>
                </c:pt>
                <c:pt idx="469">
                  <c:v>501187.23362727347</c:v>
                </c:pt>
                <c:pt idx="470">
                  <c:v>512861.38399136515</c:v>
                </c:pt>
                <c:pt idx="471">
                  <c:v>524807.46024977288</c:v>
                </c:pt>
                <c:pt idx="472">
                  <c:v>537031.7963702539</c:v>
                </c:pt>
                <c:pt idx="473">
                  <c:v>549540.87385762564</c:v>
                </c:pt>
                <c:pt idx="474">
                  <c:v>562341.32519035018</c:v>
                </c:pt>
                <c:pt idx="475">
                  <c:v>575439.93733715697</c:v>
                </c:pt>
                <c:pt idx="476">
                  <c:v>588843.65535558888</c:v>
                </c:pt>
                <c:pt idx="477">
                  <c:v>602559.58607435878</c:v>
                </c:pt>
                <c:pt idx="478">
                  <c:v>616595.00186148309</c:v>
                </c:pt>
                <c:pt idx="479">
                  <c:v>630957.34448019415</c:v>
                </c:pt>
                <c:pt idx="480">
                  <c:v>645654.22903465747</c:v>
                </c:pt>
                <c:pt idx="481">
                  <c:v>660693.44800759677</c:v>
                </c:pt>
                <c:pt idx="482">
                  <c:v>676082.97539198259</c:v>
                </c:pt>
                <c:pt idx="483">
                  <c:v>691830.97091893724</c:v>
                </c:pt>
                <c:pt idx="484">
                  <c:v>707945.78438413853</c:v>
                </c:pt>
                <c:pt idx="485">
                  <c:v>724435.96007499192</c:v>
                </c:pt>
                <c:pt idx="486">
                  <c:v>741310.24130091805</c:v>
                </c:pt>
                <c:pt idx="487">
                  <c:v>758577.57502918423</c:v>
                </c:pt>
                <c:pt idx="488">
                  <c:v>776247.11662869214</c:v>
                </c:pt>
                <c:pt idx="489">
                  <c:v>794328.23472428333</c:v>
                </c:pt>
                <c:pt idx="490">
                  <c:v>812830.51616410096</c:v>
                </c:pt>
                <c:pt idx="491">
                  <c:v>831763.77110267128</c:v>
                </c:pt>
                <c:pt idx="492">
                  <c:v>851138.03820237669</c:v>
                </c:pt>
                <c:pt idx="493">
                  <c:v>870963.58995608077</c:v>
                </c:pt>
                <c:pt idx="494">
                  <c:v>891250.93813374708</c:v>
                </c:pt>
                <c:pt idx="495">
                  <c:v>912010.83935591124</c:v>
                </c:pt>
                <c:pt idx="496">
                  <c:v>933254.30079699249</c:v>
                </c:pt>
                <c:pt idx="497">
                  <c:v>954992.58602143743</c:v>
                </c:pt>
                <c:pt idx="498">
                  <c:v>977237.22095581202</c:v>
                </c:pt>
                <c:pt idx="499">
                  <c:v>1000000</c:v>
                </c:pt>
                <c:pt idx="500">
                  <c:v>1023292.9922807553</c:v>
                </c:pt>
                <c:pt idx="501">
                  <c:v>1047128.5480509007</c:v>
                </c:pt>
                <c:pt idx="502">
                  <c:v>1071519.3052376076</c:v>
                </c:pt>
                <c:pt idx="503">
                  <c:v>1096478.196143186</c:v>
                </c:pt>
                <c:pt idx="504">
                  <c:v>1122018.4543019643</c:v>
                </c:pt>
                <c:pt idx="505">
                  <c:v>1148153.6214968837</c:v>
                </c:pt>
                <c:pt idx="506">
                  <c:v>1174897.5549395324</c:v>
                </c:pt>
                <c:pt idx="507">
                  <c:v>1202264.4346174158</c:v>
                </c:pt>
                <c:pt idx="508">
                  <c:v>1230268.770812382</c:v>
                </c:pt>
                <c:pt idx="509">
                  <c:v>1258925.4117941677</c:v>
                </c:pt>
                <c:pt idx="510">
                  <c:v>1288249.5516931366</c:v>
                </c:pt>
                <c:pt idx="511">
                  <c:v>1318256.7385564097</c:v>
                </c:pt>
                <c:pt idx="512">
                  <c:v>1348962.8825916562</c:v>
                </c:pt>
                <c:pt idx="513">
                  <c:v>1380384.2646028849</c:v>
                </c:pt>
                <c:pt idx="514">
                  <c:v>1412537.5446227565</c:v>
                </c:pt>
                <c:pt idx="515">
                  <c:v>1445439.7707459298</c:v>
                </c:pt>
                <c:pt idx="516">
                  <c:v>1479108.3881682095</c:v>
                </c:pt>
                <c:pt idx="517">
                  <c:v>1513561.2484362102</c:v>
                </c:pt>
                <c:pt idx="518">
                  <c:v>1548816.6189124861</c:v>
                </c:pt>
                <c:pt idx="519">
                  <c:v>1584893.1924611153</c:v>
                </c:pt>
                <c:pt idx="520">
                  <c:v>1621810.0973589318</c:v>
                </c:pt>
                <c:pt idx="521">
                  <c:v>1659586.9074375622</c:v>
                </c:pt>
                <c:pt idx="522">
                  <c:v>1698243.6524617488</c:v>
                </c:pt>
                <c:pt idx="523">
                  <c:v>1737800.8287493798</c:v>
                </c:pt>
                <c:pt idx="524">
                  <c:v>1778279.4100389241</c:v>
                </c:pt>
                <c:pt idx="525">
                  <c:v>1819700.8586099846</c:v>
                </c:pt>
                <c:pt idx="526">
                  <c:v>1862087.1366628683</c:v>
                </c:pt>
                <c:pt idx="527">
                  <c:v>1905460.7179632513</c:v>
                </c:pt>
                <c:pt idx="528">
                  <c:v>1949844.5997580495</c:v>
                </c:pt>
                <c:pt idx="529">
                  <c:v>1995262.31496888</c:v>
                </c:pt>
                <c:pt idx="530">
                  <c:v>2041737.9446695296</c:v>
                </c:pt>
                <c:pt idx="531">
                  <c:v>2089296.1308540432</c:v>
                </c:pt>
                <c:pt idx="532">
                  <c:v>2137962.0895022359</c:v>
                </c:pt>
                <c:pt idx="533">
                  <c:v>2187761.6239495561</c:v>
                </c:pt>
                <c:pt idx="534">
                  <c:v>2238721.1385683389</c:v>
                </c:pt>
                <c:pt idx="535">
                  <c:v>2290867.6527677765</c:v>
                </c:pt>
                <c:pt idx="536">
                  <c:v>2344228.8153199251</c:v>
                </c:pt>
                <c:pt idx="537">
                  <c:v>2398832.9190194933</c:v>
                </c:pt>
                <c:pt idx="538">
                  <c:v>2454708.915685033</c:v>
                </c:pt>
                <c:pt idx="539">
                  <c:v>2511886.431509587</c:v>
                </c:pt>
                <c:pt idx="540">
                  <c:v>2570395.782768866</c:v>
                </c:pt>
                <c:pt idx="541">
                  <c:v>2630267.9918953842</c:v>
                </c:pt>
              </c:numCache>
            </c:numRef>
          </c:xVal>
          <c:yVal>
            <c:numRef>
              <c:f>Loop_Modeling!$BM$19:$BM$560</c:f>
              <c:numCache>
                <c:formatCode>General</c:formatCode>
                <c:ptCount val="542"/>
                <c:pt idx="0">
                  <c:v>88.581524772480009</c:v>
                </c:pt>
                <c:pt idx="1">
                  <c:v>88.548512824945533</c:v>
                </c:pt>
                <c:pt idx="2">
                  <c:v>88.514733972960684</c:v>
                </c:pt>
                <c:pt idx="3">
                  <c:v>88.480170498892377</c:v>
                </c:pt>
                <c:pt idx="4">
                  <c:v>88.444804282816435</c:v>
                </c:pt>
                <c:pt idx="5">
                  <c:v>88.408616793888129</c:v>
                </c:pt>
                <c:pt idx="6">
                  <c:v>88.371589081564125</c:v>
                </c:pt>
                <c:pt idx="7">
                  <c:v>88.333701766676299</c:v>
                </c:pt>
                <c:pt idx="8">
                  <c:v>88.294935032357941</c:v>
                </c:pt>
                <c:pt idx="9">
                  <c:v>88.255268614823208</c:v>
                </c:pt>
                <c:pt idx="10">
                  <c:v>88.21468179400091</c:v>
                </c:pt>
                <c:pt idx="11">
                  <c:v>88.173153384023749</c:v>
                </c:pt>
                <c:pt idx="12">
                  <c:v>88.130661723575713</c:v>
                </c:pt>
                <c:pt idx="13">
                  <c:v>88.087184666098935</c:v>
                </c:pt>
                <c:pt idx="14">
                  <c:v>88.042699569863345</c:v>
                </c:pt>
                <c:pt idx="15">
                  <c:v>87.99718328790189</c:v>
                </c:pt>
                <c:pt idx="16">
                  <c:v>87.950612157815286</c:v>
                </c:pt>
                <c:pt idx="17">
                  <c:v>87.902961991450368</c:v>
                </c:pt>
                <c:pt idx="18">
                  <c:v>87.854208064456998</c:v>
                </c:pt>
                <c:pt idx="19">
                  <c:v>87.804325105728793</c:v>
                </c:pt>
                <c:pt idx="20">
                  <c:v>87.753287286734079</c:v>
                </c:pt>
                <c:pt idx="21">
                  <c:v>87.701068210743998</c:v>
                </c:pt>
                <c:pt idx="22">
                  <c:v>87.647640901965417</c:v>
                </c:pt>
                <c:pt idx="23">
                  <c:v>87.592977794587171</c:v>
                </c:pt>
                <c:pt idx="24">
                  <c:v>87.537050721749623</c:v>
                </c:pt>
                <c:pt idx="25">
                  <c:v>87.479830904447439</c:v>
                </c:pt>
                <c:pt idx="26">
                  <c:v>87.421288940378091</c:v>
                </c:pt>
                <c:pt idx="27">
                  <c:v>87.361394792747973</c:v>
                </c:pt>
                <c:pt idx="28">
                  <c:v>87.30011777905122</c:v>
                </c:pt>
                <c:pt idx="29">
                  <c:v>87.237426559835612</c:v>
                </c:pt>
                <c:pt idx="30">
                  <c:v>87.173289127473353</c:v>
                </c:pt>
                <c:pt idx="31">
                  <c:v>87.107672794954325</c:v>
                </c:pt>
                <c:pt idx="32">
                  <c:v>87.040544184722748</c:v>
                </c:pt>
                <c:pt idx="33">
                  <c:v>86.971869217577876</c:v>
                </c:pt>
                <c:pt idx="34">
                  <c:v>86.901613101663912</c:v>
                </c:pt>
                <c:pt idx="35">
                  <c:v>86.829740321573311</c:v>
                </c:pt>
                <c:pt idx="36">
                  <c:v>86.75621462759247</c:v>
                </c:pt>
                <c:pt idx="37">
                  <c:v>86.680999025119604</c:v>
                </c:pt>
                <c:pt idx="38">
                  <c:v>86.604055764287111</c:v>
                </c:pt>
                <c:pt idx="39">
                  <c:v>86.525346329824174</c:v>
                </c:pt>
                <c:pt idx="40">
                  <c:v>86.44483143119723</c:v>
                </c:pt>
                <c:pt idx="41">
                  <c:v>86.362470993069422</c:v>
                </c:pt>
                <c:pt idx="42">
                  <c:v>86.278224146123108</c:v>
                </c:pt>
                <c:pt idx="43">
                  <c:v>86.192049218292937</c:v>
                </c:pt>
                <c:pt idx="44">
                  <c:v>86.103903726460501</c:v>
                </c:pt>
                <c:pt idx="45">
                  <c:v>86.013744368665257</c:v>
                </c:pt>
                <c:pt idx="46">
                  <c:v>85.921527016890693</c:v>
                </c:pt>
                <c:pt idx="47">
                  <c:v>85.827206710488724</c:v>
                </c:pt>
                <c:pt idx="48">
                  <c:v>85.73073765030999</c:v>
                </c:pt>
                <c:pt idx="49">
                  <c:v>85.632073193611916</c:v>
                </c:pt>
                <c:pt idx="50">
                  <c:v>85.531165849822543</c:v>
                </c:pt>
                <c:pt idx="51">
                  <c:v>85.427967277242331</c:v>
                </c:pt>
                <c:pt idx="52">
                  <c:v>85.322428280772144</c:v>
                </c:pt>
                <c:pt idx="53">
                  <c:v>85.214498810762151</c:v>
                </c:pt>
                <c:pt idx="54">
                  <c:v>85.104127963080842</c:v>
                </c:pt>
                <c:pt idx="55">
                  <c:v>84.99126398051304</c:v>
                </c:pt>
                <c:pt idx="56">
                  <c:v>84.875854255597858</c:v>
                </c:pt>
                <c:pt idx="57">
                  <c:v>84.757845335030765</c:v>
                </c:pt>
                <c:pt idx="58">
                  <c:v>84.637182925755425</c:v>
                </c:pt>
                <c:pt idx="59">
                  <c:v>84.513811902883603</c:v>
                </c:pt>
                <c:pt idx="60">
                  <c:v>84.387676319586348</c:v>
                </c:pt>
                <c:pt idx="61">
                  <c:v>84.258719419111287</c:v>
                </c:pt>
                <c:pt idx="62">
                  <c:v>84.126883649085315</c:v>
                </c:pt>
                <c:pt idx="63">
                  <c:v>83.992110678277513</c:v>
                </c:pt>
                <c:pt idx="64">
                  <c:v>83.854341415999386</c:v>
                </c:pt>
                <c:pt idx="65">
                  <c:v>83.713516034336081</c:v>
                </c:pt>
                <c:pt idx="66">
                  <c:v>83.569573993407388</c:v>
                </c:pt>
                <c:pt idx="67">
                  <c:v>83.422454069870867</c:v>
                </c:pt>
                <c:pt idx="68">
                  <c:v>83.272094388888547</c:v>
                </c:pt>
                <c:pt idx="69">
                  <c:v>83.118432459789418</c:v>
                </c:pt>
                <c:pt idx="70">
                  <c:v>82.961405215673025</c:v>
                </c:pt>
                <c:pt idx="71">
                  <c:v>82.800949057207106</c:v>
                </c:pt>
                <c:pt idx="72">
                  <c:v>82.636999900886337</c:v>
                </c:pt>
                <c:pt idx="73">
                  <c:v>82.469493232029905</c:v>
                </c:pt>
                <c:pt idx="74">
                  <c:v>82.298364162805342</c:v>
                </c:pt>
                <c:pt idx="75">
                  <c:v>82.123547495577839</c:v>
                </c:pt>
                <c:pt idx="76">
                  <c:v>81.944977791895695</c:v>
                </c:pt>
                <c:pt idx="77">
                  <c:v>81.762589447431012</c:v>
                </c:pt>
                <c:pt idx="78">
                  <c:v>81.576316773206486</c:v>
                </c:pt>
                <c:pt idx="79">
                  <c:v>81.386094083444917</c:v>
                </c:pt>
                <c:pt idx="80">
                  <c:v>81.19185579039079</c:v>
                </c:pt>
                <c:pt idx="81">
                  <c:v>80.993536506456309</c:v>
                </c:pt>
                <c:pt idx="82">
                  <c:v>80.791071154052176</c:v>
                </c:pt>
                <c:pt idx="83">
                  <c:v>80.584395083466688</c:v>
                </c:pt>
                <c:pt idx="84">
                  <c:v>80.373444199161895</c:v>
                </c:pt>
                <c:pt idx="85">
                  <c:v>80.158155094853086</c:v>
                </c:pt>
                <c:pt idx="86">
                  <c:v>79.938465197737841</c:v>
                </c:pt>
                <c:pt idx="87">
                  <c:v>79.714312922239557</c:v>
                </c:pt>
                <c:pt idx="88">
                  <c:v>79.485637833617062</c:v>
                </c:pt>
                <c:pt idx="89">
                  <c:v>79.25238082179024</c:v>
                </c:pt>
                <c:pt idx="90">
                  <c:v>79.014484285709699</c:v>
                </c:pt>
                <c:pt idx="91">
                  <c:v>78.771892328587711</c:v>
                </c:pt>
                <c:pt idx="92">
                  <c:v>78.52455096428119</c:v>
                </c:pt>
                <c:pt idx="93">
                  <c:v>78.272408335092621</c:v>
                </c:pt>
                <c:pt idx="94">
                  <c:v>78.015414941222133</c:v>
                </c:pt>
                <c:pt idx="95">
                  <c:v>77.753523882067782</c:v>
                </c:pt>
                <c:pt idx="96">
                  <c:v>77.486691109523889</c:v>
                </c:pt>
                <c:pt idx="97">
                  <c:v>77.214875693381558</c:v>
                </c:pt>
                <c:pt idx="98">
                  <c:v>76.938040098873529</c:v>
                </c:pt>
                <c:pt idx="99">
                  <c:v>76.656150476343853</c:v>
                </c:pt>
                <c:pt idx="100">
                  <c:v>76.36917696295005</c:v>
                </c:pt>
                <c:pt idx="101">
                  <c:v>76.077093996222757</c:v>
                </c:pt>
                <c:pt idx="102">
                  <c:v>75.779880639221901</c:v>
                </c:pt>
                <c:pt idx="103">
                  <c:v>75.477520916927404</c:v>
                </c:pt>
                <c:pt idx="104">
                  <c:v>75.170004163399554</c:v>
                </c:pt>
                <c:pt idx="105">
                  <c:v>74.857325379126152</c:v>
                </c:pt>
                <c:pt idx="106">
                  <c:v>74.539485597850458</c:v>
                </c:pt>
                <c:pt idx="107">
                  <c:v>74.216492262041555</c:v>
                </c:pt>
                <c:pt idx="108">
                  <c:v>73.888359606028544</c:v>
                </c:pt>
                <c:pt idx="109">
                  <c:v>73.555109045668459</c:v>
                </c:pt>
                <c:pt idx="110">
                  <c:v>73.216769573266106</c:v>
                </c:pt>
                <c:pt idx="111">
                  <c:v>72.873378156298983</c:v>
                </c:pt>
                <c:pt idx="112">
                  <c:v>72.524980138333689</c:v>
                </c:pt>
                <c:pt idx="113">
                  <c:v>72.171629640350375</c:v>
                </c:pt>
                <c:pt idx="114">
                  <c:v>71.81338996051737</c:v>
                </c:pt>
                <c:pt idx="115">
                  <c:v>71.450333970285513</c:v>
                </c:pt>
                <c:pt idx="116">
                  <c:v>71.082544504496241</c:v>
                </c:pt>
                <c:pt idx="117">
                  <c:v>70.710114743032122</c:v>
                </c:pt>
                <c:pt idx="118">
                  <c:v>70.333148581375667</c:v>
                </c:pt>
                <c:pt idx="119">
                  <c:v>69.951760987286619</c:v>
                </c:pt>
                <c:pt idx="120">
                  <c:v>69.566078340669364</c:v>
                </c:pt>
                <c:pt idx="121">
                  <c:v>69.176238753571866</c:v>
                </c:pt>
                <c:pt idx="122">
                  <c:v>68.782392367155524</c:v>
                </c:pt>
                <c:pt idx="123">
                  <c:v>68.384701622381399</c:v>
                </c:pt>
                <c:pt idx="124">
                  <c:v>67.983341501102302</c:v>
                </c:pt>
                <c:pt idx="125">
                  <c:v>67.578499734215555</c:v>
                </c:pt>
                <c:pt idx="126">
                  <c:v>67.170376973523602</c:v>
                </c:pt>
                <c:pt idx="127">
                  <c:v>66.759186923994861</c:v>
                </c:pt>
                <c:pt idx="128">
                  <c:v>66.345156433170345</c:v>
                </c:pt>
                <c:pt idx="129">
                  <c:v>65.928525534581553</c:v>
                </c:pt>
                <c:pt idx="130">
                  <c:v>65.509547442193451</c:v>
                </c:pt>
                <c:pt idx="131">
                  <c:v>65.088488493076142</c:v>
                </c:pt>
                <c:pt idx="132">
                  <c:v>64.665628035741975</c:v>
                </c:pt>
                <c:pt idx="133">
                  <c:v>64.241258261873583</c:v>
                </c:pt>
                <c:pt idx="134">
                  <c:v>63.815683979478557</c:v>
                </c:pt>
                <c:pt idx="135">
                  <c:v>63.389222325873455</c:v>
                </c:pt>
                <c:pt idx="136">
                  <c:v>62.962202419299452</c:v>
                </c:pt>
                <c:pt idx="137">
                  <c:v>62.534964948404344</c:v>
                </c:pt>
                <c:pt idx="138">
                  <c:v>62.107861699290879</c:v>
                </c:pt>
                <c:pt idx="139">
                  <c:v>61.681255020318829</c:v>
                </c:pt>
                <c:pt idx="140">
                  <c:v>61.255517225359974</c:v>
                </c:pt>
                <c:pt idx="141">
                  <c:v>60.831029936719425</c:v>
                </c:pt>
                <c:pt idx="142">
                  <c:v>60.408183369466705</c:v>
                </c:pt>
                <c:pt idx="143">
                  <c:v>59.987375559438306</c:v>
                </c:pt>
                <c:pt idx="144">
                  <c:v>59.569011537687558</c:v>
                </c:pt>
                <c:pt idx="145">
                  <c:v>59.153502454642599</c:v>
                </c:pt>
                <c:pt idx="146">
                  <c:v>58.741264657707141</c:v>
                </c:pt>
                <c:pt idx="147">
                  <c:v>58.332718726453543</c:v>
                </c:pt>
                <c:pt idx="148">
                  <c:v>57.928288469961949</c:v>
                </c:pt>
                <c:pt idx="149">
                  <c:v>57.528399891170992</c:v>
                </c:pt>
                <c:pt idx="150">
                  <c:v>57.133480123416163</c:v>
                </c:pt>
                <c:pt idx="151">
                  <c:v>56.743956344522445</c:v>
                </c:pt>
                <c:pt idx="152">
                  <c:v>56.360254674002846</c:v>
                </c:pt>
                <c:pt idx="153">
                  <c:v>55.98279905898238</c:v>
                </c:pt>
                <c:pt idx="154">
                  <c:v>55.612010154508397</c:v>
                </c:pt>
                <c:pt idx="155">
                  <c:v>55.248304203853387</c:v>
                </c:pt>
                <c:pt idx="156">
                  <c:v>54.892091924313796</c:v>
                </c:pt>
                <c:pt idx="157">
                  <c:v>54.543777403835236</c:v>
                </c:pt>
                <c:pt idx="158">
                  <c:v>54.203757013573956</c:v>
                </c:pt>
                <c:pt idx="159">
                  <c:v>53.872418341207542</c:v>
                </c:pt>
                <c:pt idx="160">
                  <c:v>53.550139149499799</c:v>
                </c:pt>
                <c:pt idx="161">
                  <c:v>53.237286364250942</c:v>
                </c:pt>
                <c:pt idx="162">
                  <c:v>52.934215095368863</c:v>
                </c:pt>
                <c:pt idx="163">
                  <c:v>52.641267694381533</c:v>
                </c:pt>
                <c:pt idx="164">
                  <c:v>52.358772851282268</c:v>
                </c:pt>
                <c:pt idx="165">
                  <c:v>52.087044733162379</c:v>
                </c:pt>
                <c:pt idx="166">
                  <c:v>51.826382166651058</c:v>
                </c:pt>
                <c:pt idx="167">
                  <c:v>51.577067865768541</c:v>
                </c:pt>
                <c:pt idx="168">
                  <c:v>51.339367706394754</c:v>
                </c:pt>
                <c:pt idx="169">
                  <c:v>51.113530048179513</c:v>
                </c:pt>
                <c:pt idx="170">
                  <c:v>50.899785104383682</c:v>
                </c:pt>
                <c:pt idx="171">
                  <c:v>50.698344359826002</c:v>
                </c:pt>
                <c:pt idx="172">
                  <c:v>50.50940003685804</c:v>
                </c:pt>
                <c:pt idx="173">
                  <c:v>50.333124609052803</c:v>
                </c:pt>
                <c:pt idx="174">
                  <c:v>50.169670362136749</c:v>
                </c:pt>
                <c:pt idx="175">
                  <c:v>50.019169001542728</c:v>
                </c:pt>
                <c:pt idx="176">
                  <c:v>49.881731305900345</c:v>
                </c:pt>
                <c:pt idx="177">
                  <c:v>49.757446825716713</c:v>
                </c:pt>
                <c:pt idx="178">
                  <c:v>49.646383626525143</c:v>
                </c:pt>
                <c:pt idx="179">
                  <c:v>49.548588075798051</c:v>
                </c:pt>
                <c:pt idx="180">
                  <c:v>49.464084673002546</c:v>
                </c:pt>
                <c:pt idx="181">
                  <c:v>49.392875922282045</c:v>
                </c:pt>
                <c:pt idx="182">
                  <c:v>49.334942247360942</c:v>
                </c:pt>
                <c:pt idx="183">
                  <c:v>49.290241948420366</c:v>
                </c:pt>
                <c:pt idx="184">
                  <c:v>49.258711200837865</c:v>
                </c:pt>
                <c:pt idx="185">
                  <c:v>49.240264095848694</c:v>
                </c:pt>
                <c:pt idx="186">
                  <c:v>49.234792723329804</c:v>
                </c:pt>
                <c:pt idx="187">
                  <c:v>49.242167297061727</c:v>
                </c:pt>
                <c:pt idx="188">
                  <c:v>49.262236322944041</c:v>
                </c:pt>
                <c:pt idx="189">
                  <c:v>49.294826810757215</c:v>
                </c:pt>
                <c:pt idx="190">
                  <c:v>49.339744530133217</c:v>
                </c:pt>
                <c:pt idx="191">
                  <c:v>49.396774311452774</c:v>
                </c:pt>
                <c:pt idx="192">
                  <c:v>49.46568039239407</c:v>
                </c:pt>
                <c:pt idx="193">
                  <c:v>49.546206810826682</c:v>
                </c:pt>
                <c:pt idx="194">
                  <c:v>49.638077844675685</c:v>
                </c:pt>
                <c:pt idx="195">
                  <c:v>49.740998499257721</c:v>
                </c:pt>
                <c:pt idx="196">
                  <c:v>49.854655042427744</c:v>
                </c:pt>
                <c:pt idx="197">
                  <c:v>49.978715587667693</c:v>
                </c:pt>
                <c:pt idx="198">
                  <c:v>50.112830724990253</c:v>
                </c:pt>
                <c:pt idx="199">
                  <c:v>50.2566341992368</c:v>
                </c:pt>
                <c:pt idx="200">
                  <c:v>50.40974363501735</c:v>
                </c:pt>
                <c:pt idx="201">
                  <c:v>50.57176130716789</c:v>
                </c:pt>
                <c:pt idx="202">
                  <c:v>50.742274955210696</c:v>
                </c:pt>
                <c:pt idx="203">
                  <c:v>50.920858639886625</c:v>
                </c:pt>
                <c:pt idx="204">
                  <c:v>51.107073639395956</c:v>
                </c:pt>
                <c:pt idx="205">
                  <c:v>51.300469382557203</c:v>
                </c:pt>
                <c:pt idx="206">
                  <c:v>51.500584415651488</c:v>
                </c:pt>
                <c:pt idx="207">
                  <c:v>51.706947399306962</c:v>
                </c:pt>
                <c:pt idx="208">
                  <c:v>51.919078131375187</c:v>
                </c:pt>
                <c:pt idx="209">
                  <c:v>52.136488591377912</c:v>
                </c:pt>
                <c:pt idx="210">
                  <c:v>52.358684001767585</c:v>
                </c:pt>
                <c:pt idx="211">
                  <c:v>52.585163900955195</c:v>
                </c:pt>
                <c:pt idx="212">
                  <c:v>52.815423222818119</c:v>
                </c:pt>
                <c:pt idx="213">
                  <c:v>53.048953377214559</c:v>
                </c:pt>
                <c:pt idx="214">
                  <c:v>53.285243325911203</c:v>
                </c:pt>
                <c:pt idx="215">
                  <c:v>53.523780648273345</c:v>
                </c:pt>
                <c:pt idx="216">
                  <c:v>53.764052591070836</c:v>
                </c:pt>
                <c:pt idx="217">
                  <c:v>54.00554709683589</c:v>
                </c:pt>
                <c:pt idx="218">
                  <c:v>54.247753805344551</c:v>
                </c:pt>
                <c:pt idx="219">
                  <c:v>54.490165023009027</c:v>
                </c:pt>
                <c:pt idx="220">
                  <c:v>54.732276655225384</c:v>
                </c:pt>
                <c:pt idx="221">
                  <c:v>54.973589097061364</c:v>
                </c:pt>
                <c:pt idx="222">
                  <c:v>55.213608078026624</c:v>
                </c:pt>
                <c:pt idx="223">
                  <c:v>55.451845457109648</c:v>
                </c:pt>
                <c:pt idx="224">
                  <c:v>55.687819964701681</c:v>
                </c:pt>
                <c:pt idx="225">
                  <c:v>55.921057888534556</c:v>
                </c:pt>
                <c:pt idx="226">
                  <c:v>56.151093701256407</c:v>
                </c:pt>
                <c:pt idx="227">
                  <c:v>56.377470627792277</c:v>
                </c:pt>
                <c:pt idx="228">
                  <c:v>56.599741151174143</c:v>
                </c:pt>
                <c:pt idx="229">
                  <c:v>56.817467456032261</c:v>
                </c:pt>
                <c:pt idx="230">
                  <c:v>57.030221809473886</c:v>
                </c:pt>
                <c:pt idx="231">
                  <c:v>57.237586879554016</c:v>
                </c:pt>
                <c:pt idx="232">
                  <c:v>57.439155992028269</c:v>
                </c:pt>
                <c:pt idx="233">
                  <c:v>57.634533326525009</c:v>
                </c:pt>
                <c:pt idx="234">
                  <c:v>57.823334053671942</c:v>
                </c:pt>
                <c:pt idx="235">
                  <c:v>58.005184415104502</c:v>
                </c:pt>
                <c:pt idx="236">
                  <c:v>58.179721748607584</c:v>
                </c:pt>
                <c:pt idx="237">
                  <c:v>58.346594460939258</c:v>
                </c:pt>
                <c:pt idx="238">
                  <c:v>58.505461951136994</c:v>
                </c:pt>
                <c:pt idx="239">
                  <c:v>58.655994487311688</c:v>
                </c:pt>
                <c:pt idx="240">
                  <c:v>58.797873040106829</c:v>
                </c:pt>
                <c:pt idx="241">
                  <c:v>58.930789076114465</c:v>
                </c:pt>
                <c:pt idx="242">
                  <c:v>59.054444314638538</c:v>
                </c:pt>
                <c:pt idx="243">
                  <c:v>59.168550451225919</c:v>
                </c:pt>
                <c:pt idx="244">
                  <c:v>59.272828851419824</c:v>
                </c:pt>
                <c:pt idx="245">
                  <c:v>59.367010218149019</c:v>
                </c:pt>
                <c:pt idx="246">
                  <c:v>59.450834236138206</c:v>
                </c:pt>
                <c:pt idx="247">
                  <c:v>59.524049196642594</c:v>
                </c:pt>
                <c:pt idx="248">
                  <c:v>59.586411605715753</c:v>
                </c:pt>
                <c:pt idx="249">
                  <c:v>59.637685779109205</c:v>
                </c:pt>
                <c:pt idx="250">
                  <c:v>59.67764342677556</c:v>
                </c:pt>
                <c:pt idx="251">
                  <c:v>59.706063229802666</c:v>
                </c:pt>
                <c:pt idx="252">
                  <c:v>59.722730412459477</c:v>
                </c:pt>
                <c:pt idx="253">
                  <c:v>59.727436311877995</c:v>
                </c:pt>
                <c:pt idx="254">
                  <c:v>59.719977947736453</c:v>
                </c:pt>
                <c:pt idx="255">
                  <c:v>59.700157594144777</c:v>
                </c:pt>
                <c:pt idx="256">
                  <c:v>59.667782355783842</c:v>
                </c:pt>
                <c:pt idx="257">
                  <c:v>59.622663750172819</c:v>
                </c:pt>
                <c:pt idx="258">
                  <c:v>59.564617297805448</c:v>
                </c:pt>
                <c:pt idx="259">
                  <c:v>59.493462121738517</c:v>
                </c:pt>
                <c:pt idx="260">
                  <c:v>59.409020558069081</c:v>
                </c:pt>
                <c:pt idx="261">
                  <c:v>59.311117778615859</c:v>
                </c:pt>
                <c:pt idx="262">
                  <c:v>59.199581426983947</c:v>
                </c:pt>
                <c:pt idx="263">
                  <c:v>59.074241269076268</c:v>
                </c:pt>
                <c:pt idx="264">
                  <c:v>58.934928859013311</c:v>
                </c:pt>
                <c:pt idx="265">
                  <c:v>58.78147722131655</c:v>
                </c:pt>
                <c:pt idx="266">
                  <c:v>58.61372055012572</c:v>
                </c:pt>
                <c:pt idx="267">
                  <c:v>58.431493926133001</c:v>
                </c:pt>
                <c:pt idx="268">
                  <c:v>58.234633051860897</c:v>
                </c:pt>
                <c:pt idx="269">
                  <c:v>58.022974005825432</c:v>
                </c:pt>
                <c:pt idx="270">
                  <c:v>57.796353016091992</c:v>
                </c:pt>
                <c:pt idx="271">
                  <c:v>57.554606253672205</c:v>
                </c:pt>
                <c:pt idx="272">
                  <c:v>57.29756964617507</c:v>
                </c:pt>
                <c:pt idx="273">
                  <c:v>57.025078712092373</c:v>
                </c:pt>
                <c:pt idx="274">
                  <c:v>56.73696841607201</c:v>
                </c:pt>
                <c:pt idx="275">
                  <c:v>56.433073045511215</c:v>
                </c:pt>
                <c:pt idx="276">
                  <c:v>56.113226108785874</c:v>
                </c:pt>
                <c:pt idx="277">
                  <c:v>55.777260255421716</c:v>
                </c:pt>
                <c:pt idx="278">
                  <c:v>55.425007218502905</c:v>
                </c:pt>
                <c:pt idx="279">
                  <c:v>55.056297779607569</c:v>
                </c:pt>
                <c:pt idx="280">
                  <c:v>54.670961756561361</c:v>
                </c:pt>
                <c:pt idx="281">
                  <c:v>54.268828014292765</c:v>
                </c:pt>
                <c:pt idx="282">
                  <c:v>53.849724499072174</c:v>
                </c:pt>
                <c:pt idx="283">
                  <c:v>53.413478296424778</c:v>
                </c:pt>
                <c:pt idx="284">
                  <c:v>52.959915712991034</c:v>
                </c:pt>
                <c:pt idx="285">
                  <c:v>52.488862382618265</c:v>
                </c:pt>
                <c:pt idx="286">
                  <c:v>52.00014339694949</c:v>
                </c:pt>
                <c:pt idx="287">
                  <c:v>51.49358346077743</c:v>
                </c:pt>
                <c:pt idx="288">
                  <c:v>50.969007072409887</c:v>
                </c:pt>
                <c:pt idx="289">
                  <c:v>50.426238729279412</c:v>
                </c:pt>
                <c:pt idx="290">
                  <c:v>49.865103159009045</c:v>
                </c:pt>
                <c:pt idx="291">
                  <c:v>49.285425576113575</c:v>
                </c:pt>
                <c:pt idx="292">
                  <c:v>48.687031964483566</c:v>
                </c:pt>
                <c:pt idx="293">
                  <c:v>48.069749385756417</c:v>
                </c:pt>
                <c:pt idx="294">
                  <c:v>47.433406313629384</c:v>
                </c:pt>
                <c:pt idx="295">
                  <c:v>46.777832994106127</c:v>
                </c:pt>
                <c:pt idx="296">
                  <c:v>46.102861831610902</c:v>
                </c:pt>
                <c:pt idx="297">
                  <c:v>45.408327800816458</c:v>
                </c:pt>
                <c:pt idx="298">
                  <c:v>44.6940688839519</c:v>
                </c:pt>
                <c:pt idx="299">
                  <c:v>43.959926533261324</c:v>
                </c:pt>
                <c:pt idx="300">
                  <c:v>43.205746158170292</c:v>
                </c:pt>
                <c:pt idx="301">
                  <c:v>42.431377636611778</c:v>
                </c:pt>
                <c:pt idx="302">
                  <c:v>41.636675849827007</c:v>
                </c:pt>
                <c:pt idx="303">
                  <c:v>40.82150123982386</c:v>
                </c:pt>
                <c:pt idx="304">
                  <c:v>39.985720388536848</c:v>
                </c:pt>
                <c:pt idx="305">
                  <c:v>39.129206617568116</c:v>
                </c:pt>
                <c:pt idx="306">
                  <c:v>38.251840607237277</c:v>
                </c:pt>
                <c:pt idx="307">
                  <c:v>37.353511033495892</c:v>
                </c:pt>
                <c:pt idx="308">
                  <c:v>36.434115221091695</c:v>
                </c:pt>
                <c:pt idx="309">
                  <c:v>35.493559811191851</c:v>
                </c:pt>
                <c:pt idx="310">
                  <c:v>34.531761441494083</c:v>
                </c:pt>
                <c:pt idx="311">
                  <c:v>33.548647436677953</c:v>
                </c:pt>
                <c:pt idx="312">
                  <c:v>32.544156506878785</c:v>
                </c:pt>
                <c:pt idx="313">
                  <c:v>31.518239451681556</c:v>
                </c:pt>
                <c:pt idx="314">
                  <c:v>30.470859866985403</c:v>
                </c:pt>
                <c:pt idx="315">
                  <c:v>29.40199485191982</c:v>
                </c:pt>
                <c:pt idx="316">
                  <c:v>28.311635712865886</c:v>
                </c:pt>
                <c:pt idx="317">
                  <c:v>27.199788661494026</c:v>
                </c:pt>
                <c:pt idx="318">
                  <c:v>26.066475503638578</c:v>
                </c:pt>
                <c:pt idx="319">
                  <c:v>24.911734315724747</c:v>
                </c:pt>
                <c:pt idx="320">
                  <c:v>23.735620105409371</c:v>
                </c:pt>
                <c:pt idx="321">
                  <c:v>22.538205453058016</c:v>
                </c:pt>
                <c:pt idx="322">
                  <c:v>21.319581130654569</c:v>
                </c:pt>
                <c:pt idx="323">
                  <c:v>20.079856694777298</c:v>
                </c:pt>
                <c:pt idx="324">
                  <c:v>18.819161050299986</c:v>
                </c:pt>
                <c:pt idx="325">
                  <c:v>17.537642981576376</c:v>
                </c:pt>
                <c:pt idx="326">
                  <c:v>16.235471647949637</c:v>
                </c:pt>
                <c:pt idx="327">
                  <c:v>14.912837040588427</c:v>
                </c:pt>
                <c:pt idx="328">
                  <c:v>13.569950397809716</c:v>
                </c:pt>
                <c:pt idx="329">
                  <c:v>12.207044576232363</c:v>
                </c:pt>
                <c:pt idx="330">
                  <c:v>10.824374375355287</c:v>
                </c:pt>
                <c:pt idx="331">
                  <c:v>9.4222168133553161</c:v>
                </c:pt>
                <c:pt idx="332">
                  <c:v>8.0008713522011821</c:v>
                </c:pt>
                <c:pt idx="333">
                  <c:v>6.5606600704116707</c:v>
                </c:pt>
                <c:pt idx="334">
                  <c:v>5.1019277821139157</c:v>
                </c:pt>
                <c:pt idx="335">
                  <c:v>3.6250421013040883</c:v>
                </c:pt>
                <c:pt idx="336">
                  <c:v>2.130393450536558</c:v>
                </c:pt>
                <c:pt idx="337">
                  <c:v>0.61839501351678305</c:v>
                </c:pt>
                <c:pt idx="338">
                  <c:v>-0.91051736862125632</c:v>
                </c:pt>
                <c:pt idx="339">
                  <c:v>-2.4558853573396626</c:v>
                </c:pt>
                <c:pt idx="340">
                  <c:v>-4.0172283327544704</c:v>
                </c:pt>
                <c:pt idx="341">
                  <c:v>-5.5940436652550636</c:v>
                </c:pt>
                <c:pt idx="342">
                  <c:v>-7.1858070420039146</c:v>
                </c:pt>
                <c:pt idx="343">
                  <c:v>-8.7919728474873455</c:v>
                </c:pt>
                <c:pt idx="344">
                  <c:v>-10.41197459713997</c:v>
                </c:pt>
                <c:pt idx="345">
                  <c:v>-12.04522542296303</c:v>
                </c:pt>
                <c:pt idx="346">
                  <c:v>-13.69111860997242</c:v>
                </c:pt>
                <c:pt idx="347">
                  <c:v>-15.349028182251859</c:v>
                </c:pt>
                <c:pt idx="348">
                  <c:v>-17.018309537370328</c:v>
                </c:pt>
                <c:pt idx="349">
                  <c:v>-18.698300127883911</c:v>
                </c:pt>
                <c:pt idx="350">
                  <c:v>-20.388320188662746</c:v>
                </c:pt>
                <c:pt idx="351">
                  <c:v>-22.087673508786327</c:v>
                </c:pt>
                <c:pt idx="352">
                  <c:v>-23.795648246765879</c:v>
                </c:pt>
                <c:pt idx="353">
                  <c:v>-25.51151778786539</c:v>
                </c:pt>
                <c:pt idx="354">
                  <c:v>-27.234541642319755</c:v>
                </c:pt>
                <c:pt idx="355">
                  <c:v>-28.963966383203719</c:v>
                </c:pt>
                <c:pt idx="356">
                  <c:v>-30.699026622750562</c:v>
                </c:pt>
                <c:pt idx="357">
                  <c:v>-32.438946025819213</c:v>
                </c:pt>
                <c:pt idx="358">
                  <c:v>-34.182938359194068</c:v>
                </c:pt>
                <c:pt idx="359">
                  <c:v>-35.930208575293427</c:v>
                </c:pt>
                <c:pt idx="360">
                  <c:v>-37.679953928756412</c:v>
                </c:pt>
                <c:pt idx="361">
                  <c:v>-39.431365124231121</c:v>
                </c:pt>
                <c:pt idx="362">
                  <c:v>-41.183627493532931</c:v>
                </c:pt>
                <c:pt idx="363">
                  <c:v>-42.935922200136098</c:v>
                </c:pt>
                <c:pt idx="364">
                  <c:v>-44.687427468743749</c:v>
                </c:pt>
                <c:pt idx="365">
                  <c:v>-46.437319837458389</c:v>
                </c:pt>
                <c:pt idx="366">
                  <c:v>-48.184775429813698</c:v>
                </c:pt>
                <c:pt idx="367">
                  <c:v>-49.928971243664698</c:v>
                </c:pt>
                <c:pt idx="368">
                  <c:v>-51.669086453679476</c:v>
                </c:pt>
                <c:pt idx="369">
                  <c:v>-53.404303723895048</c:v>
                </c:pt>
                <c:pt idx="370">
                  <c:v>-55.133810526555976</c:v>
                </c:pt>
                <c:pt idx="371">
                  <c:v>-56.856800463201083</c:v>
                </c:pt>
                <c:pt idx="372">
                  <c:v>-58.572474583748502</c:v>
                </c:pt>
                <c:pt idx="373">
                  <c:v>-60.280042699122795</c:v>
                </c:pt>
                <c:pt idx="374">
                  <c:v>-61.97872468281367</c:v>
                </c:pt>
                <c:pt idx="375">
                  <c:v>-63.667751756614848</c:v>
                </c:pt>
                <c:pt idx="376">
                  <c:v>-65.346367755724017</c:v>
                </c:pt>
                <c:pt idx="377">
                  <c:v>-67.013830368324108</c:v>
                </c:pt>
                <c:pt idx="378">
                  <c:v>-68.669412344789009</c:v>
                </c:pt>
                <c:pt idx="379">
                  <c:v>-70.312402671716413</c:v>
                </c:pt>
                <c:pt idx="380">
                  <c:v>-71.942107706095044</c:v>
                </c:pt>
                <c:pt idx="381">
                  <c:v>-73.557852265083937</c:v>
                </c:pt>
                <c:pt idx="382">
                  <c:v>-75.158980667107016</c:v>
                </c:pt>
                <c:pt idx="383">
                  <c:v>-76.744857720216899</c:v>
                </c:pt>
                <c:pt idx="384">
                  <c:v>-78.314869654018437</c:v>
                </c:pt>
                <c:pt idx="385">
                  <c:v>-79.868424991783371</c:v>
                </c:pt>
                <c:pt idx="386">
                  <c:v>-81.404955359812888</c:v>
                </c:pt>
                <c:pt idx="387">
                  <c:v>-82.923916231514738</c:v>
                </c:pt>
                <c:pt idx="388">
                  <c:v>-84.424787604149103</c:v>
                </c:pt>
                <c:pt idx="389">
                  <c:v>-85.907074606672396</c:v>
                </c:pt>
                <c:pt idx="390">
                  <c:v>-87.370308037619722</c:v>
                </c:pt>
                <c:pt idx="391">
                  <c:v>-88.814044832482168</c:v>
                </c:pt>
                <c:pt idx="392">
                  <c:v>-90.237868460537442</c:v>
                </c:pt>
                <c:pt idx="393">
                  <c:v>-91.64138925162699</c:v>
                </c:pt>
                <c:pt idx="394">
                  <c:v>-93.024244653844505</c:v>
                </c:pt>
                <c:pt idx="395">
                  <c:v>-94.386099423596804</c:v>
                </c:pt>
                <c:pt idx="396">
                  <c:v>-95.726645749948176</c:v>
                </c:pt>
                <c:pt idx="397">
                  <c:v>-97.045603315568201</c:v>
                </c:pt>
                <c:pt idx="398">
                  <c:v>-98.342719297010149</c:v>
                </c:pt>
                <c:pt idx="399">
                  <c:v>-99.61776830736062</c:v>
                </c:pt>
                <c:pt idx="400">
                  <c:v>-100.87055228462737</c:v>
                </c:pt>
                <c:pt idx="401">
                  <c:v>-102.10090032944819</c:v>
                </c:pt>
                <c:pt idx="402">
                  <c:v>-103.30866849593365</c:v>
                </c:pt>
                <c:pt idx="403">
                  <c:v>-104.49373953956507</c:v>
                </c:pt>
                <c:pt idx="404">
                  <c:v>-105.6560226261918</c:v>
                </c:pt>
                <c:pt idx="405">
                  <c:v>-106.79545300617977</c:v>
                </c:pt>
                <c:pt idx="406">
                  <c:v>-107.91199165776749</c:v>
                </c:pt>
                <c:pt idx="407">
                  <c:v>-109.0056249036046</c:v>
                </c:pt>
                <c:pt idx="408">
                  <c:v>-110.07636400433714</c:v>
                </c:pt>
                <c:pt idx="409">
                  <c:v>-111.12424473293916</c:v>
                </c:pt>
                <c:pt idx="410">
                  <c:v>-112.14932693327896</c:v>
                </c:pt>
                <c:pt idx="411">
                  <c:v>-113.15169406616583</c:v>
                </c:pt>
                <c:pt idx="412">
                  <c:v>-114.1314527458314</c:v>
                </c:pt>
                <c:pt idx="413">
                  <c:v>-115.08873226949518</c:v>
                </c:pt>
                <c:pt idx="414">
                  <c:v>-116.02368414230297</c:v>
                </c:pt>
                <c:pt idx="415">
                  <c:v>-116.93648159957932</c:v>
                </c:pt>
                <c:pt idx="416">
                  <c:v>-117.82731912792975</c:v>
                </c:pt>
                <c:pt idx="417">
                  <c:v>-118.69641198634504</c:v>
                </c:pt>
                <c:pt idx="418">
                  <c:v>-119.54399572803247</c:v>
                </c:pt>
                <c:pt idx="419">
                  <c:v>-120.37032572331159</c:v>
                </c:pt>
                <c:pt idx="420">
                  <c:v>-121.17567668347321</c:v>
                </c:pt>
                <c:pt idx="421">
                  <c:v>-121.96034218510749</c:v>
                </c:pt>
                <c:pt idx="422">
                  <c:v>-122.72463419401215</c:v>
                </c:pt>
                <c:pt idx="423">
                  <c:v>-123.46888258740356</c:v>
                </c:pt>
                <c:pt idx="424">
                  <c:v>-124.1934346727992</c:v>
                </c:pt>
                <c:pt idx="425">
                  <c:v>-124.89865470159971</c:v>
                </c:pt>
                <c:pt idx="426">
                  <c:v>-125.58492337509693</c:v>
                </c:pt>
                <c:pt idx="427">
                  <c:v>-126.25263734036088</c:v>
                </c:pt>
                <c:pt idx="428">
                  <c:v>-126.90220867321912</c:v>
                </c:pt>
                <c:pt idx="429">
                  <c:v>-127.53406434536961</c:v>
                </c:pt>
                <c:pt idx="430">
                  <c:v>-128.14864567249933</c:v>
                </c:pt>
                <c:pt idx="431">
                  <c:v>-128.74640774020966</c:v>
                </c:pt>
                <c:pt idx="432">
                  <c:v>-129.32781880449969</c:v>
                </c:pt>
                <c:pt idx="433">
                  <c:v>-129.89335966357609</c:v>
                </c:pt>
                <c:pt idx="434">
                  <c:v>-130.44352299783969</c:v>
                </c:pt>
                <c:pt idx="435">
                  <c:v>-130.97881267502743</c:v>
                </c:pt>
                <c:pt idx="436">
                  <c:v>-131.4997430176999</c:v>
                </c:pt>
                <c:pt idx="437">
                  <c:v>-132.00683803050808</c:v>
                </c:pt>
                <c:pt idx="438">
                  <c:v>-132.50063058501357</c:v>
                </c:pt>
                <c:pt idx="439">
                  <c:v>-132.98166156020383</c:v>
                </c:pt>
                <c:pt idx="440">
                  <c:v>-133.45047893729037</c:v>
                </c:pt>
                <c:pt idx="441">
                  <c:v>-133.90763684787314</c:v>
                </c:pt>
                <c:pt idx="442">
                  <c:v>-134.35369457509108</c:v>
                </c:pt>
                <c:pt idx="443">
                  <c:v>-134.78921550797187</c:v>
                </c:pt>
                <c:pt idx="444">
                  <c:v>-135.21476604981473</c:v>
                </c:pt>
                <c:pt idx="445">
                  <c:v>-135.63091448209875</c:v>
                </c:pt>
                <c:pt idx="446">
                  <c:v>-136.03822978608324</c:v>
                </c:pt>
                <c:pt idx="447">
                  <c:v>-136.43728042495371</c:v>
                </c:pt>
                <c:pt idx="448">
                  <c:v>-136.82863309007044</c:v>
                </c:pt>
                <c:pt idx="449">
                  <c:v>-137.2128514155462</c:v>
                </c:pt>
                <c:pt idx="450">
                  <c:v>-137.5904946660645</c:v>
                </c:pt>
                <c:pt idx="451">
                  <c:v>-137.96211640347767</c:v>
                </c:pt>
                <c:pt idx="452">
                  <c:v>-138.32826313833223</c:v>
                </c:pt>
                <c:pt idx="453">
                  <c:v>-138.68947297302256</c:v>
                </c:pt>
                <c:pt idx="454">
                  <c:v>-139.04627424376375</c:v>
                </c:pt>
                <c:pt idx="455">
                  <c:v>-139.39918416900832</c:v>
                </c:pt>
                <c:pt idx="456">
                  <c:v>-139.74870751227914</c:v>
                </c:pt>
                <c:pt idx="457">
                  <c:v>-140.09533526766009</c:v>
                </c:pt>
                <c:pt idx="458">
                  <c:v>-140.43954337637362</c:v>
                </c:pt>
                <c:pt idx="459">
                  <c:v>-140.78179148294822</c:v>
                </c:pt>
                <c:pt idx="460">
                  <c:v>-141.12252173948647</c:v>
                </c:pt>
                <c:pt idx="461">
                  <c:v>-141.46215766642189</c:v>
                </c:pt>
                <c:pt idx="462">
                  <c:v>-141.80110307795653</c:v>
                </c:pt>
                <c:pt idx="463">
                  <c:v>-142.13974108006275</c:v>
                </c:pt>
                <c:pt idx="464">
                  <c:v>-142.47843314853614</c:v>
                </c:pt>
                <c:pt idx="465">
                  <c:v>-142.81751829409177</c:v>
                </c:pt>
                <c:pt idx="466">
                  <c:v>-143.15731232092591</c:v>
                </c:pt>
                <c:pt idx="467">
                  <c:v>-143.49810718450561</c:v>
                </c:pt>
                <c:pt idx="468">
                  <c:v>-143.84017045361799</c:v>
                </c:pt>
                <c:pt idx="469">
                  <c:v>-144.18374488092695</c:v>
                </c:pt>
                <c:pt idx="470">
                  <c:v>-144.52904808543028</c:v>
                </c:pt>
                <c:pt idx="471">
                  <c:v>-144.87627234933134</c:v>
                </c:pt>
                <c:pt idx="472">
                  <c:v>-145.2255845308942</c:v>
                </c:pt>
                <c:pt idx="473">
                  <c:v>-145.57712609393622</c:v>
                </c:pt>
                <c:pt idx="474">
                  <c:v>-145.93101325362511</c:v>
                </c:pt>
                <c:pt idx="475">
                  <c:v>-146.28733723730525</c:v>
                </c:pt>
                <c:pt idx="476">
                  <c:v>-146.64616465812858</c:v>
                </c:pt>
                <c:pt idx="477">
                  <c:v>-147.00753799833996</c:v>
                </c:pt>
                <c:pt idx="478">
                  <c:v>-147.37147619818347</c:v>
                </c:pt>
                <c:pt idx="479">
                  <c:v>-147.73797534554333</c:v>
                </c:pt>
                <c:pt idx="480">
                  <c:v>-148.10700946064748</c:v>
                </c:pt>
                <c:pt idx="481">
                  <c:v>-148.47853136943408</c:v>
                </c:pt>
                <c:pt idx="482">
                  <c:v>-148.85247365852808</c:v>
                </c:pt>
                <c:pt idx="483">
                  <c:v>-149.22874970419605</c:v>
                </c:pt>
                <c:pt idx="484">
                  <c:v>-149.60725476716163</c:v>
                </c:pt>
                <c:pt idx="485">
                  <c:v>-149.98786714476213</c:v>
                </c:pt>
                <c:pt idx="486">
                  <c:v>-150.37044937162653</c:v>
                </c:pt>
                <c:pt idx="487">
                  <c:v>-150.75484945985107</c:v>
                </c:pt>
                <c:pt idx="488">
                  <c:v>-151.14090216952798</c:v>
                </c:pt>
                <c:pt idx="489">
                  <c:v>-151.52843030049527</c:v>
                </c:pt>
                <c:pt idx="490">
                  <c:v>-151.91724599623066</c:v>
                </c:pt>
                <c:pt idx="491">
                  <c:v>-152.30715205102507</c:v>
                </c:pt>
                <c:pt idx="492">
                  <c:v>-152.69794321181115</c:v>
                </c:pt>
                <c:pt idx="493">
                  <c:v>-153.08940746638089</c:v>
                </c:pt>
                <c:pt idx="494">
                  <c:v>-153.48132731015076</c:v>
                </c:pt>
                <c:pt idx="495">
                  <c:v>-153.8734809841271</c:v>
                </c:pt>
                <c:pt idx="496">
                  <c:v>-154.26564367726252</c:v>
                </c:pt>
                <c:pt idx="497">
                  <c:v>-154.65758868700141</c:v>
                </c:pt>
                <c:pt idx="498">
                  <c:v>-155.04908853244947</c:v>
                </c:pt>
                <c:pt idx="499">
                  <c:v>-155.43991601526534</c:v>
                </c:pt>
                <c:pt idx="500">
                  <c:v>-155.82984522405704</c:v>
                </c:pt>
                <c:pt idx="501">
                  <c:v>-156.21865247876434</c:v>
                </c:pt>
                <c:pt idx="502">
                  <c:v>-156.60611721219547</c:v>
                </c:pt>
                <c:pt idx="503">
                  <c:v>-156.99202278657634</c:v>
                </c:pt>
                <c:pt idx="504">
                  <c:v>-157.37615724363187</c:v>
                </c:pt>
                <c:pt idx="505">
                  <c:v>-157.75831398736014</c:v>
                </c:pt>
                <c:pt idx="506">
                  <c:v>-158.13829239926704</c:v>
                </c:pt>
                <c:pt idx="507">
                  <c:v>-158.51589838640066</c:v>
                </c:pt>
                <c:pt idx="508">
                  <c:v>-158.89094486304893</c:v>
                </c:pt>
                <c:pt idx="509">
                  <c:v>-159.26325216744578</c:v>
                </c:pt>
                <c:pt idx="510">
                  <c:v>-159.63264841526109</c:v>
                </c:pt>
                <c:pt idx="511">
                  <c:v>-159.99896979203149</c:v>
                </c:pt>
                <c:pt idx="512">
                  <c:v>-160.3620607870146</c:v>
                </c:pt>
                <c:pt idx="513">
                  <c:v>-160.72177437123489</c:v>
                </c:pt>
                <c:pt idx="514">
                  <c:v>-161.07797212270179</c:v>
                </c:pt>
                <c:pt idx="515">
                  <c:v>-161.43052430197542</c:v>
                </c:pt>
                <c:pt idx="516">
                  <c:v>-161.77930988137368</c:v>
                </c:pt>
                <c:pt idx="517">
                  <c:v>-162.12421653120643</c:v>
                </c:pt>
                <c:pt idx="518">
                  <c:v>-162.46514056647189</c:v>
                </c:pt>
                <c:pt idx="519">
                  <c:v>-162.80198685745145</c:v>
                </c:pt>
                <c:pt idx="520">
                  <c:v>-163.13466870762187</c:v>
                </c:pt>
                <c:pt idx="521">
                  <c:v>-163.46310770224494</c:v>
                </c:pt>
                <c:pt idx="522">
                  <c:v>-163.78723353090953</c:v>
                </c:pt>
                <c:pt idx="523">
                  <c:v>-164.10698378720213</c:v>
                </c:pt>
                <c:pt idx="524">
                  <c:v>-164.42230374855836</c:v>
                </c:pt>
                <c:pt idx="525">
                  <c:v>-164.73314613919862</c:v>
                </c:pt>
                <c:pt idx="526">
                  <c:v>-165.03947087891498</c:v>
                </c:pt>
                <c:pt idx="527">
                  <c:v>-165.34124482029901</c:v>
                </c:pt>
                <c:pt idx="528">
                  <c:v>-165.63844147684625</c:v>
                </c:pt>
                <c:pt idx="529">
                  <c:v>-165.93104074419523</c:v>
                </c:pt>
                <c:pt idx="530">
                  <c:v>-166.21902861658251</c:v>
                </c:pt>
                <c:pt idx="531">
                  <c:v>-166.50239690043244</c:v>
                </c:pt>
                <c:pt idx="532">
                  <c:v>-166.78114292682176</c:v>
                </c:pt>
                <c:pt idx="533">
                  <c:v>-167.05526926439674</c:v>
                </c:pt>
                <c:pt idx="534">
                  <c:v>-167.32478343415883</c:v>
                </c:pt>
                <c:pt idx="535">
                  <c:v>-167.58969762737837</c:v>
                </c:pt>
                <c:pt idx="536">
                  <c:v>-167.85002842774918</c:v>
                </c:pt>
                <c:pt idx="537">
                  <c:v>-168.10579653875854</c:v>
                </c:pt>
                <c:pt idx="538">
                  <c:v>-168.35702651710793</c:v>
                </c:pt>
                <c:pt idx="539">
                  <c:v>-168.60374651290314</c:v>
                </c:pt>
                <c:pt idx="540">
                  <c:v>-168.84598801721367</c:v>
                </c:pt>
                <c:pt idx="541">
                  <c:v>-169.08378561749504</c:v>
                </c:pt>
              </c:numCache>
            </c:numRef>
          </c:yVal>
          <c:smooth val="1"/>
          <c:extLst>
            <c:ext xmlns:c16="http://schemas.microsoft.com/office/drawing/2014/chart" uri="{C3380CC4-5D6E-409C-BE32-E72D297353CC}">
              <c16:uniqueId val="{0000000B-ECAC-4E20-B866-0DB1B3DE6FE8}"/>
            </c:ext>
          </c:extLst>
        </c:ser>
        <c:dLbls>
          <c:showLegendKey val="0"/>
          <c:showVal val="0"/>
          <c:showCatName val="0"/>
          <c:showSerName val="0"/>
          <c:showPercent val="0"/>
          <c:showBubbleSize val="0"/>
        </c:dLbls>
        <c:axId val="387647744"/>
        <c:axId val="364517248"/>
      </c:scatterChart>
      <c:valAx>
        <c:axId val="357835904"/>
        <c:scaling>
          <c:logBase val="10"/>
          <c:orientation val="minMax"/>
          <c:max val="2000000"/>
          <c:min val="10"/>
        </c:scaling>
        <c:delete val="0"/>
        <c:axPos val="b"/>
        <c:minorGridlines/>
        <c:title>
          <c:tx>
            <c:rich>
              <a:bodyPr/>
              <a:lstStyle/>
              <a:p>
                <a:pPr>
                  <a:defRPr/>
                </a:pPr>
                <a:r>
                  <a:rPr lang="en-US"/>
                  <a:t>Frequency</a:t>
                </a:r>
                <a:r>
                  <a:rPr lang="en-US" baseline="0"/>
                  <a:t> (Hz)</a:t>
                </a:r>
                <a:endParaRPr lang="en-US"/>
              </a:p>
            </c:rich>
          </c:tx>
          <c:overlay val="0"/>
        </c:title>
        <c:numFmt formatCode="0" sourceLinked="0"/>
        <c:majorTickMark val="out"/>
        <c:minorTickMark val="none"/>
        <c:tickLblPos val="low"/>
        <c:txPr>
          <a:bodyPr/>
          <a:lstStyle/>
          <a:p>
            <a:pPr>
              <a:defRPr b="1"/>
            </a:pPr>
            <a:endParaRPr lang="en-US"/>
          </a:p>
        </c:txPr>
        <c:crossAx val="364477056"/>
        <c:crosses val="autoZero"/>
        <c:crossBetween val="midCat"/>
      </c:valAx>
      <c:valAx>
        <c:axId val="364477056"/>
        <c:scaling>
          <c:orientation val="minMax"/>
          <c:max val="40"/>
          <c:min val="-40"/>
        </c:scaling>
        <c:delete val="0"/>
        <c:axPos val="l"/>
        <c:majorGridlines/>
        <c:minorGridlines/>
        <c:title>
          <c:tx>
            <c:rich>
              <a:bodyPr rot="-5400000" vert="horz"/>
              <a:lstStyle/>
              <a:p>
                <a:pPr>
                  <a:defRPr/>
                </a:pPr>
                <a:r>
                  <a:rPr lang="en-US">
                    <a:solidFill>
                      <a:srgbClr val="FF0000"/>
                    </a:solidFill>
                  </a:rPr>
                  <a:t>Gain</a:t>
                </a:r>
                <a:r>
                  <a:rPr lang="en-US" baseline="0">
                    <a:solidFill>
                      <a:srgbClr val="FF0000"/>
                    </a:solidFill>
                  </a:rPr>
                  <a:t> (dB)</a:t>
                </a:r>
                <a:endParaRPr lang="en-US">
                  <a:solidFill>
                    <a:srgbClr val="FF0000"/>
                  </a:solidFill>
                </a:endParaRPr>
              </a:p>
            </c:rich>
          </c:tx>
          <c:overlay val="0"/>
        </c:title>
        <c:numFmt formatCode="General" sourceLinked="0"/>
        <c:majorTickMark val="out"/>
        <c:minorTickMark val="none"/>
        <c:tickLblPos val="nextTo"/>
        <c:txPr>
          <a:bodyPr/>
          <a:lstStyle/>
          <a:p>
            <a:pPr>
              <a:defRPr b="1">
                <a:solidFill>
                  <a:srgbClr val="FF0000"/>
                </a:solidFill>
              </a:defRPr>
            </a:pPr>
            <a:endParaRPr lang="en-US"/>
          </a:p>
        </c:txPr>
        <c:crossAx val="357835904"/>
        <c:crosses val="autoZero"/>
        <c:crossBetween val="midCat"/>
        <c:majorUnit val="20"/>
        <c:minorUnit val="10"/>
      </c:valAx>
      <c:valAx>
        <c:axId val="364517248"/>
        <c:scaling>
          <c:orientation val="minMax"/>
          <c:max val="180"/>
          <c:min val="-180"/>
        </c:scaling>
        <c:delete val="0"/>
        <c:axPos val="r"/>
        <c:title>
          <c:tx>
            <c:rich>
              <a:bodyPr rot="-5400000" vert="horz"/>
              <a:lstStyle/>
              <a:p>
                <a:pPr>
                  <a:defRPr/>
                </a:pPr>
                <a:r>
                  <a:rPr lang="en-US"/>
                  <a:t>Phase (deg)</a:t>
                </a:r>
              </a:p>
            </c:rich>
          </c:tx>
          <c:overlay val="0"/>
        </c:title>
        <c:numFmt formatCode="General" sourceLinked="1"/>
        <c:majorTickMark val="out"/>
        <c:minorTickMark val="none"/>
        <c:tickLblPos val="nextTo"/>
        <c:txPr>
          <a:bodyPr/>
          <a:lstStyle/>
          <a:p>
            <a:pPr>
              <a:defRPr b="1">
                <a:solidFill>
                  <a:schemeClr val="tx1">
                    <a:lumMod val="95000"/>
                    <a:lumOff val="5000"/>
                  </a:schemeClr>
                </a:solidFill>
              </a:defRPr>
            </a:pPr>
            <a:endParaRPr lang="en-US"/>
          </a:p>
        </c:txPr>
        <c:crossAx val="387647744"/>
        <c:crosses val="max"/>
        <c:crossBetween val="midCat"/>
        <c:majorUnit val="90"/>
        <c:minorUnit val="45"/>
      </c:valAx>
      <c:valAx>
        <c:axId val="387647744"/>
        <c:scaling>
          <c:logBase val="10"/>
          <c:orientation val="minMax"/>
        </c:scaling>
        <c:delete val="1"/>
        <c:axPos val="b"/>
        <c:numFmt formatCode="0.00" sourceLinked="1"/>
        <c:majorTickMark val="out"/>
        <c:minorTickMark val="none"/>
        <c:tickLblPos val="nextTo"/>
        <c:crossAx val="364517248"/>
        <c:crosses val="autoZero"/>
        <c:crossBetween val="midCat"/>
      </c:valAx>
    </c:plotArea>
    <c:legend>
      <c:legendPos val="r"/>
      <c:legendEntry>
        <c:idx val="1"/>
        <c:delete val="1"/>
      </c:legendEntry>
      <c:legendEntry>
        <c:idx val="2"/>
        <c:delete val="1"/>
      </c:legendEntry>
      <c:legendEntry>
        <c:idx val="3"/>
        <c:delete val="1"/>
      </c:legendEntry>
      <c:legendEntry>
        <c:idx val="4"/>
        <c:delete val="1"/>
      </c:legendEntry>
      <c:legendEntry>
        <c:idx val="5"/>
        <c:delete val="1"/>
      </c:legendEntry>
      <c:layout>
        <c:manualLayout>
          <c:xMode val="edge"/>
          <c:yMode val="edge"/>
          <c:x val="0.61392536510371165"/>
          <c:y val="7.0381012799940294E-3"/>
          <c:w val="0.28497500584606611"/>
          <c:h val="7.9643865606846526E-2"/>
        </c:manualLayout>
      </c:layout>
      <c:overlay val="1"/>
    </c:legend>
    <c:plotVisOnly val="1"/>
    <c:dispBlanksAs val="gap"/>
    <c:showDLblsOverMax val="0"/>
  </c:chart>
  <c:spPr>
    <a:ln>
      <a:noFill/>
    </a:ln>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l">
              <a:defRPr sz="2400"/>
            </a:pPr>
            <a:r>
              <a:rPr lang="el-GR" sz="2400"/>
              <a:t>η</a:t>
            </a:r>
            <a:endParaRPr lang="en-US" sz="2400"/>
          </a:p>
        </c:rich>
      </c:tx>
      <c:layout>
        <c:manualLayout>
          <c:xMode val="edge"/>
          <c:yMode val="edge"/>
          <c:x val="9.2321838295158831E-2"/>
          <c:y val="6.7069081153588199E-3"/>
        </c:manualLayout>
      </c:layout>
      <c:overlay val="1"/>
    </c:title>
    <c:autoTitleDeleted val="0"/>
    <c:plotArea>
      <c:layout>
        <c:manualLayout>
          <c:layoutTarget val="inner"/>
          <c:xMode val="edge"/>
          <c:yMode val="edge"/>
          <c:x val="9.4343575816580413E-2"/>
          <c:y val="0.12777504924560487"/>
          <c:w val="0.82170691922728745"/>
          <c:h val="0.74982770867653059"/>
        </c:manualLayout>
      </c:layout>
      <c:scatterChart>
        <c:scatterStyle val="smoothMarker"/>
        <c:varyColors val="0"/>
        <c:ser>
          <c:idx val="0"/>
          <c:order val="0"/>
          <c:tx>
            <c:v>Eff</c:v>
          </c:tx>
          <c:spPr>
            <a:ln>
              <a:solidFill>
                <a:srgbClr val="FF0000"/>
              </a:solidFill>
            </a:ln>
          </c:spPr>
          <c:marker>
            <c:symbol val="none"/>
          </c:marker>
          <c:xVal>
            <c:numRef>
              <c:f>Eff_vs_IOUT!$S$7:$S$157</c:f>
              <c:numCache>
                <c:formatCode>General</c:formatCode>
                <c:ptCount val="151"/>
                <c:pt idx="0">
                  <c:v>0</c:v>
                </c:pt>
                <c:pt idx="1">
                  <c:v>2.777777777777778E-2</c:v>
                </c:pt>
                <c:pt idx="2">
                  <c:v>5.5555555555555559E-2</c:v>
                </c:pt>
                <c:pt idx="3">
                  <c:v>8.3333333333333343E-2</c:v>
                </c:pt>
                <c:pt idx="4">
                  <c:v>0.11111111111111112</c:v>
                </c:pt>
                <c:pt idx="5">
                  <c:v>0.1388888888888889</c:v>
                </c:pt>
                <c:pt idx="6">
                  <c:v>0.16666666666666669</c:v>
                </c:pt>
                <c:pt idx="7">
                  <c:v>0.19444444444444445</c:v>
                </c:pt>
                <c:pt idx="8">
                  <c:v>0.22222222222222224</c:v>
                </c:pt>
                <c:pt idx="9">
                  <c:v>0.25</c:v>
                </c:pt>
                <c:pt idx="10">
                  <c:v>0.27777777777777779</c:v>
                </c:pt>
                <c:pt idx="11">
                  <c:v>0.30555555555555558</c:v>
                </c:pt>
                <c:pt idx="12">
                  <c:v>0.33333333333333337</c:v>
                </c:pt>
                <c:pt idx="13">
                  <c:v>0.36111111111111116</c:v>
                </c:pt>
                <c:pt idx="14">
                  <c:v>0.3888888888888889</c:v>
                </c:pt>
                <c:pt idx="15">
                  <c:v>0.41666666666666669</c:v>
                </c:pt>
                <c:pt idx="16">
                  <c:v>0.44444444444444448</c:v>
                </c:pt>
                <c:pt idx="17">
                  <c:v>0.47222222222222227</c:v>
                </c:pt>
                <c:pt idx="18">
                  <c:v>0.5</c:v>
                </c:pt>
                <c:pt idx="19">
                  <c:v>0.52777777777777779</c:v>
                </c:pt>
                <c:pt idx="20">
                  <c:v>0.55555555555555558</c:v>
                </c:pt>
                <c:pt idx="21">
                  <c:v>0.58333333333333337</c:v>
                </c:pt>
                <c:pt idx="22">
                  <c:v>0.61111111111111116</c:v>
                </c:pt>
                <c:pt idx="23">
                  <c:v>0.63888888888888895</c:v>
                </c:pt>
                <c:pt idx="24">
                  <c:v>0.66666666666666674</c:v>
                </c:pt>
                <c:pt idx="25">
                  <c:v>0.69444444444444453</c:v>
                </c:pt>
                <c:pt idx="26">
                  <c:v>0.72222222222222232</c:v>
                </c:pt>
                <c:pt idx="27">
                  <c:v>0.75</c:v>
                </c:pt>
                <c:pt idx="28">
                  <c:v>0.77777777777777779</c:v>
                </c:pt>
                <c:pt idx="29">
                  <c:v>0.80555555555555558</c:v>
                </c:pt>
                <c:pt idx="30">
                  <c:v>0.83333333333333337</c:v>
                </c:pt>
                <c:pt idx="31">
                  <c:v>0.86111111111111116</c:v>
                </c:pt>
                <c:pt idx="32">
                  <c:v>0.88888888888888895</c:v>
                </c:pt>
                <c:pt idx="33">
                  <c:v>0.91666666666666674</c:v>
                </c:pt>
                <c:pt idx="34">
                  <c:v>0.94444444444444453</c:v>
                </c:pt>
                <c:pt idx="35">
                  <c:v>0.97222222222222232</c:v>
                </c:pt>
                <c:pt idx="36">
                  <c:v>1</c:v>
                </c:pt>
                <c:pt idx="37">
                  <c:v>1.0277777777777779</c:v>
                </c:pt>
                <c:pt idx="38">
                  <c:v>1.0555555555555556</c:v>
                </c:pt>
                <c:pt idx="39">
                  <c:v>1.0833333333333335</c:v>
                </c:pt>
                <c:pt idx="40">
                  <c:v>1.1111111111111112</c:v>
                </c:pt>
                <c:pt idx="41">
                  <c:v>1.1388888888888891</c:v>
                </c:pt>
                <c:pt idx="42">
                  <c:v>1.1666666666666667</c:v>
                </c:pt>
                <c:pt idx="43">
                  <c:v>1.1944444444444444</c:v>
                </c:pt>
                <c:pt idx="44">
                  <c:v>1.2222222222222223</c:v>
                </c:pt>
                <c:pt idx="45">
                  <c:v>1.25</c:v>
                </c:pt>
                <c:pt idx="46">
                  <c:v>1.2777777777777779</c:v>
                </c:pt>
                <c:pt idx="47">
                  <c:v>1.3055555555555556</c:v>
                </c:pt>
                <c:pt idx="48">
                  <c:v>1.3333333333333335</c:v>
                </c:pt>
                <c:pt idx="49">
                  <c:v>1.3611111111111112</c:v>
                </c:pt>
                <c:pt idx="50">
                  <c:v>1.3888888888888891</c:v>
                </c:pt>
                <c:pt idx="51">
                  <c:v>1.4166666666666667</c:v>
                </c:pt>
                <c:pt idx="52">
                  <c:v>1.4444444444444446</c:v>
                </c:pt>
                <c:pt idx="53">
                  <c:v>1.4722222222222223</c:v>
                </c:pt>
                <c:pt idx="54">
                  <c:v>1.5</c:v>
                </c:pt>
                <c:pt idx="55">
                  <c:v>1.5277777777777779</c:v>
                </c:pt>
                <c:pt idx="56">
                  <c:v>1.5555555555555556</c:v>
                </c:pt>
                <c:pt idx="57">
                  <c:v>1.5833333333333335</c:v>
                </c:pt>
                <c:pt idx="58">
                  <c:v>1.6111111111111112</c:v>
                </c:pt>
                <c:pt idx="59">
                  <c:v>1.6388888888888891</c:v>
                </c:pt>
                <c:pt idx="60">
                  <c:v>1.6666666666666667</c:v>
                </c:pt>
                <c:pt idx="61">
                  <c:v>1.6944444444444446</c:v>
                </c:pt>
                <c:pt idx="62">
                  <c:v>1.7222222222222223</c:v>
                </c:pt>
                <c:pt idx="63">
                  <c:v>1.7500000000000002</c:v>
                </c:pt>
                <c:pt idx="64">
                  <c:v>1.7777777777777779</c:v>
                </c:pt>
                <c:pt idx="65">
                  <c:v>1.8055555555555556</c:v>
                </c:pt>
                <c:pt idx="66">
                  <c:v>1.8333333333333335</c:v>
                </c:pt>
                <c:pt idx="67">
                  <c:v>1.8611111111111112</c:v>
                </c:pt>
                <c:pt idx="68">
                  <c:v>1.8888888888888891</c:v>
                </c:pt>
                <c:pt idx="69">
                  <c:v>1.9166666666666667</c:v>
                </c:pt>
                <c:pt idx="70">
                  <c:v>1.9444444444444446</c:v>
                </c:pt>
                <c:pt idx="71">
                  <c:v>1.9722222222222223</c:v>
                </c:pt>
                <c:pt idx="72">
                  <c:v>2</c:v>
                </c:pt>
                <c:pt idx="73">
                  <c:v>2.0277777777777781</c:v>
                </c:pt>
                <c:pt idx="74">
                  <c:v>2.0555555555555558</c:v>
                </c:pt>
                <c:pt idx="75">
                  <c:v>2.0833333333333335</c:v>
                </c:pt>
                <c:pt idx="76">
                  <c:v>2.1111111111111112</c:v>
                </c:pt>
                <c:pt idx="77">
                  <c:v>2.1388888888888888</c:v>
                </c:pt>
                <c:pt idx="78">
                  <c:v>2.166666666666667</c:v>
                </c:pt>
                <c:pt idx="79">
                  <c:v>2.1944444444444446</c:v>
                </c:pt>
                <c:pt idx="80">
                  <c:v>2.2222222222222223</c:v>
                </c:pt>
                <c:pt idx="81">
                  <c:v>2.25</c:v>
                </c:pt>
                <c:pt idx="82">
                  <c:v>2.2777777777777781</c:v>
                </c:pt>
                <c:pt idx="83">
                  <c:v>2.3055555555555558</c:v>
                </c:pt>
                <c:pt idx="84">
                  <c:v>2.3333333333333335</c:v>
                </c:pt>
                <c:pt idx="85">
                  <c:v>2.3611111111111112</c:v>
                </c:pt>
                <c:pt idx="86">
                  <c:v>2.3888888888888888</c:v>
                </c:pt>
                <c:pt idx="87">
                  <c:v>2.416666666666667</c:v>
                </c:pt>
                <c:pt idx="88">
                  <c:v>2.4444444444444446</c:v>
                </c:pt>
                <c:pt idx="89">
                  <c:v>2.4722222222222223</c:v>
                </c:pt>
                <c:pt idx="90">
                  <c:v>2.5</c:v>
                </c:pt>
                <c:pt idx="91">
                  <c:v>2.5277777777777781</c:v>
                </c:pt>
                <c:pt idx="92">
                  <c:v>2.5555555555555558</c:v>
                </c:pt>
                <c:pt idx="93">
                  <c:v>2.5833333333333335</c:v>
                </c:pt>
                <c:pt idx="94">
                  <c:v>2.6111111111111112</c:v>
                </c:pt>
                <c:pt idx="95">
                  <c:v>2.6388888888888893</c:v>
                </c:pt>
                <c:pt idx="96">
                  <c:v>2.666666666666667</c:v>
                </c:pt>
                <c:pt idx="97">
                  <c:v>2.6944444444444446</c:v>
                </c:pt>
                <c:pt idx="98">
                  <c:v>2.7222222222222223</c:v>
                </c:pt>
                <c:pt idx="99">
                  <c:v>2.75</c:v>
                </c:pt>
                <c:pt idx="100">
                  <c:v>2.7777777777777781</c:v>
                </c:pt>
                <c:pt idx="101">
                  <c:v>2.8055555555555558</c:v>
                </c:pt>
                <c:pt idx="102">
                  <c:v>2.8333333333333335</c:v>
                </c:pt>
                <c:pt idx="103">
                  <c:v>2.8611111111111112</c:v>
                </c:pt>
                <c:pt idx="104">
                  <c:v>2.8888888888888893</c:v>
                </c:pt>
                <c:pt idx="105">
                  <c:v>2.916666666666667</c:v>
                </c:pt>
                <c:pt idx="106">
                  <c:v>2.9444444444444446</c:v>
                </c:pt>
                <c:pt idx="107">
                  <c:v>2.9722222222222223</c:v>
                </c:pt>
                <c:pt idx="108">
                  <c:v>3</c:v>
                </c:pt>
                <c:pt idx="109">
                  <c:v>3.0277777777777781</c:v>
                </c:pt>
                <c:pt idx="110">
                  <c:v>3.0555555555555558</c:v>
                </c:pt>
                <c:pt idx="111">
                  <c:v>3.0833333333333335</c:v>
                </c:pt>
                <c:pt idx="112">
                  <c:v>3.1111111111111112</c:v>
                </c:pt>
                <c:pt idx="113">
                  <c:v>3.1388888888888893</c:v>
                </c:pt>
                <c:pt idx="114">
                  <c:v>3.166666666666667</c:v>
                </c:pt>
                <c:pt idx="115">
                  <c:v>3.1944444444444446</c:v>
                </c:pt>
                <c:pt idx="116">
                  <c:v>3.2222222222222223</c:v>
                </c:pt>
                <c:pt idx="117">
                  <c:v>3.2500000000000004</c:v>
                </c:pt>
                <c:pt idx="118">
                  <c:v>3.2777777777777781</c:v>
                </c:pt>
                <c:pt idx="119">
                  <c:v>3.3055555555555558</c:v>
                </c:pt>
                <c:pt idx="120">
                  <c:v>3.3333333333333335</c:v>
                </c:pt>
                <c:pt idx="121">
                  <c:v>3.3611111111111112</c:v>
                </c:pt>
                <c:pt idx="122">
                  <c:v>3.3888888888888893</c:v>
                </c:pt>
                <c:pt idx="123">
                  <c:v>3.416666666666667</c:v>
                </c:pt>
                <c:pt idx="124">
                  <c:v>3.4444444444444446</c:v>
                </c:pt>
                <c:pt idx="125">
                  <c:v>3.4722222222222223</c:v>
                </c:pt>
                <c:pt idx="126">
                  <c:v>3.5000000000000004</c:v>
                </c:pt>
                <c:pt idx="127">
                  <c:v>3.5277777777777781</c:v>
                </c:pt>
                <c:pt idx="128">
                  <c:v>3.5555555555555558</c:v>
                </c:pt>
                <c:pt idx="129">
                  <c:v>3.5833333333333335</c:v>
                </c:pt>
                <c:pt idx="130">
                  <c:v>3.6111111111111112</c:v>
                </c:pt>
                <c:pt idx="131">
                  <c:v>3.6388888888888893</c:v>
                </c:pt>
                <c:pt idx="132">
                  <c:v>3.666666666666667</c:v>
                </c:pt>
                <c:pt idx="133">
                  <c:v>3.6944444444444446</c:v>
                </c:pt>
                <c:pt idx="134">
                  <c:v>3.7222222222222223</c:v>
                </c:pt>
                <c:pt idx="135">
                  <c:v>3.7500000000000004</c:v>
                </c:pt>
                <c:pt idx="136">
                  <c:v>3.7777777777777781</c:v>
                </c:pt>
                <c:pt idx="137">
                  <c:v>3.8055555555555558</c:v>
                </c:pt>
                <c:pt idx="138">
                  <c:v>3.8333333333333335</c:v>
                </c:pt>
                <c:pt idx="139">
                  <c:v>3.8611111111111112</c:v>
                </c:pt>
                <c:pt idx="140">
                  <c:v>3.8888888888888893</c:v>
                </c:pt>
                <c:pt idx="141">
                  <c:v>3.916666666666667</c:v>
                </c:pt>
                <c:pt idx="142">
                  <c:v>3.9444444444444446</c:v>
                </c:pt>
                <c:pt idx="143">
                  <c:v>3.9722222222222223</c:v>
                </c:pt>
                <c:pt idx="144">
                  <c:v>4</c:v>
                </c:pt>
                <c:pt idx="145">
                  <c:v>4.0277777777777777</c:v>
                </c:pt>
                <c:pt idx="146">
                  <c:v>4.0555555555555562</c:v>
                </c:pt>
                <c:pt idx="147">
                  <c:v>4.0833333333333339</c:v>
                </c:pt>
                <c:pt idx="148">
                  <c:v>4.1111111111111116</c:v>
                </c:pt>
                <c:pt idx="149">
                  <c:v>4.1388888888888893</c:v>
                </c:pt>
                <c:pt idx="150">
                  <c:v>4.166666666666667</c:v>
                </c:pt>
              </c:numCache>
            </c:numRef>
          </c:xVal>
          <c:yVal>
            <c:numRef>
              <c:f>Eff_vs_IOUT!$AW$7:$AW$157</c:f>
              <c:numCache>
                <c:formatCode>General</c:formatCode>
                <c:ptCount val="151"/>
                <c:pt idx="0">
                  <c:v>0</c:v>
                </c:pt>
                <c:pt idx="1">
                  <c:v>61.058151688352183</c:v>
                </c:pt>
                <c:pt idx="2">
                  <c:v>74.938068500487162</c:v>
                </c:pt>
                <c:pt idx="3">
                  <c:v>81.059509577819725</c:v>
                </c:pt>
                <c:pt idx="4">
                  <c:v>84.495640370405894</c:v>
                </c:pt>
                <c:pt idx="5">
                  <c:v>86.689469729115118</c:v>
                </c:pt>
                <c:pt idx="6">
                  <c:v>88.20779599690249</c:v>
                </c:pt>
                <c:pt idx="7">
                  <c:v>89.318471484699728</c:v>
                </c:pt>
                <c:pt idx="8">
                  <c:v>90.1644669995284</c:v>
                </c:pt>
                <c:pt idx="9">
                  <c:v>90.829019329548856</c:v>
                </c:pt>
                <c:pt idx="10">
                  <c:v>91.363857618109165</c:v>
                </c:pt>
                <c:pt idx="11">
                  <c:v>91.802810795783131</c:v>
                </c:pt>
                <c:pt idx="12">
                  <c:v>92.168926161066892</c:v>
                </c:pt>
                <c:pt idx="13">
                  <c:v>92.478442631953143</c:v>
                </c:pt>
                <c:pt idx="14">
                  <c:v>92.743128464822192</c:v>
                </c:pt>
                <c:pt idx="15">
                  <c:v>92.971718247893932</c:v>
                </c:pt>
                <c:pt idx="16">
                  <c:v>93.170829498734875</c:v>
                </c:pt>
                <c:pt idx="17">
                  <c:v>93.345566135872744</c:v>
                </c:pt>
                <c:pt idx="18">
                  <c:v>93.499926846656749</c:v>
                </c:pt>
                <c:pt idx="19">
                  <c:v>93.703981354685411</c:v>
                </c:pt>
                <c:pt idx="20">
                  <c:v>93.923165065262737</c:v>
                </c:pt>
                <c:pt idx="21">
                  <c:v>94.12126240014932</c:v>
                </c:pt>
                <c:pt idx="22">
                  <c:v>94.301026115879111</c:v>
                </c:pt>
                <c:pt idx="23">
                  <c:v>94.464749866153639</c:v>
                </c:pt>
                <c:pt idx="24">
                  <c:v>94.614360081942294</c:v>
                </c:pt>
                <c:pt idx="25">
                  <c:v>94.751486635264087</c:v>
                </c:pt>
                <c:pt idx="26">
                  <c:v>94.877517790480098</c:v>
                </c:pt>
                <c:pt idx="27">
                  <c:v>94.993643373492716</c:v>
                </c:pt>
                <c:pt idx="28">
                  <c:v>95.100889004394759</c:v>
                </c:pt>
                <c:pt idx="29">
                  <c:v>95.200143479889704</c:v>
                </c:pt>
                <c:pt idx="30">
                  <c:v>95.292180853118111</c:v>
                </c:pt>
                <c:pt idx="31">
                  <c:v>95.37767837141962</c:v>
                </c:pt>
                <c:pt idx="32">
                  <c:v>95.457231151082055</c:v>
                </c:pt>
                <c:pt idx="33">
                  <c:v>95.531364261194568</c:v>
                </c:pt>
                <c:pt idx="34">
                  <c:v>95.600542735023822</c:v>
                </c:pt>
                <c:pt idx="35">
                  <c:v>95.665179912076397</c:v>
                </c:pt>
                <c:pt idx="36">
                  <c:v>95.725644426801793</c:v>
                </c:pt>
                <c:pt idx="37">
                  <c:v>95.782266093345498</c:v>
                </c:pt>
                <c:pt idx="38">
                  <c:v>95.835340884579125</c:v>
                </c:pt>
                <c:pt idx="39">
                  <c:v>95.885135163973445</c:v>
                </c:pt>
                <c:pt idx="40">
                  <c:v>95.931889297928308</c:v>
                </c:pt>
                <c:pt idx="41">
                  <c:v>95.975820751856162</c:v>
                </c:pt>
                <c:pt idx="42">
                  <c:v>96.01712675409118</c:v>
                </c:pt>
                <c:pt idx="43">
                  <c:v>96.055986596404239</c:v>
                </c:pt>
                <c:pt idx="44">
                  <c:v>96.092563627672192</c:v>
                </c:pt>
                <c:pt idx="45">
                  <c:v>96.127006987411605</c:v>
                </c:pt>
                <c:pt idx="46">
                  <c:v>96.159453117934063</c:v>
                </c:pt>
                <c:pt idx="47">
                  <c:v>96.190027087418272</c:v>
                </c:pt>
                <c:pt idx="48">
                  <c:v>96.21884375091976</c:v>
                </c:pt>
                <c:pt idx="49">
                  <c:v>96.246008772014207</c:v>
                </c:pt>
                <c:pt idx="50">
                  <c:v>96.271619524209314</c:v>
                </c:pt>
                <c:pt idx="51">
                  <c:v>96.295765888315159</c:v>
                </c:pt>
                <c:pt idx="52">
                  <c:v>96.318530959518682</c:v>
                </c:pt>
                <c:pt idx="53">
                  <c:v>96.339991675870607</c:v>
                </c:pt>
                <c:pt idx="54">
                  <c:v>96.360219378190124</c:v>
                </c:pt>
                <c:pt idx="55">
                  <c:v>96.379280309962425</c:v>
                </c:pt>
                <c:pt idx="56">
                  <c:v>96.397236064600307</c:v>
                </c:pt>
                <c:pt idx="57">
                  <c:v>96.414143986424577</c:v>
                </c:pt>
                <c:pt idx="58">
                  <c:v>96.430057530855578</c:v>
                </c:pt>
                <c:pt idx="59">
                  <c:v>96.445026588575672</c:v>
                </c:pt>
                <c:pt idx="60">
                  <c:v>96.459097777798775</c:v>
                </c:pt>
                <c:pt idx="61">
                  <c:v>96.472314708247808</c:v>
                </c:pt>
                <c:pt idx="62">
                  <c:v>96.484718219985538</c:v>
                </c:pt>
                <c:pt idx="63">
                  <c:v>96.496346599849034</c:v>
                </c:pt>
                <c:pt idx="64">
                  <c:v>96.507235777900547</c:v>
                </c:pt>
                <c:pt idx="65">
                  <c:v>96.517419506015102</c:v>
                </c:pt>
                <c:pt idx="66">
                  <c:v>96.526929520471001</c:v>
                </c:pt>
                <c:pt idx="67">
                  <c:v>96.535795690190909</c:v>
                </c:pt>
                <c:pt idx="68">
                  <c:v>96.544046152089237</c:v>
                </c:pt>
                <c:pt idx="69">
                  <c:v>96.551707434815768</c:v>
                </c:pt>
                <c:pt idx="70">
                  <c:v>96.558804572039548</c:v>
                </c:pt>
                <c:pt idx="71">
                  <c:v>96.565361206290419</c:v>
                </c:pt>
                <c:pt idx="72">
                  <c:v>96.571399684263767</c:v>
                </c:pt>
                <c:pt idx="73">
                  <c:v>96.576941144396017</c:v>
                </c:pt>
                <c:pt idx="74">
                  <c:v>96.582005597432783</c:v>
                </c:pt>
                <c:pt idx="75">
                  <c:v>96.58661200063483</c:v>
                </c:pt>
                <c:pt idx="76">
                  <c:v>96.590778326200635</c:v>
                </c:pt>
                <c:pt idx="77">
                  <c:v>96.594521624424573</c:v>
                </c:pt>
                <c:pt idx="78">
                  <c:v>96.597858082057286</c:v>
                </c:pt>
                <c:pt idx="79">
                  <c:v>96.60080307628813</c:v>
                </c:pt>
                <c:pt idx="80">
                  <c:v>96.603371224728079</c:v>
                </c:pt>
                <c:pt idx="81">
                  <c:v>96.605576431734775</c:v>
                </c:pt>
                <c:pt idx="82">
                  <c:v>96.607431931387922</c:v>
                </c:pt>
                <c:pt idx="83">
                  <c:v>96.608950327394538</c:v>
                </c:pt>
                <c:pt idx="84">
                  <c:v>96.610143630176864</c:v>
                </c:pt>
                <c:pt idx="85">
                  <c:v>96.611023291372078</c:v>
                </c:pt>
                <c:pt idx="86">
                  <c:v>96.611600235952551</c:v>
                </c:pt>
                <c:pt idx="87">
                  <c:v>96.611884892155388</c:v>
                </c:pt>
                <c:pt idx="88">
                  <c:v>96.611887219394077</c:v>
                </c:pt>
                <c:pt idx="89">
                  <c:v>96.611616734308996</c:v>
                </c:pt>
                <c:pt idx="90">
                  <c:v>96.611082535099897</c:v>
                </c:pt>
                <c:pt idx="91">
                  <c:v>96.610293324271368</c:v>
                </c:pt>
                <c:pt idx="92">
                  <c:v>96.609257429910414</c:v>
                </c:pt>
                <c:pt idx="93">
                  <c:v>96.607982825605845</c:v>
                </c:pt>
                <c:pt idx="94">
                  <c:v>96.606477149109182</c:v>
                </c:pt>
                <c:pt idx="95">
                  <c:v>96.604747719829305</c:v>
                </c:pt>
                <c:pt idx="96">
                  <c:v>96.602801555244511</c:v>
                </c:pt>
                <c:pt idx="97">
                  <c:v>96.600645386309751</c:v>
                </c:pt>
                <c:pt idx="98">
                  <c:v>96.598285671929915</c:v>
                </c:pt>
                <c:pt idx="99">
                  <c:v>96.595728612564642</c:v>
                </c:pt>
                <c:pt idx="100">
                  <c:v>96.592980163024549</c:v>
                </c:pt>
                <c:pt idx="101">
                  <c:v>96.590046044514949</c:v>
                </c:pt>
                <c:pt idx="102">
                  <c:v>96.586931755977659</c:v>
                </c:pt>
                <c:pt idx="103">
                  <c:v>96.583642584778431</c:v>
                </c:pt>
                <c:pt idx="104">
                  <c:v>96.580183616783643</c:v>
                </c:pt>
                <c:pt idx="105">
                  <c:v>96.576559745866405</c:v>
                </c:pt>
                <c:pt idx="106">
                  <c:v>96.57277568287958</c:v>
                </c:pt>
                <c:pt idx="107">
                  <c:v>96.568835964130358</c:v>
                </c:pt>
                <c:pt idx="108">
                  <c:v>96.564744959388008</c:v>
                </c:pt>
                <c:pt idx="109">
                  <c:v>96.560506879455019</c:v>
                </c:pt>
                <c:pt idx="110">
                  <c:v>96.55612578332881</c:v>
                </c:pt>
                <c:pt idx="111">
                  <c:v>96.551605584979754</c:v>
                </c:pt>
                <c:pt idx="112">
                  <c:v>96.546950059769259</c:v>
                </c:pt>
                <c:pt idx="113">
                  <c:v>96.542162850529962</c:v>
                </c:pt>
                <c:pt idx="114">
                  <c:v>96.537247473328719</c:v>
                </c:pt>
                <c:pt idx="115">
                  <c:v>96.532207322931441</c:v>
                </c:pt>
                <c:pt idx="116">
                  <c:v>96.527045677987616</c:v>
                </c:pt>
                <c:pt idx="117">
                  <c:v>96.521765705951239</c:v>
                </c:pt>
                <c:pt idx="118">
                  <c:v>96.516370467753461</c:v>
                </c:pt>
                <c:pt idx="119">
                  <c:v>96.51086292224177</c:v>
                </c:pt>
                <c:pt idx="120">
                  <c:v>96.505245930398829</c:v>
                </c:pt>
                <c:pt idx="121">
                  <c:v>96.499522259353995</c:v>
                </c:pt>
                <c:pt idx="122">
                  <c:v>96.493694586198885</c:v>
                </c:pt>
                <c:pt idx="123">
                  <c:v>96.487765501618512</c:v>
                </c:pt>
                <c:pt idx="124">
                  <c:v>96.481737513348008</c:v>
                </c:pt>
                <c:pt idx="125">
                  <c:v>96.475613049464741</c:v>
                </c:pt>
                <c:pt idx="126">
                  <c:v>96.469394461524814</c:v>
                </c:pt>
                <c:pt idx="127">
                  <c:v>96.463084027552654</c:v>
                </c:pt>
                <c:pt idx="128">
                  <c:v>96.456683954891432</c:v>
                </c:pt>
                <c:pt idx="129">
                  <c:v>96.450196382921888</c:v>
                </c:pt>
                <c:pt idx="130">
                  <c:v>96.443623385656778</c:v>
                </c:pt>
                <c:pt idx="131">
                  <c:v>96.436966974217057</c:v>
                </c:pt>
                <c:pt idx="132">
                  <c:v>96.430229099196765</c:v>
                </c:pt>
                <c:pt idx="133">
                  <c:v>96.423411652921658</c:v>
                </c:pt>
                <c:pt idx="134">
                  <c:v>96.416516471607622</c:v>
                </c:pt>
                <c:pt idx="135">
                  <c:v>96.409545337423765</c:v>
                </c:pt>
                <c:pt idx="136">
                  <c:v>96.402499980465208</c:v>
                </c:pt>
                <c:pt idx="137">
                  <c:v>96.395382080640061</c:v>
                </c:pt>
                <c:pt idx="138">
                  <c:v>96.388193269474939</c:v>
                </c:pt>
                <c:pt idx="139">
                  <c:v>96.380935131843117</c:v>
                </c:pt>
                <c:pt idx="140">
                  <c:v>96.373609207619083</c:v>
                </c:pt>
                <c:pt idx="141">
                  <c:v>96.366216993263194</c:v>
                </c:pt>
                <c:pt idx="142">
                  <c:v>96.358759943339905</c:v>
                </c:pt>
                <c:pt idx="143">
                  <c:v>96.351239471972605</c:v>
                </c:pt>
                <c:pt idx="144">
                  <c:v>96.343656954238369</c:v>
                </c:pt>
                <c:pt idx="145">
                  <c:v>96.336013727505247</c:v>
                </c:pt>
                <c:pt idx="146">
                  <c:v>96.32831109271514</c:v>
                </c:pt>
                <c:pt idx="147">
                  <c:v>96.320550315614511</c:v>
                </c:pt>
                <c:pt idx="148">
                  <c:v>96.312732627935631</c:v>
                </c:pt>
                <c:pt idx="149">
                  <c:v>96.304859228530461</c:v>
                </c:pt>
                <c:pt idx="150">
                  <c:v>96.296931284459575</c:v>
                </c:pt>
              </c:numCache>
            </c:numRef>
          </c:yVal>
          <c:smooth val="0"/>
          <c:extLst>
            <c:ext xmlns:c16="http://schemas.microsoft.com/office/drawing/2014/chart" uri="{C3380CC4-5D6E-409C-BE32-E72D297353CC}">
              <c16:uniqueId val="{00000000-7DAF-432D-B540-E0424C156B7E}"/>
            </c:ext>
          </c:extLst>
        </c:ser>
        <c:dLbls>
          <c:showLegendKey val="0"/>
          <c:showVal val="0"/>
          <c:showCatName val="0"/>
          <c:showSerName val="0"/>
          <c:showPercent val="0"/>
          <c:showBubbleSize val="0"/>
        </c:dLbls>
        <c:axId val="522488064"/>
        <c:axId val="522489856"/>
      </c:scatterChart>
      <c:scatterChart>
        <c:scatterStyle val="smoothMarker"/>
        <c:varyColors val="0"/>
        <c:ser>
          <c:idx val="1"/>
          <c:order val="1"/>
          <c:tx>
            <c:v>LS MOSFET</c:v>
          </c:tx>
          <c:spPr>
            <a:ln>
              <a:solidFill>
                <a:schemeClr val="tx2">
                  <a:lumMod val="75000"/>
                </a:schemeClr>
              </a:solidFill>
              <a:prstDash val="dashDot"/>
            </a:ln>
          </c:spPr>
          <c:marker>
            <c:symbol val="none"/>
          </c:marker>
          <c:xVal>
            <c:numRef>
              <c:f>Eff_vs_IOUT!$S$7:$S$157</c:f>
              <c:numCache>
                <c:formatCode>General</c:formatCode>
                <c:ptCount val="151"/>
                <c:pt idx="0">
                  <c:v>0</c:v>
                </c:pt>
                <c:pt idx="1">
                  <c:v>2.777777777777778E-2</c:v>
                </c:pt>
                <c:pt idx="2">
                  <c:v>5.5555555555555559E-2</c:v>
                </c:pt>
                <c:pt idx="3">
                  <c:v>8.3333333333333343E-2</c:v>
                </c:pt>
                <c:pt idx="4">
                  <c:v>0.11111111111111112</c:v>
                </c:pt>
                <c:pt idx="5">
                  <c:v>0.1388888888888889</c:v>
                </c:pt>
                <c:pt idx="6">
                  <c:v>0.16666666666666669</c:v>
                </c:pt>
                <c:pt idx="7">
                  <c:v>0.19444444444444445</c:v>
                </c:pt>
                <c:pt idx="8">
                  <c:v>0.22222222222222224</c:v>
                </c:pt>
                <c:pt idx="9">
                  <c:v>0.25</c:v>
                </c:pt>
                <c:pt idx="10">
                  <c:v>0.27777777777777779</c:v>
                </c:pt>
                <c:pt idx="11">
                  <c:v>0.30555555555555558</c:v>
                </c:pt>
                <c:pt idx="12">
                  <c:v>0.33333333333333337</c:v>
                </c:pt>
                <c:pt idx="13">
                  <c:v>0.36111111111111116</c:v>
                </c:pt>
                <c:pt idx="14">
                  <c:v>0.3888888888888889</c:v>
                </c:pt>
                <c:pt idx="15">
                  <c:v>0.41666666666666669</c:v>
                </c:pt>
                <c:pt idx="16">
                  <c:v>0.44444444444444448</c:v>
                </c:pt>
                <c:pt idx="17">
                  <c:v>0.47222222222222227</c:v>
                </c:pt>
                <c:pt idx="18">
                  <c:v>0.5</c:v>
                </c:pt>
                <c:pt idx="19">
                  <c:v>0.52777777777777779</c:v>
                </c:pt>
                <c:pt idx="20">
                  <c:v>0.55555555555555558</c:v>
                </c:pt>
                <c:pt idx="21">
                  <c:v>0.58333333333333337</c:v>
                </c:pt>
                <c:pt idx="22">
                  <c:v>0.61111111111111116</c:v>
                </c:pt>
                <c:pt idx="23">
                  <c:v>0.63888888888888895</c:v>
                </c:pt>
                <c:pt idx="24">
                  <c:v>0.66666666666666674</c:v>
                </c:pt>
                <c:pt idx="25">
                  <c:v>0.69444444444444453</c:v>
                </c:pt>
                <c:pt idx="26">
                  <c:v>0.72222222222222232</c:v>
                </c:pt>
                <c:pt idx="27">
                  <c:v>0.75</c:v>
                </c:pt>
                <c:pt idx="28">
                  <c:v>0.77777777777777779</c:v>
                </c:pt>
                <c:pt idx="29">
                  <c:v>0.80555555555555558</c:v>
                </c:pt>
                <c:pt idx="30">
                  <c:v>0.83333333333333337</c:v>
                </c:pt>
                <c:pt idx="31">
                  <c:v>0.86111111111111116</c:v>
                </c:pt>
                <c:pt idx="32">
                  <c:v>0.88888888888888895</c:v>
                </c:pt>
                <c:pt idx="33">
                  <c:v>0.91666666666666674</c:v>
                </c:pt>
                <c:pt idx="34">
                  <c:v>0.94444444444444453</c:v>
                </c:pt>
                <c:pt idx="35">
                  <c:v>0.97222222222222232</c:v>
                </c:pt>
                <c:pt idx="36">
                  <c:v>1</c:v>
                </c:pt>
                <c:pt idx="37">
                  <c:v>1.0277777777777779</c:v>
                </c:pt>
                <c:pt idx="38">
                  <c:v>1.0555555555555556</c:v>
                </c:pt>
                <c:pt idx="39">
                  <c:v>1.0833333333333335</c:v>
                </c:pt>
                <c:pt idx="40">
                  <c:v>1.1111111111111112</c:v>
                </c:pt>
                <c:pt idx="41">
                  <c:v>1.1388888888888891</c:v>
                </c:pt>
                <c:pt idx="42">
                  <c:v>1.1666666666666667</c:v>
                </c:pt>
                <c:pt idx="43">
                  <c:v>1.1944444444444444</c:v>
                </c:pt>
                <c:pt idx="44">
                  <c:v>1.2222222222222223</c:v>
                </c:pt>
                <c:pt idx="45">
                  <c:v>1.25</c:v>
                </c:pt>
                <c:pt idx="46">
                  <c:v>1.2777777777777779</c:v>
                </c:pt>
                <c:pt idx="47">
                  <c:v>1.3055555555555556</c:v>
                </c:pt>
                <c:pt idx="48">
                  <c:v>1.3333333333333335</c:v>
                </c:pt>
                <c:pt idx="49">
                  <c:v>1.3611111111111112</c:v>
                </c:pt>
                <c:pt idx="50">
                  <c:v>1.3888888888888891</c:v>
                </c:pt>
                <c:pt idx="51">
                  <c:v>1.4166666666666667</c:v>
                </c:pt>
                <c:pt idx="52">
                  <c:v>1.4444444444444446</c:v>
                </c:pt>
                <c:pt idx="53">
                  <c:v>1.4722222222222223</c:v>
                </c:pt>
                <c:pt idx="54">
                  <c:v>1.5</c:v>
                </c:pt>
                <c:pt idx="55">
                  <c:v>1.5277777777777779</c:v>
                </c:pt>
                <c:pt idx="56">
                  <c:v>1.5555555555555556</c:v>
                </c:pt>
                <c:pt idx="57">
                  <c:v>1.5833333333333335</c:v>
                </c:pt>
                <c:pt idx="58">
                  <c:v>1.6111111111111112</c:v>
                </c:pt>
                <c:pt idx="59">
                  <c:v>1.6388888888888891</c:v>
                </c:pt>
                <c:pt idx="60">
                  <c:v>1.6666666666666667</c:v>
                </c:pt>
                <c:pt idx="61">
                  <c:v>1.6944444444444446</c:v>
                </c:pt>
                <c:pt idx="62">
                  <c:v>1.7222222222222223</c:v>
                </c:pt>
                <c:pt idx="63">
                  <c:v>1.7500000000000002</c:v>
                </c:pt>
                <c:pt idx="64">
                  <c:v>1.7777777777777779</c:v>
                </c:pt>
                <c:pt idx="65">
                  <c:v>1.8055555555555556</c:v>
                </c:pt>
                <c:pt idx="66">
                  <c:v>1.8333333333333335</c:v>
                </c:pt>
                <c:pt idx="67">
                  <c:v>1.8611111111111112</c:v>
                </c:pt>
                <c:pt idx="68">
                  <c:v>1.8888888888888891</c:v>
                </c:pt>
                <c:pt idx="69">
                  <c:v>1.9166666666666667</c:v>
                </c:pt>
                <c:pt idx="70">
                  <c:v>1.9444444444444446</c:v>
                </c:pt>
                <c:pt idx="71">
                  <c:v>1.9722222222222223</c:v>
                </c:pt>
                <c:pt idx="72">
                  <c:v>2</c:v>
                </c:pt>
                <c:pt idx="73">
                  <c:v>2.0277777777777781</c:v>
                </c:pt>
                <c:pt idx="74">
                  <c:v>2.0555555555555558</c:v>
                </c:pt>
                <c:pt idx="75">
                  <c:v>2.0833333333333335</c:v>
                </c:pt>
                <c:pt idx="76">
                  <c:v>2.1111111111111112</c:v>
                </c:pt>
                <c:pt idx="77">
                  <c:v>2.1388888888888888</c:v>
                </c:pt>
                <c:pt idx="78">
                  <c:v>2.166666666666667</c:v>
                </c:pt>
                <c:pt idx="79">
                  <c:v>2.1944444444444446</c:v>
                </c:pt>
                <c:pt idx="80">
                  <c:v>2.2222222222222223</c:v>
                </c:pt>
                <c:pt idx="81">
                  <c:v>2.25</c:v>
                </c:pt>
                <c:pt idx="82">
                  <c:v>2.2777777777777781</c:v>
                </c:pt>
                <c:pt idx="83">
                  <c:v>2.3055555555555558</c:v>
                </c:pt>
                <c:pt idx="84">
                  <c:v>2.3333333333333335</c:v>
                </c:pt>
                <c:pt idx="85">
                  <c:v>2.3611111111111112</c:v>
                </c:pt>
                <c:pt idx="86">
                  <c:v>2.3888888888888888</c:v>
                </c:pt>
                <c:pt idx="87">
                  <c:v>2.416666666666667</c:v>
                </c:pt>
                <c:pt idx="88">
                  <c:v>2.4444444444444446</c:v>
                </c:pt>
                <c:pt idx="89">
                  <c:v>2.4722222222222223</c:v>
                </c:pt>
                <c:pt idx="90">
                  <c:v>2.5</c:v>
                </c:pt>
                <c:pt idx="91">
                  <c:v>2.5277777777777781</c:v>
                </c:pt>
                <c:pt idx="92">
                  <c:v>2.5555555555555558</c:v>
                </c:pt>
                <c:pt idx="93">
                  <c:v>2.5833333333333335</c:v>
                </c:pt>
                <c:pt idx="94">
                  <c:v>2.6111111111111112</c:v>
                </c:pt>
                <c:pt idx="95">
                  <c:v>2.6388888888888893</c:v>
                </c:pt>
                <c:pt idx="96">
                  <c:v>2.666666666666667</c:v>
                </c:pt>
                <c:pt idx="97">
                  <c:v>2.6944444444444446</c:v>
                </c:pt>
                <c:pt idx="98">
                  <c:v>2.7222222222222223</c:v>
                </c:pt>
                <c:pt idx="99">
                  <c:v>2.75</c:v>
                </c:pt>
                <c:pt idx="100">
                  <c:v>2.7777777777777781</c:v>
                </c:pt>
                <c:pt idx="101">
                  <c:v>2.8055555555555558</c:v>
                </c:pt>
                <c:pt idx="102">
                  <c:v>2.8333333333333335</c:v>
                </c:pt>
                <c:pt idx="103">
                  <c:v>2.8611111111111112</c:v>
                </c:pt>
                <c:pt idx="104">
                  <c:v>2.8888888888888893</c:v>
                </c:pt>
                <c:pt idx="105">
                  <c:v>2.916666666666667</c:v>
                </c:pt>
                <c:pt idx="106">
                  <c:v>2.9444444444444446</c:v>
                </c:pt>
                <c:pt idx="107">
                  <c:v>2.9722222222222223</c:v>
                </c:pt>
                <c:pt idx="108">
                  <c:v>3</c:v>
                </c:pt>
                <c:pt idx="109">
                  <c:v>3.0277777777777781</c:v>
                </c:pt>
                <c:pt idx="110">
                  <c:v>3.0555555555555558</c:v>
                </c:pt>
                <c:pt idx="111">
                  <c:v>3.0833333333333335</c:v>
                </c:pt>
                <c:pt idx="112">
                  <c:v>3.1111111111111112</c:v>
                </c:pt>
                <c:pt idx="113">
                  <c:v>3.1388888888888893</c:v>
                </c:pt>
                <c:pt idx="114">
                  <c:v>3.166666666666667</c:v>
                </c:pt>
                <c:pt idx="115">
                  <c:v>3.1944444444444446</c:v>
                </c:pt>
                <c:pt idx="116">
                  <c:v>3.2222222222222223</c:v>
                </c:pt>
                <c:pt idx="117">
                  <c:v>3.2500000000000004</c:v>
                </c:pt>
                <c:pt idx="118">
                  <c:v>3.2777777777777781</c:v>
                </c:pt>
                <c:pt idx="119">
                  <c:v>3.3055555555555558</c:v>
                </c:pt>
                <c:pt idx="120">
                  <c:v>3.3333333333333335</c:v>
                </c:pt>
                <c:pt idx="121">
                  <c:v>3.3611111111111112</c:v>
                </c:pt>
                <c:pt idx="122">
                  <c:v>3.3888888888888893</c:v>
                </c:pt>
                <c:pt idx="123">
                  <c:v>3.416666666666667</c:v>
                </c:pt>
                <c:pt idx="124">
                  <c:v>3.4444444444444446</c:v>
                </c:pt>
                <c:pt idx="125">
                  <c:v>3.4722222222222223</c:v>
                </c:pt>
                <c:pt idx="126">
                  <c:v>3.5000000000000004</c:v>
                </c:pt>
                <c:pt idx="127">
                  <c:v>3.5277777777777781</c:v>
                </c:pt>
                <c:pt idx="128">
                  <c:v>3.5555555555555558</c:v>
                </c:pt>
                <c:pt idx="129">
                  <c:v>3.5833333333333335</c:v>
                </c:pt>
                <c:pt idx="130">
                  <c:v>3.6111111111111112</c:v>
                </c:pt>
                <c:pt idx="131">
                  <c:v>3.6388888888888893</c:v>
                </c:pt>
                <c:pt idx="132">
                  <c:v>3.666666666666667</c:v>
                </c:pt>
                <c:pt idx="133">
                  <c:v>3.6944444444444446</c:v>
                </c:pt>
                <c:pt idx="134">
                  <c:v>3.7222222222222223</c:v>
                </c:pt>
                <c:pt idx="135">
                  <c:v>3.7500000000000004</c:v>
                </c:pt>
                <c:pt idx="136">
                  <c:v>3.7777777777777781</c:v>
                </c:pt>
                <c:pt idx="137">
                  <c:v>3.8055555555555558</c:v>
                </c:pt>
                <c:pt idx="138">
                  <c:v>3.8333333333333335</c:v>
                </c:pt>
                <c:pt idx="139">
                  <c:v>3.8611111111111112</c:v>
                </c:pt>
                <c:pt idx="140">
                  <c:v>3.8888888888888893</c:v>
                </c:pt>
                <c:pt idx="141">
                  <c:v>3.916666666666667</c:v>
                </c:pt>
                <c:pt idx="142">
                  <c:v>3.9444444444444446</c:v>
                </c:pt>
                <c:pt idx="143">
                  <c:v>3.9722222222222223</c:v>
                </c:pt>
                <c:pt idx="144">
                  <c:v>4</c:v>
                </c:pt>
                <c:pt idx="145">
                  <c:v>4.0277777777777777</c:v>
                </c:pt>
                <c:pt idx="146">
                  <c:v>4.0555555555555562</c:v>
                </c:pt>
                <c:pt idx="147">
                  <c:v>4.0833333333333339</c:v>
                </c:pt>
                <c:pt idx="148">
                  <c:v>4.1111111111111116</c:v>
                </c:pt>
                <c:pt idx="149">
                  <c:v>4.1388888888888893</c:v>
                </c:pt>
                <c:pt idx="150">
                  <c:v>4.166666666666667</c:v>
                </c:pt>
              </c:numCache>
            </c:numRef>
          </c:xVal>
          <c:yVal>
            <c:numRef>
              <c:f>Eff_vs_IOUT!$AI$7:$AI$157</c:f>
              <c:numCache>
                <c:formatCode>General</c:formatCode>
                <c:ptCount val="151"/>
                <c:pt idx="0">
                  <c:v>0</c:v>
                </c:pt>
                <c:pt idx="1">
                  <c:v>7.8575621734463044E-3</c:v>
                </c:pt>
                <c:pt idx="2">
                  <c:v>1.5857956532581666E-2</c:v>
                </c:pt>
                <c:pt idx="3">
                  <c:v>2.3951333285119343E-2</c:v>
                </c:pt>
                <c:pt idx="4">
                  <c:v>3.2119903493453034E-2</c:v>
                </c:pt>
                <c:pt idx="5">
                  <c:v>4.0353386133979541E-2</c:v>
                </c:pt>
                <c:pt idx="6">
                  <c:v>4.8644844377947347E-2</c:v>
                </c:pt>
                <c:pt idx="7">
                  <c:v>5.6989185722910889E-2</c:v>
                </c:pt>
                <c:pt idx="8">
                  <c:v>6.5382464472418494E-2</c:v>
                </c:pt>
                <c:pt idx="9">
                  <c:v>7.3821506159521891E-2</c:v>
                </c:pt>
                <c:pt idx="10">
                  <c:v>8.2303684650837067E-2</c:v>
                </c:pt>
                <c:pt idx="11">
                  <c:v>9.0826780273578975E-2</c:v>
                </c:pt>
                <c:pt idx="12">
                  <c:v>9.9388884598602525E-2</c:v>
                </c:pt>
                <c:pt idx="13">
                  <c:v>0.10798833381924104</c:v>
                </c:pt>
                <c:pt idx="14">
                  <c:v>0.11662366054366502</c:v>
                </c:pt>
                <c:pt idx="15">
                  <c:v>0.12529355792948571</c:v>
                </c:pt>
                <c:pt idx="16">
                  <c:v>0.13399685237115463</c:v>
                </c:pt>
                <c:pt idx="17">
                  <c:v>0.14273248228303842</c:v>
                </c:pt>
                <c:pt idx="18">
                  <c:v>0.15149948133264823</c:v>
                </c:pt>
                <c:pt idx="19">
                  <c:v>0.16030317841485167</c:v>
                </c:pt>
                <c:pt idx="20">
                  <c:v>0.16916528162089131</c:v>
                </c:pt>
                <c:pt idx="21">
                  <c:v>0.17808774147988021</c:v>
                </c:pt>
                <c:pt idx="22">
                  <c:v>0.18707055799181835</c:v>
                </c:pt>
                <c:pt idx="23">
                  <c:v>0.19611373115670569</c:v>
                </c:pt>
                <c:pt idx="24">
                  <c:v>0.20521726097454229</c:v>
                </c:pt>
                <c:pt idx="25">
                  <c:v>0.21438114744532821</c:v>
                </c:pt>
                <c:pt idx="26">
                  <c:v>0.22360539056906331</c:v>
                </c:pt>
                <c:pt idx="27">
                  <c:v>0.23288999034574764</c:v>
                </c:pt>
                <c:pt idx="28">
                  <c:v>0.24223494677538127</c:v>
                </c:pt>
                <c:pt idx="29">
                  <c:v>0.25164025985796407</c:v>
                </c:pt>
                <c:pt idx="30">
                  <c:v>0.26110592959349621</c:v>
                </c:pt>
                <c:pt idx="31">
                  <c:v>0.27063195598197753</c:v>
                </c:pt>
                <c:pt idx="32">
                  <c:v>0.28021833902340815</c:v>
                </c:pt>
                <c:pt idx="33">
                  <c:v>0.28986507871778799</c:v>
                </c:pt>
                <c:pt idx="34">
                  <c:v>0.29957217506511702</c:v>
                </c:pt>
                <c:pt idx="35">
                  <c:v>0.30933962806539539</c:v>
                </c:pt>
                <c:pt idx="36">
                  <c:v>0.31916743771862294</c:v>
                </c:pt>
                <c:pt idx="37">
                  <c:v>0.32905560402479983</c:v>
                </c:pt>
                <c:pt idx="38">
                  <c:v>0.33900412698392579</c:v>
                </c:pt>
                <c:pt idx="39">
                  <c:v>0.3490130065960011</c:v>
                </c:pt>
                <c:pt idx="40">
                  <c:v>0.35908224286102564</c:v>
                </c:pt>
                <c:pt idx="41">
                  <c:v>0.36921183577899941</c:v>
                </c:pt>
                <c:pt idx="42">
                  <c:v>0.37940178534992253</c:v>
                </c:pt>
                <c:pt idx="43">
                  <c:v>0.38965209157379477</c:v>
                </c:pt>
                <c:pt idx="44">
                  <c:v>0.39996275445061635</c:v>
                </c:pt>
                <c:pt idx="45">
                  <c:v>0.41033377398038706</c:v>
                </c:pt>
                <c:pt idx="46">
                  <c:v>0.42076515016310712</c:v>
                </c:pt>
                <c:pt idx="47">
                  <c:v>0.4312568829987764</c:v>
                </c:pt>
                <c:pt idx="48">
                  <c:v>0.44180897248739481</c:v>
                </c:pt>
                <c:pt idx="49">
                  <c:v>0.45242141862896273</c:v>
                </c:pt>
                <c:pt idx="50">
                  <c:v>0.46309422142347978</c:v>
                </c:pt>
                <c:pt idx="51">
                  <c:v>0.47382738087094584</c:v>
                </c:pt>
                <c:pt idx="52">
                  <c:v>0.48462089697136146</c:v>
                </c:pt>
                <c:pt idx="53">
                  <c:v>0.49547476972472626</c:v>
                </c:pt>
                <c:pt idx="54">
                  <c:v>0.50638899913104019</c:v>
                </c:pt>
                <c:pt idx="55">
                  <c:v>0.51736358519030334</c:v>
                </c:pt>
                <c:pt idx="56">
                  <c:v>0.52839852790251585</c:v>
                </c:pt>
                <c:pt idx="57">
                  <c:v>0.53949382726767758</c:v>
                </c:pt>
                <c:pt idx="58">
                  <c:v>0.55064948328578855</c:v>
                </c:pt>
                <c:pt idx="59">
                  <c:v>0.56186549595684876</c:v>
                </c:pt>
                <c:pt idx="60">
                  <c:v>0.5731418652808582</c:v>
                </c:pt>
                <c:pt idx="61">
                  <c:v>0.58447859125781698</c:v>
                </c:pt>
                <c:pt idx="62">
                  <c:v>0.59587567388772489</c:v>
                </c:pt>
                <c:pt idx="63">
                  <c:v>0.60733311317058225</c:v>
                </c:pt>
                <c:pt idx="64">
                  <c:v>0.61885090910638862</c:v>
                </c:pt>
                <c:pt idx="65">
                  <c:v>0.63042906169514423</c:v>
                </c:pt>
                <c:pt idx="66">
                  <c:v>0.64206757093684919</c:v>
                </c:pt>
                <c:pt idx="67">
                  <c:v>0.65376643683150337</c:v>
                </c:pt>
                <c:pt idx="68">
                  <c:v>0.66552565937910679</c:v>
                </c:pt>
                <c:pt idx="69">
                  <c:v>0.67734523857965934</c:v>
                </c:pt>
                <c:pt idx="70">
                  <c:v>0.68922517443316134</c:v>
                </c:pt>
                <c:pt idx="71">
                  <c:v>0.70116546693961257</c:v>
                </c:pt>
                <c:pt idx="72">
                  <c:v>0.71316611609901281</c:v>
                </c:pt>
                <c:pt idx="73">
                  <c:v>0.72522712191136263</c:v>
                </c:pt>
                <c:pt idx="74">
                  <c:v>0.73734848437666156</c:v>
                </c:pt>
                <c:pt idx="75">
                  <c:v>0.7495302034949094</c:v>
                </c:pt>
                <c:pt idx="76">
                  <c:v>0.76177227926610702</c:v>
                </c:pt>
                <c:pt idx="77">
                  <c:v>0.77407471169025355</c:v>
                </c:pt>
                <c:pt idx="78">
                  <c:v>0.78643750076734964</c:v>
                </c:pt>
                <c:pt idx="79">
                  <c:v>0.79886064649739463</c:v>
                </c:pt>
                <c:pt idx="80">
                  <c:v>0.81134414888038908</c:v>
                </c:pt>
                <c:pt idx="81">
                  <c:v>0.82388800791633265</c:v>
                </c:pt>
                <c:pt idx="82">
                  <c:v>0.83649222360522546</c:v>
                </c:pt>
                <c:pt idx="83">
                  <c:v>0.84915679594706761</c:v>
                </c:pt>
                <c:pt idx="84">
                  <c:v>0.861881724941859</c:v>
                </c:pt>
                <c:pt idx="85">
                  <c:v>0.87466701058959961</c:v>
                </c:pt>
                <c:pt idx="86">
                  <c:v>0.88751265289028936</c:v>
                </c:pt>
                <c:pt idx="87">
                  <c:v>0.90041865184392866</c:v>
                </c:pt>
                <c:pt idx="88">
                  <c:v>0.91338500745051709</c:v>
                </c:pt>
                <c:pt idx="89">
                  <c:v>0.92641171971005432</c:v>
                </c:pt>
                <c:pt idx="90">
                  <c:v>0.93949878862254121</c:v>
                </c:pt>
                <c:pt idx="91">
                  <c:v>0.95264621418797757</c:v>
                </c:pt>
                <c:pt idx="92">
                  <c:v>0.96585399640636271</c:v>
                </c:pt>
                <c:pt idx="93">
                  <c:v>0.97912213527769731</c:v>
                </c:pt>
                <c:pt idx="94">
                  <c:v>0.99245063080198104</c:v>
                </c:pt>
                <c:pt idx="95">
                  <c:v>1.0058394829792143</c:v>
                </c:pt>
                <c:pt idx="96">
                  <c:v>1.0192886918093964</c:v>
                </c:pt>
                <c:pt idx="97">
                  <c:v>1.0327982572925281</c:v>
                </c:pt>
                <c:pt idx="98">
                  <c:v>1.046368179428609</c:v>
                </c:pt>
                <c:pt idx="99">
                  <c:v>1.0599984582176387</c:v>
                </c:pt>
                <c:pt idx="100">
                  <c:v>1.0736890936596184</c:v>
                </c:pt>
                <c:pt idx="101">
                  <c:v>1.0874400857545468</c:v>
                </c:pt>
                <c:pt idx="102">
                  <c:v>1.1012514345024242</c:v>
                </c:pt>
                <c:pt idx="103">
                  <c:v>1.1151231399032515</c:v>
                </c:pt>
                <c:pt idx="104">
                  <c:v>1.1290552019570277</c:v>
                </c:pt>
                <c:pt idx="105">
                  <c:v>1.143047620663753</c:v>
                </c:pt>
                <c:pt idx="106">
                  <c:v>1.1571003960234281</c:v>
                </c:pt>
                <c:pt idx="107">
                  <c:v>1.1712135280360523</c:v>
                </c:pt>
                <c:pt idx="108">
                  <c:v>1.1853870167016252</c:v>
                </c:pt>
                <c:pt idx="109">
                  <c:v>1.1996208620201476</c:v>
                </c:pt>
                <c:pt idx="110">
                  <c:v>1.2139150639916196</c:v>
                </c:pt>
                <c:pt idx="111">
                  <c:v>1.2282696226160403</c:v>
                </c:pt>
                <c:pt idx="112">
                  <c:v>1.2426845378934108</c:v>
                </c:pt>
                <c:pt idx="113">
                  <c:v>1.2571598098237302</c:v>
                </c:pt>
                <c:pt idx="114">
                  <c:v>1.2716954384069987</c:v>
                </c:pt>
                <c:pt idx="115">
                  <c:v>1.286291423643217</c:v>
                </c:pt>
                <c:pt idx="116">
                  <c:v>1.3009477655323838</c:v>
                </c:pt>
                <c:pt idx="117">
                  <c:v>1.3156644640745006</c:v>
                </c:pt>
                <c:pt idx="118">
                  <c:v>1.330441519269566</c:v>
                </c:pt>
                <c:pt idx="119">
                  <c:v>1.3452789311175815</c:v>
                </c:pt>
                <c:pt idx="120">
                  <c:v>1.3601766996185456</c:v>
                </c:pt>
                <c:pt idx="121">
                  <c:v>1.3751348247724589</c:v>
                </c:pt>
                <c:pt idx="122">
                  <c:v>1.3901533065793217</c:v>
                </c:pt>
                <c:pt idx="123">
                  <c:v>1.4052321450391334</c:v>
                </c:pt>
                <c:pt idx="124">
                  <c:v>1.4203713401518945</c:v>
                </c:pt>
                <c:pt idx="125">
                  <c:v>1.4355708919176049</c:v>
                </c:pt>
                <c:pt idx="126">
                  <c:v>1.4508308003362651</c:v>
                </c:pt>
                <c:pt idx="127">
                  <c:v>1.466151065407874</c:v>
                </c:pt>
                <c:pt idx="128">
                  <c:v>1.4815316871324318</c:v>
                </c:pt>
                <c:pt idx="129">
                  <c:v>1.4969726655099387</c:v>
                </c:pt>
                <c:pt idx="130">
                  <c:v>1.5124740005403958</c:v>
                </c:pt>
                <c:pt idx="131">
                  <c:v>1.5280356922238016</c:v>
                </c:pt>
                <c:pt idx="132">
                  <c:v>1.5436577405601573</c:v>
                </c:pt>
                <c:pt idx="133">
                  <c:v>1.5593401455494613</c:v>
                </c:pt>
                <c:pt idx="134">
                  <c:v>1.575082907191715</c:v>
                </c:pt>
                <c:pt idx="135">
                  <c:v>1.5908860254869182</c:v>
                </c:pt>
                <c:pt idx="136">
                  <c:v>1.6067495004350696</c:v>
                </c:pt>
                <c:pt idx="137">
                  <c:v>1.6226733320361713</c:v>
                </c:pt>
                <c:pt idx="138">
                  <c:v>1.6386575202902214</c:v>
                </c:pt>
                <c:pt idx="139">
                  <c:v>1.6547020651972222</c:v>
                </c:pt>
                <c:pt idx="140">
                  <c:v>1.6708069667571708</c:v>
                </c:pt>
                <c:pt idx="141">
                  <c:v>1.6869722249700692</c:v>
                </c:pt>
                <c:pt idx="142">
                  <c:v>1.7031978398359167</c:v>
                </c:pt>
                <c:pt idx="143">
                  <c:v>1.7194838113547135</c:v>
                </c:pt>
                <c:pt idx="144">
                  <c:v>1.7358301395264593</c:v>
                </c:pt>
                <c:pt idx="145">
                  <c:v>1.7522368243511548</c:v>
                </c:pt>
                <c:pt idx="146">
                  <c:v>1.7687038658288001</c:v>
                </c:pt>
                <c:pt idx="147">
                  <c:v>1.7852312639593937</c:v>
                </c:pt>
                <c:pt idx="148">
                  <c:v>1.801819018742937</c:v>
                </c:pt>
                <c:pt idx="149">
                  <c:v>1.8184671301794291</c:v>
                </c:pt>
                <c:pt idx="150">
                  <c:v>1.83517559826887</c:v>
                </c:pt>
              </c:numCache>
            </c:numRef>
          </c:yVal>
          <c:smooth val="1"/>
          <c:extLst>
            <c:ext xmlns:c16="http://schemas.microsoft.com/office/drawing/2014/chart" uri="{C3380CC4-5D6E-409C-BE32-E72D297353CC}">
              <c16:uniqueId val="{00000001-7DAF-432D-B540-E0424C156B7E}"/>
            </c:ext>
          </c:extLst>
        </c:ser>
        <c:ser>
          <c:idx val="2"/>
          <c:order val="2"/>
          <c:tx>
            <c:v>HS MOSFET</c:v>
          </c:tx>
          <c:spPr>
            <a:ln>
              <a:solidFill>
                <a:schemeClr val="bg2">
                  <a:lumMod val="50000"/>
                </a:schemeClr>
              </a:solidFill>
              <a:prstDash val="sysDash"/>
            </a:ln>
          </c:spPr>
          <c:marker>
            <c:symbol val="none"/>
          </c:marker>
          <c:xVal>
            <c:numRef>
              <c:f>Eff_vs_IOUT!$S$7:$S$157</c:f>
              <c:numCache>
                <c:formatCode>General</c:formatCode>
                <c:ptCount val="151"/>
                <c:pt idx="0">
                  <c:v>0</c:v>
                </c:pt>
                <c:pt idx="1">
                  <c:v>2.777777777777778E-2</c:v>
                </c:pt>
                <c:pt idx="2">
                  <c:v>5.5555555555555559E-2</c:v>
                </c:pt>
                <c:pt idx="3">
                  <c:v>8.3333333333333343E-2</c:v>
                </c:pt>
                <c:pt idx="4">
                  <c:v>0.11111111111111112</c:v>
                </c:pt>
                <c:pt idx="5">
                  <c:v>0.1388888888888889</c:v>
                </c:pt>
                <c:pt idx="6">
                  <c:v>0.16666666666666669</c:v>
                </c:pt>
                <c:pt idx="7">
                  <c:v>0.19444444444444445</c:v>
                </c:pt>
                <c:pt idx="8">
                  <c:v>0.22222222222222224</c:v>
                </c:pt>
                <c:pt idx="9">
                  <c:v>0.25</c:v>
                </c:pt>
                <c:pt idx="10">
                  <c:v>0.27777777777777779</c:v>
                </c:pt>
                <c:pt idx="11">
                  <c:v>0.30555555555555558</c:v>
                </c:pt>
                <c:pt idx="12">
                  <c:v>0.33333333333333337</c:v>
                </c:pt>
                <c:pt idx="13">
                  <c:v>0.36111111111111116</c:v>
                </c:pt>
                <c:pt idx="14">
                  <c:v>0.3888888888888889</c:v>
                </c:pt>
                <c:pt idx="15">
                  <c:v>0.41666666666666669</c:v>
                </c:pt>
                <c:pt idx="16">
                  <c:v>0.44444444444444448</c:v>
                </c:pt>
                <c:pt idx="17">
                  <c:v>0.47222222222222227</c:v>
                </c:pt>
                <c:pt idx="18">
                  <c:v>0.5</c:v>
                </c:pt>
                <c:pt idx="19">
                  <c:v>0.52777777777777779</c:v>
                </c:pt>
                <c:pt idx="20">
                  <c:v>0.55555555555555558</c:v>
                </c:pt>
                <c:pt idx="21">
                  <c:v>0.58333333333333337</c:v>
                </c:pt>
                <c:pt idx="22">
                  <c:v>0.61111111111111116</c:v>
                </c:pt>
                <c:pt idx="23">
                  <c:v>0.63888888888888895</c:v>
                </c:pt>
                <c:pt idx="24">
                  <c:v>0.66666666666666674</c:v>
                </c:pt>
                <c:pt idx="25">
                  <c:v>0.69444444444444453</c:v>
                </c:pt>
                <c:pt idx="26">
                  <c:v>0.72222222222222232</c:v>
                </c:pt>
                <c:pt idx="27">
                  <c:v>0.75</c:v>
                </c:pt>
                <c:pt idx="28">
                  <c:v>0.77777777777777779</c:v>
                </c:pt>
                <c:pt idx="29">
                  <c:v>0.80555555555555558</c:v>
                </c:pt>
                <c:pt idx="30">
                  <c:v>0.83333333333333337</c:v>
                </c:pt>
                <c:pt idx="31">
                  <c:v>0.86111111111111116</c:v>
                </c:pt>
                <c:pt idx="32">
                  <c:v>0.88888888888888895</c:v>
                </c:pt>
                <c:pt idx="33">
                  <c:v>0.91666666666666674</c:v>
                </c:pt>
                <c:pt idx="34">
                  <c:v>0.94444444444444453</c:v>
                </c:pt>
                <c:pt idx="35">
                  <c:v>0.97222222222222232</c:v>
                </c:pt>
                <c:pt idx="36">
                  <c:v>1</c:v>
                </c:pt>
                <c:pt idx="37">
                  <c:v>1.0277777777777779</c:v>
                </c:pt>
                <c:pt idx="38">
                  <c:v>1.0555555555555556</c:v>
                </c:pt>
                <c:pt idx="39">
                  <c:v>1.0833333333333335</c:v>
                </c:pt>
                <c:pt idx="40">
                  <c:v>1.1111111111111112</c:v>
                </c:pt>
                <c:pt idx="41">
                  <c:v>1.1388888888888891</c:v>
                </c:pt>
                <c:pt idx="42">
                  <c:v>1.1666666666666667</c:v>
                </c:pt>
                <c:pt idx="43">
                  <c:v>1.1944444444444444</c:v>
                </c:pt>
                <c:pt idx="44">
                  <c:v>1.2222222222222223</c:v>
                </c:pt>
                <c:pt idx="45">
                  <c:v>1.25</c:v>
                </c:pt>
                <c:pt idx="46">
                  <c:v>1.2777777777777779</c:v>
                </c:pt>
                <c:pt idx="47">
                  <c:v>1.3055555555555556</c:v>
                </c:pt>
                <c:pt idx="48">
                  <c:v>1.3333333333333335</c:v>
                </c:pt>
                <c:pt idx="49">
                  <c:v>1.3611111111111112</c:v>
                </c:pt>
                <c:pt idx="50">
                  <c:v>1.3888888888888891</c:v>
                </c:pt>
                <c:pt idx="51">
                  <c:v>1.4166666666666667</c:v>
                </c:pt>
                <c:pt idx="52">
                  <c:v>1.4444444444444446</c:v>
                </c:pt>
                <c:pt idx="53">
                  <c:v>1.4722222222222223</c:v>
                </c:pt>
                <c:pt idx="54">
                  <c:v>1.5</c:v>
                </c:pt>
                <c:pt idx="55">
                  <c:v>1.5277777777777779</c:v>
                </c:pt>
                <c:pt idx="56">
                  <c:v>1.5555555555555556</c:v>
                </c:pt>
                <c:pt idx="57">
                  <c:v>1.5833333333333335</c:v>
                </c:pt>
                <c:pt idx="58">
                  <c:v>1.6111111111111112</c:v>
                </c:pt>
                <c:pt idx="59">
                  <c:v>1.6388888888888891</c:v>
                </c:pt>
                <c:pt idx="60">
                  <c:v>1.6666666666666667</c:v>
                </c:pt>
                <c:pt idx="61">
                  <c:v>1.6944444444444446</c:v>
                </c:pt>
                <c:pt idx="62">
                  <c:v>1.7222222222222223</c:v>
                </c:pt>
                <c:pt idx="63">
                  <c:v>1.7500000000000002</c:v>
                </c:pt>
                <c:pt idx="64">
                  <c:v>1.7777777777777779</c:v>
                </c:pt>
                <c:pt idx="65">
                  <c:v>1.8055555555555556</c:v>
                </c:pt>
                <c:pt idx="66">
                  <c:v>1.8333333333333335</c:v>
                </c:pt>
                <c:pt idx="67">
                  <c:v>1.8611111111111112</c:v>
                </c:pt>
                <c:pt idx="68">
                  <c:v>1.8888888888888891</c:v>
                </c:pt>
                <c:pt idx="69">
                  <c:v>1.9166666666666667</c:v>
                </c:pt>
                <c:pt idx="70">
                  <c:v>1.9444444444444446</c:v>
                </c:pt>
                <c:pt idx="71">
                  <c:v>1.9722222222222223</c:v>
                </c:pt>
                <c:pt idx="72">
                  <c:v>2</c:v>
                </c:pt>
                <c:pt idx="73">
                  <c:v>2.0277777777777781</c:v>
                </c:pt>
                <c:pt idx="74">
                  <c:v>2.0555555555555558</c:v>
                </c:pt>
                <c:pt idx="75">
                  <c:v>2.0833333333333335</c:v>
                </c:pt>
                <c:pt idx="76">
                  <c:v>2.1111111111111112</c:v>
                </c:pt>
                <c:pt idx="77">
                  <c:v>2.1388888888888888</c:v>
                </c:pt>
                <c:pt idx="78">
                  <c:v>2.166666666666667</c:v>
                </c:pt>
                <c:pt idx="79">
                  <c:v>2.1944444444444446</c:v>
                </c:pt>
                <c:pt idx="80">
                  <c:v>2.2222222222222223</c:v>
                </c:pt>
                <c:pt idx="81">
                  <c:v>2.25</c:v>
                </c:pt>
                <c:pt idx="82">
                  <c:v>2.2777777777777781</c:v>
                </c:pt>
                <c:pt idx="83">
                  <c:v>2.3055555555555558</c:v>
                </c:pt>
                <c:pt idx="84">
                  <c:v>2.3333333333333335</c:v>
                </c:pt>
                <c:pt idx="85">
                  <c:v>2.3611111111111112</c:v>
                </c:pt>
                <c:pt idx="86">
                  <c:v>2.3888888888888888</c:v>
                </c:pt>
                <c:pt idx="87">
                  <c:v>2.416666666666667</c:v>
                </c:pt>
                <c:pt idx="88">
                  <c:v>2.4444444444444446</c:v>
                </c:pt>
                <c:pt idx="89">
                  <c:v>2.4722222222222223</c:v>
                </c:pt>
                <c:pt idx="90">
                  <c:v>2.5</c:v>
                </c:pt>
                <c:pt idx="91">
                  <c:v>2.5277777777777781</c:v>
                </c:pt>
                <c:pt idx="92">
                  <c:v>2.5555555555555558</c:v>
                </c:pt>
                <c:pt idx="93">
                  <c:v>2.5833333333333335</c:v>
                </c:pt>
                <c:pt idx="94">
                  <c:v>2.6111111111111112</c:v>
                </c:pt>
                <c:pt idx="95">
                  <c:v>2.6388888888888893</c:v>
                </c:pt>
                <c:pt idx="96">
                  <c:v>2.666666666666667</c:v>
                </c:pt>
                <c:pt idx="97">
                  <c:v>2.6944444444444446</c:v>
                </c:pt>
                <c:pt idx="98">
                  <c:v>2.7222222222222223</c:v>
                </c:pt>
                <c:pt idx="99">
                  <c:v>2.75</c:v>
                </c:pt>
                <c:pt idx="100">
                  <c:v>2.7777777777777781</c:v>
                </c:pt>
                <c:pt idx="101">
                  <c:v>2.8055555555555558</c:v>
                </c:pt>
                <c:pt idx="102">
                  <c:v>2.8333333333333335</c:v>
                </c:pt>
                <c:pt idx="103">
                  <c:v>2.8611111111111112</c:v>
                </c:pt>
                <c:pt idx="104">
                  <c:v>2.8888888888888893</c:v>
                </c:pt>
                <c:pt idx="105">
                  <c:v>2.916666666666667</c:v>
                </c:pt>
                <c:pt idx="106">
                  <c:v>2.9444444444444446</c:v>
                </c:pt>
                <c:pt idx="107">
                  <c:v>2.9722222222222223</c:v>
                </c:pt>
                <c:pt idx="108">
                  <c:v>3</c:v>
                </c:pt>
                <c:pt idx="109">
                  <c:v>3.0277777777777781</c:v>
                </c:pt>
                <c:pt idx="110">
                  <c:v>3.0555555555555558</c:v>
                </c:pt>
                <c:pt idx="111">
                  <c:v>3.0833333333333335</c:v>
                </c:pt>
                <c:pt idx="112">
                  <c:v>3.1111111111111112</c:v>
                </c:pt>
                <c:pt idx="113">
                  <c:v>3.1388888888888893</c:v>
                </c:pt>
                <c:pt idx="114">
                  <c:v>3.166666666666667</c:v>
                </c:pt>
                <c:pt idx="115">
                  <c:v>3.1944444444444446</c:v>
                </c:pt>
                <c:pt idx="116">
                  <c:v>3.2222222222222223</c:v>
                </c:pt>
                <c:pt idx="117">
                  <c:v>3.2500000000000004</c:v>
                </c:pt>
                <c:pt idx="118">
                  <c:v>3.2777777777777781</c:v>
                </c:pt>
                <c:pt idx="119">
                  <c:v>3.3055555555555558</c:v>
                </c:pt>
                <c:pt idx="120">
                  <c:v>3.3333333333333335</c:v>
                </c:pt>
                <c:pt idx="121">
                  <c:v>3.3611111111111112</c:v>
                </c:pt>
                <c:pt idx="122">
                  <c:v>3.3888888888888893</c:v>
                </c:pt>
                <c:pt idx="123">
                  <c:v>3.416666666666667</c:v>
                </c:pt>
                <c:pt idx="124">
                  <c:v>3.4444444444444446</c:v>
                </c:pt>
                <c:pt idx="125">
                  <c:v>3.4722222222222223</c:v>
                </c:pt>
                <c:pt idx="126">
                  <c:v>3.5000000000000004</c:v>
                </c:pt>
                <c:pt idx="127">
                  <c:v>3.5277777777777781</c:v>
                </c:pt>
                <c:pt idx="128">
                  <c:v>3.5555555555555558</c:v>
                </c:pt>
                <c:pt idx="129">
                  <c:v>3.5833333333333335</c:v>
                </c:pt>
                <c:pt idx="130">
                  <c:v>3.6111111111111112</c:v>
                </c:pt>
                <c:pt idx="131">
                  <c:v>3.6388888888888893</c:v>
                </c:pt>
                <c:pt idx="132">
                  <c:v>3.666666666666667</c:v>
                </c:pt>
                <c:pt idx="133">
                  <c:v>3.6944444444444446</c:v>
                </c:pt>
                <c:pt idx="134">
                  <c:v>3.7222222222222223</c:v>
                </c:pt>
                <c:pt idx="135">
                  <c:v>3.7500000000000004</c:v>
                </c:pt>
                <c:pt idx="136">
                  <c:v>3.7777777777777781</c:v>
                </c:pt>
                <c:pt idx="137">
                  <c:v>3.8055555555555558</c:v>
                </c:pt>
                <c:pt idx="138">
                  <c:v>3.8333333333333335</c:v>
                </c:pt>
                <c:pt idx="139">
                  <c:v>3.8611111111111112</c:v>
                </c:pt>
                <c:pt idx="140">
                  <c:v>3.8888888888888893</c:v>
                </c:pt>
                <c:pt idx="141">
                  <c:v>3.916666666666667</c:v>
                </c:pt>
                <c:pt idx="142">
                  <c:v>3.9444444444444446</c:v>
                </c:pt>
                <c:pt idx="143">
                  <c:v>3.9722222222222223</c:v>
                </c:pt>
                <c:pt idx="144">
                  <c:v>4</c:v>
                </c:pt>
                <c:pt idx="145">
                  <c:v>4.0277777777777777</c:v>
                </c:pt>
                <c:pt idx="146">
                  <c:v>4.0555555555555562</c:v>
                </c:pt>
                <c:pt idx="147">
                  <c:v>4.0833333333333339</c:v>
                </c:pt>
                <c:pt idx="148">
                  <c:v>4.1111111111111116</c:v>
                </c:pt>
                <c:pt idx="149">
                  <c:v>4.1388888888888893</c:v>
                </c:pt>
                <c:pt idx="150">
                  <c:v>4.166666666666667</c:v>
                </c:pt>
              </c:numCache>
            </c:numRef>
          </c:xVal>
          <c:yVal>
            <c:numRef>
              <c:f>Eff_vs_IOUT!$AO$7:$AO$157</c:f>
              <c:numCache>
                <c:formatCode>General</c:formatCode>
                <c:ptCount val="151"/>
                <c:pt idx="0">
                  <c:v>0</c:v>
                </c:pt>
                <c:pt idx="1">
                  <c:v>0.36466841132179767</c:v>
                </c:pt>
                <c:pt idx="2">
                  <c:v>0.36670866397969143</c:v>
                </c:pt>
                <c:pt idx="3">
                  <c:v>0.36837400386826918</c:v>
                </c:pt>
                <c:pt idx="4">
                  <c:v>0.36986151196329631</c:v>
                </c:pt>
                <c:pt idx="5">
                  <c:v>0.37124549154446895</c:v>
                </c:pt>
                <c:pt idx="6">
                  <c:v>0.37256305140091461</c:v>
                </c:pt>
                <c:pt idx="7">
                  <c:v>0.37383565283073544</c:v>
                </c:pt>
                <c:pt idx="8">
                  <c:v>0.37507690246726538</c:v>
                </c:pt>
                <c:pt idx="9">
                  <c:v>0.37629599124419699</c:v>
                </c:pt>
                <c:pt idx="10">
                  <c:v>0.3774994221304151</c:v>
                </c:pt>
                <c:pt idx="11">
                  <c:v>0.37869196204962446</c:v>
                </c:pt>
                <c:pt idx="12">
                  <c:v>0.37987720404885095</c:v>
                </c:pt>
                <c:pt idx="13">
                  <c:v>0.38105791780988324</c:v>
                </c:pt>
                <c:pt idx="14">
                  <c:v>0.38223627794980014</c:v>
                </c:pt>
                <c:pt idx="15">
                  <c:v>0.38341401816419785</c:v>
                </c:pt>
                <c:pt idx="16">
                  <c:v>0.38459253848420077</c:v>
                </c:pt>
                <c:pt idx="17">
                  <c:v>0.38577298184572861</c:v>
                </c:pt>
                <c:pt idx="18">
                  <c:v>0.38695628997060477</c:v>
                </c:pt>
                <c:pt idx="19">
                  <c:v>0.388149830683931</c:v>
                </c:pt>
                <c:pt idx="20">
                  <c:v>0.38937748500491864</c:v>
                </c:pt>
                <c:pt idx="21">
                  <c:v>0.39064135331767585</c:v>
                </c:pt>
                <c:pt idx="22">
                  <c:v>0.39194143562220257</c:v>
                </c:pt>
                <c:pt idx="23">
                  <c:v>0.39327773191849891</c:v>
                </c:pt>
                <c:pt idx="24">
                  <c:v>0.39465024220656475</c:v>
                </c:pt>
                <c:pt idx="25">
                  <c:v>0.39605896648640015</c:v>
                </c:pt>
                <c:pt idx="26">
                  <c:v>0.39750390475800507</c:v>
                </c:pt>
                <c:pt idx="27">
                  <c:v>0.3989850570213796</c:v>
                </c:pt>
                <c:pt idx="28">
                  <c:v>0.40050242327652358</c:v>
                </c:pt>
                <c:pt idx="29">
                  <c:v>0.40205600352343718</c:v>
                </c:pt>
                <c:pt idx="30">
                  <c:v>0.40364579776212028</c:v>
                </c:pt>
                <c:pt idx="31">
                  <c:v>0.40527180599257295</c:v>
                </c:pt>
                <c:pt idx="32">
                  <c:v>0.40693402821479524</c:v>
                </c:pt>
                <c:pt idx="33">
                  <c:v>0.40863246442878698</c:v>
                </c:pt>
                <c:pt idx="34">
                  <c:v>0.41036711463454828</c:v>
                </c:pt>
                <c:pt idx="35">
                  <c:v>0.41213797883207914</c:v>
                </c:pt>
                <c:pt idx="36">
                  <c:v>0.41394505702137957</c:v>
                </c:pt>
                <c:pt idx="37">
                  <c:v>0.4157883492024495</c:v>
                </c:pt>
                <c:pt idx="38">
                  <c:v>0.41766785537528905</c:v>
                </c:pt>
                <c:pt idx="39">
                  <c:v>0.41958357553989806</c:v>
                </c:pt>
                <c:pt idx="40">
                  <c:v>0.42153550969627673</c:v>
                </c:pt>
                <c:pt idx="41">
                  <c:v>0.42352365784442481</c:v>
                </c:pt>
                <c:pt idx="42">
                  <c:v>0.42554801998434255</c:v>
                </c:pt>
                <c:pt idx="43">
                  <c:v>0.42760859611602975</c:v>
                </c:pt>
                <c:pt idx="44">
                  <c:v>0.42970538623948656</c:v>
                </c:pt>
                <c:pt idx="45">
                  <c:v>0.43183839035471289</c:v>
                </c:pt>
                <c:pt idx="46">
                  <c:v>0.43400760846170877</c:v>
                </c:pt>
                <c:pt idx="47">
                  <c:v>0.43621304056047422</c:v>
                </c:pt>
                <c:pt idx="48">
                  <c:v>0.43845468665100917</c:v>
                </c:pt>
                <c:pt idx="49">
                  <c:v>0.44073254673331375</c:v>
                </c:pt>
                <c:pt idx="50">
                  <c:v>0.44304662080738783</c:v>
                </c:pt>
                <c:pt idx="51">
                  <c:v>0.44539690887323136</c:v>
                </c:pt>
                <c:pt idx="52">
                  <c:v>0.44778341093084456</c:v>
                </c:pt>
                <c:pt idx="53">
                  <c:v>0.45020612698022733</c:v>
                </c:pt>
                <c:pt idx="54">
                  <c:v>0.4526650570213796</c:v>
                </c:pt>
                <c:pt idx="55">
                  <c:v>0.45516020105430133</c:v>
                </c:pt>
                <c:pt idx="56">
                  <c:v>0.45769155907899278</c:v>
                </c:pt>
                <c:pt idx="57">
                  <c:v>0.46025913109545363</c:v>
                </c:pt>
                <c:pt idx="58">
                  <c:v>0.4628629171036841</c:v>
                </c:pt>
                <c:pt idx="59">
                  <c:v>0.46550291710368408</c:v>
                </c:pt>
                <c:pt idx="60">
                  <c:v>0.46817913109545367</c:v>
                </c:pt>
                <c:pt idx="61">
                  <c:v>0.47089155907899277</c:v>
                </c:pt>
                <c:pt idx="62">
                  <c:v>0.47364020105430138</c:v>
                </c:pt>
                <c:pt idx="63">
                  <c:v>0.47642505702137961</c:v>
                </c:pt>
                <c:pt idx="64">
                  <c:v>0.47924612698022734</c:v>
                </c:pt>
                <c:pt idx="65">
                  <c:v>0.48210341093084458</c:v>
                </c:pt>
                <c:pt idx="66">
                  <c:v>0.48499690887323144</c:v>
                </c:pt>
                <c:pt idx="67">
                  <c:v>0.4879266208073878</c:v>
                </c:pt>
                <c:pt idx="68">
                  <c:v>0.49089254673331373</c:v>
                </c:pt>
                <c:pt idx="69">
                  <c:v>0.49389468665100922</c:v>
                </c:pt>
                <c:pt idx="70">
                  <c:v>0.49693304056047422</c:v>
                </c:pt>
                <c:pt idx="71">
                  <c:v>0.50000760846170877</c:v>
                </c:pt>
                <c:pt idx="72">
                  <c:v>0.50311839035471284</c:v>
                </c:pt>
                <c:pt idx="73">
                  <c:v>0.50626538623948658</c:v>
                </c:pt>
                <c:pt idx="74">
                  <c:v>0.50944859611602988</c:v>
                </c:pt>
                <c:pt idx="75">
                  <c:v>0.51266801998434253</c:v>
                </c:pt>
                <c:pt idx="76">
                  <c:v>0.51592365784442484</c:v>
                </c:pt>
                <c:pt idx="77">
                  <c:v>0.51921550969627672</c:v>
                </c:pt>
                <c:pt idx="78">
                  <c:v>0.52254357553989816</c:v>
                </c:pt>
                <c:pt idx="79">
                  <c:v>0.52590785537528906</c:v>
                </c:pt>
                <c:pt idx="80">
                  <c:v>0.52930834920244951</c:v>
                </c:pt>
                <c:pt idx="81">
                  <c:v>0.53274505702137953</c:v>
                </c:pt>
                <c:pt idx="82">
                  <c:v>0.53621797883207911</c:v>
                </c:pt>
                <c:pt idx="83">
                  <c:v>0.53972711463454837</c:v>
                </c:pt>
                <c:pt idx="84">
                  <c:v>0.54327246442878696</c:v>
                </c:pt>
                <c:pt idx="85">
                  <c:v>0.54685402821479523</c:v>
                </c:pt>
                <c:pt idx="86">
                  <c:v>0.55047180599257295</c:v>
                </c:pt>
                <c:pt idx="87">
                  <c:v>0.55412579776212045</c:v>
                </c:pt>
                <c:pt idx="88">
                  <c:v>0.5578160035234373</c:v>
                </c:pt>
                <c:pt idx="89">
                  <c:v>0.56154242327652359</c:v>
                </c:pt>
                <c:pt idx="90">
                  <c:v>0.56530505702137956</c:v>
                </c:pt>
                <c:pt idx="91">
                  <c:v>0.5691039047580051</c:v>
                </c:pt>
                <c:pt idx="92">
                  <c:v>0.5729389664864003</c:v>
                </c:pt>
                <c:pt idx="93">
                  <c:v>0.57681024220656485</c:v>
                </c:pt>
                <c:pt idx="94">
                  <c:v>0.58071773191849896</c:v>
                </c:pt>
                <c:pt idx="95">
                  <c:v>0.58466143562220274</c:v>
                </c:pt>
                <c:pt idx="96">
                  <c:v>0.58864135331767597</c:v>
                </c:pt>
                <c:pt idx="97">
                  <c:v>0.59265748500491877</c:v>
                </c:pt>
                <c:pt idx="98">
                  <c:v>0.59670983068393113</c:v>
                </c:pt>
                <c:pt idx="99">
                  <c:v>0.60079839035471294</c:v>
                </c:pt>
                <c:pt idx="100">
                  <c:v>0.60492316401726454</c:v>
                </c:pt>
                <c:pt idx="101">
                  <c:v>0.60908415167158536</c:v>
                </c:pt>
                <c:pt idx="102">
                  <c:v>0.61328135331767586</c:v>
                </c:pt>
                <c:pt idx="103">
                  <c:v>0.61751476895553603</c:v>
                </c:pt>
                <c:pt idx="104">
                  <c:v>0.62178439858516565</c:v>
                </c:pt>
                <c:pt idx="105">
                  <c:v>0.62609024220656473</c:v>
                </c:pt>
                <c:pt idx="106">
                  <c:v>0.63043229981973359</c:v>
                </c:pt>
                <c:pt idx="107">
                  <c:v>0.6348105714246719</c:v>
                </c:pt>
                <c:pt idx="108">
                  <c:v>0.63922505702137955</c:v>
                </c:pt>
                <c:pt idx="109">
                  <c:v>0.64367575660985699</c:v>
                </c:pt>
                <c:pt idx="110">
                  <c:v>0.64816267019010387</c:v>
                </c:pt>
                <c:pt idx="111">
                  <c:v>0.65268579776212032</c:v>
                </c:pt>
                <c:pt idx="112">
                  <c:v>0.65724513932590645</c:v>
                </c:pt>
                <c:pt idx="113">
                  <c:v>0.66184069488146191</c:v>
                </c:pt>
                <c:pt idx="114">
                  <c:v>0.66647246442878694</c:v>
                </c:pt>
                <c:pt idx="115">
                  <c:v>0.67114044796788175</c:v>
                </c:pt>
                <c:pt idx="116">
                  <c:v>0.6758446454987459</c:v>
                </c:pt>
                <c:pt idx="117">
                  <c:v>0.68058505702137961</c:v>
                </c:pt>
                <c:pt idx="118">
                  <c:v>0.685361682535783</c:v>
                </c:pt>
                <c:pt idx="119">
                  <c:v>0.69017452204195595</c:v>
                </c:pt>
                <c:pt idx="120">
                  <c:v>0.69502357553989824</c:v>
                </c:pt>
                <c:pt idx="121">
                  <c:v>0.69990884302960998</c:v>
                </c:pt>
                <c:pt idx="122">
                  <c:v>0.70483032451109162</c:v>
                </c:pt>
                <c:pt idx="123">
                  <c:v>0.7097880199843426</c:v>
                </c:pt>
                <c:pt idx="124">
                  <c:v>0.71478192944936303</c:v>
                </c:pt>
                <c:pt idx="125">
                  <c:v>0.71981205290615324</c:v>
                </c:pt>
                <c:pt idx="126">
                  <c:v>0.72487839035471324</c:v>
                </c:pt>
                <c:pt idx="127">
                  <c:v>0.72998094179504236</c:v>
                </c:pt>
                <c:pt idx="128">
                  <c:v>0.73511970722714082</c:v>
                </c:pt>
                <c:pt idx="129">
                  <c:v>0.74029468665100917</c:v>
                </c:pt>
                <c:pt idx="130">
                  <c:v>0.74550588006664709</c:v>
                </c:pt>
                <c:pt idx="131">
                  <c:v>0.75075328747405434</c:v>
                </c:pt>
                <c:pt idx="132">
                  <c:v>0.75603690887323161</c:v>
                </c:pt>
                <c:pt idx="133">
                  <c:v>0.7613567442641781</c:v>
                </c:pt>
                <c:pt idx="134">
                  <c:v>0.76671279364689404</c:v>
                </c:pt>
                <c:pt idx="135">
                  <c:v>0.77210505702137966</c:v>
                </c:pt>
                <c:pt idx="136">
                  <c:v>0.77753353438763473</c:v>
                </c:pt>
                <c:pt idx="137">
                  <c:v>0.78299822574565958</c:v>
                </c:pt>
                <c:pt idx="138">
                  <c:v>0.78849913109545366</c:v>
                </c:pt>
                <c:pt idx="139">
                  <c:v>0.79403625043701775</c:v>
                </c:pt>
                <c:pt idx="140">
                  <c:v>0.79960958377035074</c:v>
                </c:pt>
                <c:pt idx="141">
                  <c:v>0.80521913109545373</c:v>
                </c:pt>
                <c:pt idx="142">
                  <c:v>0.81086489241232618</c:v>
                </c:pt>
                <c:pt idx="143">
                  <c:v>0.81654686772096807</c:v>
                </c:pt>
                <c:pt idx="144">
                  <c:v>0.82226505702137942</c:v>
                </c:pt>
                <c:pt idx="145">
                  <c:v>0.82801946031356066</c:v>
                </c:pt>
                <c:pt idx="146">
                  <c:v>0.83381007759751158</c:v>
                </c:pt>
                <c:pt idx="147">
                  <c:v>0.83963690887323161</c:v>
                </c:pt>
                <c:pt idx="148">
                  <c:v>0.84549995414072154</c:v>
                </c:pt>
                <c:pt idx="149">
                  <c:v>0.85139921339998048</c:v>
                </c:pt>
                <c:pt idx="150">
                  <c:v>0.85733468665100943</c:v>
                </c:pt>
              </c:numCache>
            </c:numRef>
          </c:yVal>
          <c:smooth val="1"/>
          <c:extLst>
            <c:ext xmlns:c16="http://schemas.microsoft.com/office/drawing/2014/chart" uri="{C3380CC4-5D6E-409C-BE32-E72D297353CC}">
              <c16:uniqueId val="{00000002-7DAF-432D-B540-E0424C156B7E}"/>
            </c:ext>
          </c:extLst>
        </c:ser>
        <c:ser>
          <c:idx val="3"/>
          <c:order val="3"/>
          <c:tx>
            <c:v>RCS</c:v>
          </c:tx>
          <c:spPr>
            <a:ln>
              <a:solidFill>
                <a:schemeClr val="accent5">
                  <a:lumMod val="75000"/>
                </a:schemeClr>
              </a:solidFill>
              <a:prstDash val="lgDashDotDot"/>
            </a:ln>
          </c:spPr>
          <c:marker>
            <c:symbol val="none"/>
          </c:marker>
          <c:xVal>
            <c:numRef>
              <c:f>Eff_vs_IOUT!$S$7:$S$157</c:f>
              <c:numCache>
                <c:formatCode>General</c:formatCode>
                <c:ptCount val="151"/>
                <c:pt idx="0">
                  <c:v>0</c:v>
                </c:pt>
                <c:pt idx="1">
                  <c:v>2.777777777777778E-2</c:v>
                </c:pt>
                <c:pt idx="2">
                  <c:v>5.5555555555555559E-2</c:v>
                </c:pt>
                <c:pt idx="3">
                  <c:v>8.3333333333333343E-2</c:v>
                </c:pt>
                <c:pt idx="4">
                  <c:v>0.11111111111111112</c:v>
                </c:pt>
                <c:pt idx="5">
                  <c:v>0.1388888888888889</c:v>
                </c:pt>
                <c:pt idx="6">
                  <c:v>0.16666666666666669</c:v>
                </c:pt>
                <c:pt idx="7">
                  <c:v>0.19444444444444445</c:v>
                </c:pt>
                <c:pt idx="8">
                  <c:v>0.22222222222222224</c:v>
                </c:pt>
                <c:pt idx="9">
                  <c:v>0.25</c:v>
                </c:pt>
                <c:pt idx="10">
                  <c:v>0.27777777777777779</c:v>
                </c:pt>
                <c:pt idx="11">
                  <c:v>0.30555555555555558</c:v>
                </c:pt>
                <c:pt idx="12">
                  <c:v>0.33333333333333337</c:v>
                </c:pt>
                <c:pt idx="13">
                  <c:v>0.36111111111111116</c:v>
                </c:pt>
                <c:pt idx="14">
                  <c:v>0.3888888888888889</c:v>
                </c:pt>
                <c:pt idx="15">
                  <c:v>0.41666666666666669</c:v>
                </c:pt>
                <c:pt idx="16">
                  <c:v>0.44444444444444448</c:v>
                </c:pt>
                <c:pt idx="17">
                  <c:v>0.47222222222222227</c:v>
                </c:pt>
                <c:pt idx="18">
                  <c:v>0.5</c:v>
                </c:pt>
                <c:pt idx="19">
                  <c:v>0.52777777777777779</c:v>
                </c:pt>
                <c:pt idx="20">
                  <c:v>0.55555555555555558</c:v>
                </c:pt>
                <c:pt idx="21">
                  <c:v>0.58333333333333337</c:v>
                </c:pt>
                <c:pt idx="22">
                  <c:v>0.61111111111111116</c:v>
                </c:pt>
                <c:pt idx="23">
                  <c:v>0.63888888888888895</c:v>
                </c:pt>
                <c:pt idx="24">
                  <c:v>0.66666666666666674</c:v>
                </c:pt>
                <c:pt idx="25">
                  <c:v>0.69444444444444453</c:v>
                </c:pt>
                <c:pt idx="26">
                  <c:v>0.72222222222222232</c:v>
                </c:pt>
                <c:pt idx="27">
                  <c:v>0.75</c:v>
                </c:pt>
                <c:pt idx="28">
                  <c:v>0.77777777777777779</c:v>
                </c:pt>
                <c:pt idx="29">
                  <c:v>0.80555555555555558</c:v>
                </c:pt>
                <c:pt idx="30">
                  <c:v>0.83333333333333337</c:v>
                </c:pt>
                <c:pt idx="31">
                  <c:v>0.86111111111111116</c:v>
                </c:pt>
                <c:pt idx="32">
                  <c:v>0.88888888888888895</c:v>
                </c:pt>
                <c:pt idx="33">
                  <c:v>0.91666666666666674</c:v>
                </c:pt>
                <c:pt idx="34">
                  <c:v>0.94444444444444453</c:v>
                </c:pt>
                <c:pt idx="35">
                  <c:v>0.97222222222222232</c:v>
                </c:pt>
                <c:pt idx="36">
                  <c:v>1</c:v>
                </c:pt>
                <c:pt idx="37">
                  <c:v>1.0277777777777779</c:v>
                </c:pt>
                <c:pt idx="38">
                  <c:v>1.0555555555555556</c:v>
                </c:pt>
                <c:pt idx="39">
                  <c:v>1.0833333333333335</c:v>
                </c:pt>
                <c:pt idx="40">
                  <c:v>1.1111111111111112</c:v>
                </c:pt>
                <c:pt idx="41">
                  <c:v>1.1388888888888891</c:v>
                </c:pt>
                <c:pt idx="42">
                  <c:v>1.1666666666666667</c:v>
                </c:pt>
                <c:pt idx="43">
                  <c:v>1.1944444444444444</c:v>
                </c:pt>
                <c:pt idx="44">
                  <c:v>1.2222222222222223</c:v>
                </c:pt>
                <c:pt idx="45">
                  <c:v>1.25</c:v>
                </c:pt>
                <c:pt idx="46">
                  <c:v>1.2777777777777779</c:v>
                </c:pt>
                <c:pt idx="47">
                  <c:v>1.3055555555555556</c:v>
                </c:pt>
                <c:pt idx="48">
                  <c:v>1.3333333333333335</c:v>
                </c:pt>
                <c:pt idx="49">
                  <c:v>1.3611111111111112</c:v>
                </c:pt>
                <c:pt idx="50">
                  <c:v>1.3888888888888891</c:v>
                </c:pt>
                <c:pt idx="51">
                  <c:v>1.4166666666666667</c:v>
                </c:pt>
                <c:pt idx="52">
                  <c:v>1.4444444444444446</c:v>
                </c:pt>
                <c:pt idx="53">
                  <c:v>1.4722222222222223</c:v>
                </c:pt>
                <c:pt idx="54">
                  <c:v>1.5</c:v>
                </c:pt>
                <c:pt idx="55">
                  <c:v>1.5277777777777779</c:v>
                </c:pt>
                <c:pt idx="56">
                  <c:v>1.5555555555555556</c:v>
                </c:pt>
                <c:pt idx="57">
                  <c:v>1.5833333333333335</c:v>
                </c:pt>
                <c:pt idx="58">
                  <c:v>1.6111111111111112</c:v>
                </c:pt>
                <c:pt idx="59">
                  <c:v>1.6388888888888891</c:v>
                </c:pt>
                <c:pt idx="60">
                  <c:v>1.6666666666666667</c:v>
                </c:pt>
                <c:pt idx="61">
                  <c:v>1.6944444444444446</c:v>
                </c:pt>
                <c:pt idx="62">
                  <c:v>1.7222222222222223</c:v>
                </c:pt>
                <c:pt idx="63">
                  <c:v>1.7500000000000002</c:v>
                </c:pt>
                <c:pt idx="64">
                  <c:v>1.7777777777777779</c:v>
                </c:pt>
                <c:pt idx="65">
                  <c:v>1.8055555555555556</c:v>
                </c:pt>
                <c:pt idx="66">
                  <c:v>1.8333333333333335</c:v>
                </c:pt>
                <c:pt idx="67">
                  <c:v>1.8611111111111112</c:v>
                </c:pt>
                <c:pt idx="68">
                  <c:v>1.8888888888888891</c:v>
                </c:pt>
                <c:pt idx="69">
                  <c:v>1.9166666666666667</c:v>
                </c:pt>
                <c:pt idx="70">
                  <c:v>1.9444444444444446</c:v>
                </c:pt>
                <c:pt idx="71">
                  <c:v>1.9722222222222223</c:v>
                </c:pt>
                <c:pt idx="72">
                  <c:v>2</c:v>
                </c:pt>
                <c:pt idx="73">
                  <c:v>2.0277777777777781</c:v>
                </c:pt>
                <c:pt idx="74">
                  <c:v>2.0555555555555558</c:v>
                </c:pt>
                <c:pt idx="75">
                  <c:v>2.0833333333333335</c:v>
                </c:pt>
                <c:pt idx="76">
                  <c:v>2.1111111111111112</c:v>
                </c:pt>
                <c:pt idx="77">
                  <c:v>2.1388888888888888</c:v>
                </c:pt>
                <c:pt idx="78">
                  <c:v>2.166666666666667</c:v>
                </c:pt>
                <c:pt idx="79">
                  <c:v>2.1944444444444446</c:v>
                </c:pt>
                <c:pt idx="80">
                  <c:v>2.2222222222222223</c:v>
                </c:pt>
                <c:pt idx="81">
                  <c:v>2.25</c:v>
                </c:pt>
                <c:pt idx="82">
                  <c:v>2.2777777777777781</c:v>
                </c:pt>
                <c:pt idx="83">
                  <c:v>2.3055555555555558</c:v>
                </c:pt>
                <c:pt idx="84">
                  <c:v>2.3333333333333335</c:v>
                </c:pt>
                <c:pt idx="85">
                  <c:v>2.3611111111111112</c:v>
                </c:pt>
                <c:pt idx="86">
                  <c:v>2.3888888888888888</c:v>
                </c:pt>
                <c:pt idx="87">
                  <c:v>2.416666666666667</c:v>
                </c:pt>
                <c:pt idx="88">
                  <c:v>2.4444444444444446</c:v>
                </c:pt>
                <c:pt idx="89">
                  <c:v>2.4722222222222223</c:v>
                </c:pt>
                <c:pt idx="90">
                  <c:v>2.5</c:v>
                </c:pt>
                <c:pt idx="91">
                  <c:v>2.5277777777777781</c:v>
                </c:pt>
                <c:pt idx="92">
                  <c:v>2.5555555555555558</c:v>
                </c:pt>
                <c:pt idx="93">
                  <c:v>2.5833333333333335</c:v>
                </c:pt>
                <c:pt idx="94">
                  <c:v>2.6111111111111112</c:v>
                </c:pt>
                <c:pt idx="95">
                  <c:v>2.6388888888888893</c:v>
                </c:pt>
                <c:pt idx="96">
                  <c:v>2.666666666666667</c:v>
                </c:pt>
                <c:pt idx="97">
                  <c:v>2.6944444444444446</c:v>
                </c:pt>
                <c:pt idx="98">
                  <c:v>2.7222222222222223</c:v>
                </c:pt>
                <c:pt idx="99">
                  <c:v>2.75</c:v>
                </c:pt>
                <c:pt idx="100">
                  <c:v>2.7777777777777781</c:v>
                </c:pt>
                <c:pt idx="101">
                  <c:v>2.8055555555555558</c:v>
                </c:pt>
                <c:pt idx="102">
                  <c:v>2.8333333333333335</c:v>
                </c:pt>
                <c:pt idx="103">
                  <c:v>2.8611111111111112</c:v>
                </c:pt>
                <c:pt idx="104">
                  <c:v>2.8888888888888893</c:v>
                </c:pt>
                <c:pt idx="105">
                  <c:v>2.916666666666667</c:v>
                </c:pt>
                <c:pt idx="106">
                  <c:v>2.9444444444444446</c:v>
                </c:pt>
                <c:pt idx="107">
                  <c:v>2.9722222222222223</c:v>
                </c:pt>
                <c:pt idx="108">
                  <c:v>3</c:v>
                </c:pt>
                <c:pt idx="109">
                  <c:v>3.0277777777777781</c:v>
                </c:pt>
                <c:pt idx="110">
                  <c:v>3.0555555555555558</c:v>
                </c:pt>
                <c:pt idx="111">
                  <c:v>3.0833333333333335</c:v>
                </c:pt>
                <c:pt idx="112">
                  <c:v>3.1111111111111112</c:v>
                </c:pt>
                <c:pt idx="113">
                  <c:v>3.1388888888888893</c:v>
                </c:pt>
                <c:pt idx="114">
                  <c:v>3.166666666666667</c:v>
                </c:pt>
                <c:pt idx="115">
                  <c:v>3.1944444444444446</c:v>
                </c:pt>
                <c:pt idx="116">
                  <c:v>3.2222222222222223</c:v>
                </c:pt>
                <c:pt idx="117">
                  <c:v>3.2500000000000004</c:v>
                </c:pt>
                <c:pt idx="118">
                  <c:v>3.2777777777777781</c:v>
                </c:pt>
                <c:pt idx="119">
                  <c:v>3.3055555555555558</c:v>
                </c:pt>
                <c:pt idx="120">
                  <c:v>3.3333333333333335</c:v>
                </c:pt>
                <c:pt idx="121">
                  <c:v>3.3611111111111112</c:v>
                </c:pt>
                <c:pt idx="122">
                  <c:v>3.3888888888888893</c:v>
                </c:pt>
                <c:pt idx="123">
                  <c:v>3.416666666666667</c:v>
                </c:pt>
                <c:pt idx="124">
                  <c:v>3.4444444444444446</c:v>
                </c:pt>
                <c:pt idx="125">
                  <c:v>3.4722222222222223</c:v>
                </c:pt>
                <c:pt idx="126">
                  <c:v>3.5000000000000004</c:v>
                </c:pt>
                <c:pt idx="127">
                  <c:v>3.5277777777777781</c:v>
                </c:pt>
                <c:pt idx="128">
                  <c:v>3.5555555555555558</c:v>
                </c:pt>
                <c:pt idx="129">
                  <c:v>3.5833333333333335</c:v>
                </c:pt>
                <c:pt idx="130">
                  <c:v>3.6111111111111112</c:v>
                </c:pt>
                <c:pt idx="131">
                  <c:v>3.6388888888888893</c:v>
                </c:pt>
                <c:pt idx="132">
                  <c:v>3.666666666666667</c:v>
                </c:pt>
                <c:pt idx="133">
                  <c:v>3.6944444444444446</c:v>
                </c:pt>
                <c:pt idx="134">
                  <c:v>3.7222222222222223</c:v>
                </c:pt>
                <c:pt idx="135">
                  <c:v>3.7500000000000004</c:v>
                </c:pt>
                <c:pt idx="136">
                  <c:v>3.7777777777777781</c:v>
                </c:pt>
                <c:pt idx="137">
                  <c:v>3.8055555555555558</c:v>
                </c:pt>
                <c:pt idx="138">
                  <c:v>3.8333333333333335</c:v>
                </c:pt>
                <c:pt idx="139">
                  <c:v>3.8611111111111112</c:v>
                </c:pt>
                <c:pt idx="140">
                  <c:v>3.8888888888888893</c:v>
                </c:pt>
                <c:pt idx="141">
                  <c:v>3.916666666666667</c:v>
                </c:pt>
                <c:pt idx="142">
                  <c:v>3.9444444444444446</c:v>
                </c:pt>
                <c:pt idx="143">
                  <c:v>3.9722222222222223</c:v>
                </c:pt>
                <c:pt idx="144">
                  <c:v>4</c:v>
                </c:pt>
                <c:pt idx="145">
                  <c:v>4.0277777777777777</c:v>
                </c:pt>
                <c:pt idx="146">
                  <c:v>4.0555555555555562</c:v>
                </c:pt>
                <c:pt idx="147">
                  <c:v>4.0833333333333339</c:v>
                </c:pt>
                <c:pt idx="148">
                  <c:v>4.1111111111111116</c:v>
                </c:pt>
                <c:pt idx="149">
                  <c:v>4.1388888888888893</c:v>
                </c:pt>
                <c:pt idx="150">
                  <c:v>4.166666666666667</c:v>
                </c:pt>
              </c:numCache>
            </c:numRef>
          </c:xVal>
          <c:yVal>
            <c:numRef>
              <c:f>Eff_vs_IOUT!$AP$7:$AP$157</c:f>
              <c:numCache>
                <c:formatCode>General</c:formatCode>
                <c:ptCount val="151"/>
                <c:pt idx="0">
                  <c:v>0</c:v>
                </c:pt>
                <c:pt idx="1">
                  <c:v>9.404383631833809E-5</c:v>
                </c:pt>
                <c:pt idx="2">
                  <c:v>2.659961375579782E-4</c:v>
                </c:pt>
                <c:pt idx="3">
                  <c:v>4.8866610792615793E-4</c:v>
                </c:pt>
                <c:pt idx="4">
                  <c:v>7.5235069054670472E-4</c:v>
                </c:pt>
                <c:pt idx="5">
                  <c:v>1.0514420543633375E-3</c:v>
                </c:pt>
                <c:pt idx="6">
                  <c:v>1.3821564746024952E-3</c:v>
                </c:pt>
                <c:pt idx="7">
                  <c:v>1.7417162226575074E-3</c:v>
                </c:pt>
                <c:pt idx="8">
                  <c:v>2.127969100463826E-3</c:v>
                </c:pt>
                <c:pt idx="9">
                  <c:v>2.5391835805951279E-3</c:v>
                </c:pt>
                <c:pt idx="10">
                  <c:v>2.9739272266601216E-3</c:v>
                </c:pt>
                <c:pt idx="11">
                  <c:v>3.4309893080487789E-3</c:v>
                </c:pt>
                <c:pt idx="12">
                  <c:v>3.9093288634092643E-3</c:v>
                </c:pt>
                <c:pt idx="13">
                  <c:v>4.4080383618324368E-3</c:v>
                </c:pt>
                <c:pt idx="14">
                  <c:v>4.9263174077749643E-3</c:v>
                </c:pt>
                <c:pt idx="15">
                  <c:v>5.4634531781156907E-3</c:v>
                </c:pt>
                <c:pt idx="16">
                  <c:v>6.0188055243736377E-3</c:v>
                </c:pt>
                <c:pt idx="17">
                  <c:v>6.5917953998397005E-3</c:v>
                </c:pt>
                <c:pt idx="18">
                  <c:v>7.1818957140654125E-3</c:v>
                </c:pt>
                <c:pt idx="19">
                  <c:v>7.7920131369785357E-3</c:v>
                </c:pt>
                <c:pt idx="20">
                  <c:v>8.4339884456205126E-3</c:v>
                </c:pt>
                <c:pt idx="21">
                  <c:v>9.108885564962076E-3</c:v>
                </c:pt>
                <c:pt idx="22">
                  <c:v>9.8167044950032301E-3</c:v>
                </c:pt>
                <c:pt idx="23">
                  <c:v>1.0557445235743972E-2</c:v>
                </c:pt>
                <c:pt idx="24">
                  <c:v>1.1331107787184297E-2</c:v>
                </c:pt>
                <c:pt idx="25">
                  <c:v>1.2137692149324215E-2</c:v>
                </c:pt>
                <c:pt idx="26">
                  <c:v>1.2977198322163722E-2</c:v>
                </c:pt>
                <c:pt idx="27">
                  <c:v>1.3849626305702818E-2</c:v>
                </c:pt>
                <c:pt idx="28">
                  <c:v>1.4754976099941502E-2</c:v>
                </c:pt>
                <c:pt idx="29">
                  <c:v>1.569324770487977E-2</c:v>
                </c:pt>
                <c:pt idx="30">
                  <c:v>1.6664441120517636E-2</c:v>
                </c:pt>
                <c:pt idx="31">
                  <c:v>1.7668556346855074E-2</c:v>
                </c:pt>
                <c:pt idx="32">
                  <c:v>1.8705593383892116E-2</c:v>
                </c:pt>
                <c:pt idx="33">
                  <c:v>1.9775552231628742E-2</c:v>
                </c:pt>
                <c:pt idx="34">
                  <c:v>2.0878432890064962E-2</c:v>
                </c:pt>
                <c:pt idx="35">
                  <c:v>2.2014235359200766E-2</c:v>
                </c:pt>
                <c:pt idx="36">
                  <c:v>2.318295963903615E-2</c:v>
                </c:pt>
                <c:pt idx="37">
                  <c:v>2.4384605729571147E-2</c:v>
                </c:pt>
                <c:pt idx="38">
                  <c:v>2.5619173630805698E-2</c:v>
                </c:pt>
                <c:pt idx="39">
                  <c:v>2.6886663342739862E-2</c:v>
                </c:pt>
                <c:pt idx="40">
                  <c:v>2.8187074865373602E-2</c:v>
                </c:pt>
                <c:pt idx="41">
                  <c:v>2.9520408198706938E-2</c:v>
                </c:pt>
                <c:pt idx="42">
                  <c:v>3.0886663342739852E-2</c:v>
                </c:pt>
                <c:pt idx="43">
                  <c:v>3.2285840297472362E-2</c:v>
                </c:pt>
                <c:pt idx="44">
                  <c:v>3.3717939062904469E-2</c:v>
                </c:pt>
                <c:pt idx="45">
                  <c:v>3.518295963903615E-2</c:v>
                </c:pt>
                <c:pt idx="46">
                  <c:v>3.6680902025867428E-2</c:v>
                </c:pt>
                <c:pt idx="47">
                  <c:v>3.8211766223398301E-2</c:v>
                </c:pt>
                <c:pt idx="48">
                  <c:v>3.9775552231628743E-2</c:v>
                </c:pt>
                <c:pt idx="49">
                  <c:v>4.1372260050558794E-2</c:v>
                </c:pt>
                <c:pt idx="50">
                  <c:v>4.3001889680188414E-2</c:v>
                </c:pt>
                <c:pt idx="51">
                  <c:v>4.4664441120517623E-2</c:v>
                </c:pt>
                <c:pt idx="52">
                  <c:v>4.6359914371546448E-2</c:v>
                </c:pt>
                <c:pt idx="53">
                  <c:v>4.8088309433274835E-2</c:v>
                </c:pt>
                <c:pt idx="54">
                  <c:v>4.9849626305702818E-2</c:v>
                </c:pt>
                <c:pt idx="55">
                  <c:v>5.1643864988830404E-2</c:v>
                </c:pt>
                <c:pt idx="56">
                  <c:v>5.3471025482657579E-2</c:v>
                </c:pt>
                <c:pt idx="57">
                  <c:v>5.5331107787184294E-2</c:v>
                </c:pt>
                <c:pt idx="58">
                  <c:v>5.7224111902410654E-2</c:v>
                </c:pt>
                <c:pt idx="59">
                  <c:v>5.9150037828336569E-2</c:v>
                </c:pt>
                <c:pt idx="60">
                  <c:v>6.1108885564962086E-2</c:v>
                </c:pt>
                <c:pt idx="61">
                  <c:v>6.3100655112287185E-2</c:v>
                </c:pt>
                <c:pt idx="62">
                  <c:v>6.5125346470311887E-2</c:v>
                </c:pt>
                <c:pt idx="63">
                  <c:v>6.7182959639036199E-2</c:v>
                </c:pt>
                <c:pt idx="64">
                  <c:v>6.9273494618460024E-2</c:v>
                </c:pt>
                <c:pt idx="65">
                  <c:v>7.1396951408583487E-2</c:v>
                </c:pt>
                <c:pt idx="66">
                  <c:v>7.3553330009406517E-2</c:v>
                </c:pt>
                <c:pt idx="67">
                  <c:v>7.5742630420929186E-2</c:v>
                </c:pt>
                <c:pt idx="68">
                  <c:v>7.7964852643151394E-2</c:v>
                </c:pt>
                <c:pt idx="69">
                  <c:v>8.0219996676073185E-2</c:v>
                </c:pt>
                <c:pt idx="70">
                  <c:v>8.2508062519694614E-2</c:v>
                </c:pt>
                <c:pt idx="71">
                  <c:v>8.4829050174015597E-2</c:v>
                </c:pt>
                <c:pt idx="72">
                  <c:v>8.7182959639036134E-2</c:v>
                </c:pt>
                <c:pt idx="73">
                  <c:v>8.956979091475635E-2</c:v>
                </c:pt>
                <c:pt idx="74">
                  <c:v>9.1989544001176107E-2</c:v>
                </c:pt>
                <c:pt idx="75">
                  <c:v>9.4442218898295405E-2</c:v>
                </c:pt>
                <c:pt idx="76">
                  <c:v>9.6927815606114354E-2</c:v>
                </c:pt>
                <c:pt idx="77">
                  <c:v>9.9446334124632871E-2</c:v>
                </c:pt>
                <c:pt idx="78">
                  <c:v>0.10199777445385098</c:v>
                </c:pt>
                <c:pt idx="79">
                  <c:v>0.10458213659376868</c:v>
                </c:pt>
                <c:pt idx="80">
                  <c:v>0.10719942054438597</c:v>
                </c:pt>
                <c:pt idx="81">
                  <c:v>0.10984962630570282</c:v>
                </c:pt>
                <c:pt idx="82">
                  <c:v>0.11253275387771929</c:v>
                </c:pt>
                <c:pt idx="83">
                  <c:v>0.11524880326043538</c:v>
                </c:pt>
                <c:pt idx="84">
                  <c:v>0.11799777445385096</c:v>
                </c:pt>
                <c:pt idx="85">
                  <c:v>0.12077966745796621</c:v>
                </c:pt>
                <c:pt idx="86">
                  <c:v>0.12359448227278098</c:v>
                </c:pt>
                <c:pt idx="87">
                  <c:v>0.12644221889829543</c:v>
                </c:pt>
                <c:pt idx="88">
                  <c:v>0.12932287733450945</c:v>
                </c:pt>
                <c:pt idx="89">
                  <c:v>0.13223645758142299</c:v>
                </c:pt>
                <c:pt idx="90">
                  <c:v>0.1351829596390362</c:v>
                </c:pt>
                <c:pt idx="91">
                  <c:v>0.13816238350734891</c:v>
                </c:pt>
                <c:pt idx="92">
                  <c:v>0.14117472918636129</c:v>
                </c:pt>
                <c:pt idx="93">
                  <c:v>0.14421999667607321</c:v>
                </c:pt>
                <c:pt idx="94">
                  <c:v>0.14729818597648475</c:v>
                </c:pt>
                <c:pt idx="95">
                  <c:v>0.15040929708759584</c:v>
                </c:pt>
                <c:pt idx="96">
                  <c:v>0.15355333000940652</c:v>
                </c:pt>
                <c:pt idx="97">
                  <c:v>0.15673028474191686</c:v>
                </c:pt>
                <c:pt idx="98">
                  <c:v>0.15994016128512673</c:v>
                </c:pt>
                <c:pt idx="99">
                  <c:v>0.16318295963903615</c:v>
                </c:pt>
                <c:pt idx="100">
                  <c:v>0.16645867980364523</c:v>
                </c:pt>
                <c:pt idx="101">
                  <c:v>0.1697673217789539</c:v>
                </c:pt>
                <c:pt idx="102">
                  <c:v>0.17310888556496207</c:v>
                </c:pt>
                <c:pt idx="103">
                  <c:v>0.17648337116166993</c:v>
                </c:pt>
                <c:pt idx="104">
                  <c:v>0.17989077856907737</c:v>
                </c:pt>
                <c:pt idx="105">
                  <c:v>0.18333110778718428</c:v>
                </c:pt>
                <c:pt idx="106">
                  <c:v>0.18680435881599089</c:v>
                </c:pt>
                <c:pt idx="107">
                  <c:v>0.19031053165549713</c:v>
                </c:pt>
                <c:pt idx="108">
                  <c:v>0.19384962630570279</c:v>
                </c:pt>
                <c:pt idx="109">
                  <c:v>0.1974216427666082</c:v>
                </c:pt>
                <c:pt idx="110">
                  <c:v>0.20102658103821319</c:v>
                </c:pt>
                <c:pt idx="111">
                  <c:v>0.20466444112051757</c:v>
                </c:pt>
                <c:pt idx="112">
                  <c:v>0.20833522301352184</c:v>
                </c:pt>
                <c:pt idx="113">
                  <c:v>0.21203892671722549</c:v>
                </c:pt>
                <c:pt idx="114">
                  <c:v>0.2157755522316287</c:v>
                </c:pt>
                <c:pt idx="115">
                  <c:v>0.21954509955673165</c:v>
                </c:pt>
                <c:pt idx="116">
                  <c:v>0.22334756869253414</c:v>
                </c:pt>
                <c:pt idx="117">
                  <c:v>0.22718295963903623</c:v>
                </c:pt>
                <c:pt idx="118">
                  <c:v>0.23105127239623782</c:v>
                </c:pt>
                <c:pt idx="119">
                  <c:v>0.23495250696413914</c:v>
                </c:pt>
                <c:pt idx="120">
                  <c:v>0.23888666334273992</c:v>
                </c:pt>
                <c:pt idx="121">
                  <c:v>0.24285374153204028</c:v>
                </c:pt>
                <c:pt idx="122">
                  <c:v>0.24685374153204032</c:v>
                </c:pt>
                <c:pt idx="123">
                  <c:v>0.25088666334273985</c:v>
                </c:pt>
                <c:pt idx="124">
                  <c:v>0.25495250696413896</c:v>
                </c:pt>
                <c:pt idx="125">
                  <c:v>0.25905127239623787</c:v>
                </c:pt>
                <c:pt idx="126">
                  <c:v>0.26318295963903632</c:v>
                </c:pt>
                <c:pt idx="127">
                  <c:v>0.26734756869253412</c:v>
                </c:pt>
                <c:pt idx="128">
                  <c:v>0.27154509955673162</c:v>
                </c:pt>
                <c:pt idx="129">
                  <c:v>0.27577555223162864</c:v>
                </c:pt>
                <c:pt idx="130">
                  <c:v>0.28003892671722541</c:v>
                </c:pt>
                <c:pt idx="131">
                  <c:v>0.28433522301352177</c:v>
                </c:pt>
                <c:pt idx="132">
                  <c:v>0.2886644411205177</c:v>
                </c:pt>
                <c:pt idx="133">
                  <c:v>0.29302658103821316</c:v>
                </c:pt>
                <c:pt idx="134">
                  <c:v>0.29742164276660826</c:v>
                </c:pt>
                <c:pt idx="135">
                  <c:v>0.30184962630570283</c:v>
                </c:pt>
                <c:pt idx="136">
                  <c:v>0.3063105316554971</c:v>
                </c:pt>
                <c:pt idx="137">
                  <c:v>0.310804358815991</c:v>
                </c:pt>
                <c:pt idx="138">
                  <c:v>0.31533110778718421</c:v>
                </c:pt>
                <c:pt idx="139">
                  <c:v>0.31989077856907738</c:v>
                </c:pt>
                <c:pt idx="140">
                  <c:v>0.32448337116166992</c:v>
                </c:pt>
                <c:pt idx="141">
                  <c:v>0.32910888556496204</c:v>
                </c:pt>
                <c:pt idx="142">
                  <c:v>0.33376732177895385</c:v>
                </c:pt>
                <c:pt idx="143">
                  <c:v>0.33845867980364525</c:v>
                </c:pt>
                <c:pt idx="144">
                  <c:v>0.34318295963903611</c:v>
                </c:pt>
                <c:pt idx="145">
                  <c:v>0.34794016128512667</c:v>
                </c:pt>
                <c:pt idx="146">
                  <c:v>0.35273028474191692</c:v>
                </c:pt>
                <c:pt idx="147">
                  <c:v>0.3575533300094067</c:v>
                </c:pt>
                <c:pt idx="148">
                  <c:v>0.36240929708759601</c:v>
                </c:pt>
                <c:pt idx="149">
                  <c:v>0.36729818597648484</c:v>
                </c:pt>
                <c:pt idx="150">
                  <c:v>0.37221999667607319</c:v>
                </c:pt>
              </c:numCache>
            </c:numRef>
          </c:yVal>
          <c:smooth val="1"/>
          <c:extLst>
            <c:ext xmlns:c16="http://schemas.microsoft.com/office/drawing/2014/chart" uri="{C3380CC4-5D6E-409C-BE32-E72D297353CC}">
              <c16:uniqueId val="{00000003-7DAF-432D-B540-E0424C156B7E}"/>
            </c:ext>
          </c:extLst>
        </c:ser>
        <c:dLbls>
          <c:showLegendKey val="0"/>
          <c:showVal val="0"/>
          <c:showCatName val="0"/>
          <c:showSerName val="0"/>
          <c:showPercent val="0"/>
          <c:showBubbleSize val="0"/>
        </c:dLbls>
        <c:axId val="522502144"/>
        <c:axId val="522491776"/>
      </c:scatterChart>
      <c:valAx>
        <c:axId val="522488064"/>
        <c:scaling>
          <c:orientation val="minMax"/>
        </c:scaling>
        <c:delete val="0"/>
        <c:axPos val="b"/>
        <c:majorGridlines/>
        <c:numFmt formatCode="General" sourceLinked="1"/>
        <c:majorTickMark val="out"/>
        <c:minorTickMark val="none"/>
        <c:tickLblPos val="nextTo"/>
        <c:crossAx val="522489856"/>
        <c:crosses val="autoZero"/>
        <c:crossBetween val="midCat"/>
      </c:valAx>
      <c:valAx>
        <c:axId val="522489856"/>
        <c:scaling>
          <c:orientation val="minMax"/>
          <c:max val="100"/>
          <c:min val="60"/>
        </c:scaling>
        <c:delete val="0"/>
        <c:axPos val="l"/>
        <c:majorGridlines/>
        <c:title>
          <c:tx>
            <c:rich>
              <a:bodyPr rot="-5400000" vert="horz"/>
              <a:lstStyle/>
              <a:p>
                <a:pPr>
                  <a:defRPr sz="1400"/>
                </a:pPr>
                <a:r>
                  <a:rPr lang="en-US" sz="1400"/>
                  <a:t>Efficiency</a:t>
                </a:r>
                <a:r>
                  <a:rPr lang="en-US" sz="1400" baseline="0"/>
                  <a:t> (%)</a:t>
                </a:r>
                <a:endParaRPr lang="en-US" sz="1400"/>
              </a:p>
            </c:rich>
          </c:tx>
          <c:overlay val="0"/>
        </c:title>
        <c:numFmt formatCode="General" sourceLinked="1"/>
        <c:majorTickMark val="out"/>
        <c:minorTickMark val="none"/>
        <c:tickLblPos val="nextTo"/>
        <c:crossAx val="522488064"/>
        <c:crosses val="autoZero"/>
        <c:crossBetween val="midCat"/>
      </c:valAx>
      <c:valAx>
        <c:axId val="522491776"/>
        <c:scaling>
          <c:orientation val="minMax"/>
        </c:scaling>
        <c:delete val="0"/>
        <c:axPos val="r"/>
        <c:title>
          <c:tx>
            <c:rich>
              <a:bodyPr rot="-5400000" vert="horz"/>
              <a:lstStyle/>
              <a:p>
                <a:pPr>
                  <a:defRPr sz="1400"/>
                </a:pPr>
                <a:r>
                  <a:rPr lang="en-US" sz="1400"/>
                  <a:t>Losses</a:t>
                </a:r>
                <a:r>
                  <a:rPr lang="en-US" sz="1400" baseline="0"/>
                  <a:t> (W)</a:t>
                </a:r>
                <a:endParaRPr lang="en-US" sz="1400"/>
              </a:p>
            </c:rich>
          </c:tx>
          <c:overlay val="0"/>
        </c:title>
        <c:numFmt formatCode="General" sourceLinked="1"/>
        <c:majorTickMark val="out"/>
        <c:minorTickMark val="none"/>
        <c:tickLblPos val="nextTo"/>
        <c:crossAx val="522502144"/>
        <c:crosses val="max"/>
        <c:crossBetween val="midCat"/>
      </c:valAx>
      <c:valAx>
        <c:axId val="522502144"/>
        <c:scaling>
          <c:orientation val="minMax"/>
        </c:scaling>
        <c:delete val="1"/>
        <c:axPos val="b"/>
        <c:title>
          <c:tx>
            <c:rich>
              <a:bodyPr/>
              <a:lstStyle/>
              <a:p>
                <a:pPr>
                  <a:defRPr/>
                </a:pPr>
                <a:r>
                  <a:rPr lang="en-US"/>
                  <a:t>Loac</a:t>
                </a:r>
                <a:r>
                  <a:rPr lang="en-US" baseline="0"/>
                  <a:t> Current (A)</a:t>
                </a:r>
                <a:endParaRPr lang="en-US"/>
              </a:p>
            </c:rich>
          </c:tx>
          <c:overlay val="0"/>
        </c:title>
        <c:numFmt formatCode="General" sourceLinked="1"/>
        <c:majorTickMark val="out"/>
        <c:minorTickMark val="none"/>
        <c:tickLblPos val="nextTo"/>
        <c:crossAx val="522491776"/>
        <c:crosses val="autoZero"/>
        <c:crossBetween val="midCat"/>
      </c:valAx>
    </c:plotArea>
    <c:legend>
      <c:legendPos val="r"/>
      <c:layout>
        <c:manualLayout>
          <c:xMode val="edge"/>
          <c:yMode val="edge"/>
          <c:x val="0.51894403926190358"/>
          <c:y val="6.4862204724409449E-3"/>
          <c:w val="0.39609572935704079"/>
          <c:h val="0.12183653099700564"/>
        </c:manualLayout>
      </c:layout>
      <c:overlay val="1"/>
    </c:legend>
    <c:plotVisOnly val="1"/>
    <c:dispBlanksAs val="gap"/>
    <c:showDLblsOverMax val="0"/>
  </c:chart>
  <c:spPr>
    <a:ln>
      <a:no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Efficiency</a:t>
            </a:r>
          </a:p>
        </c:rich>
      </c:tx>
      <c:overlay val="0"/>
    </c:title>
    <c:autoTitleDeleted val="0"/>
    <c:plotArea>
      <c:layout/>
      <c:scatterChart>
        <c:scatterStyle val="smoothMarker"/>
        <c:varyColors val="0"/>
        <c:ser>
          <c:idx val="0"/>
          <c:order val="0"/>
          <c:tx>
            <c:v>Eff</c:v>
          </c:tx>
          <c:marker>
            <c:symbol val="none"/>
          </c:marker>
          <c:xVal>
            <c:numRef>
              <c:f>Eff_vs_IOUT!$S$7:$S$157</c:f>
              <c:numCache>
                <c:formatCode>General</c:formatCode>
                <c:ptCount val="151"/>
                <c:pt idx="0">
                  <c:v>0</c:v>
                </c:pt>
                <c:pt idx="1">
                  <c:v>2.777777777777778E-2</c:v>
                </c:pt>
                <c:pt idx="2">
                  <c:v>5.5555555555555559E-2</c:v>
                </c:pt>
                <c:pt idx="3">
                  <c:v>8.3333333333333343E-2</c:v>
                </c:pt>
                <c:pt idx="4">
                  <c:v>0.11111111111111112</c:v>
                </c:pt>
                <c:pt idx="5">
                  <c:v>0.1388888888888889</c:v>
                </c:pt>
                <c:pt idx="6">
                  <c:v>0.16666666666666669</c:v>
                </c:pt>
                <c:pt idx="7">
                  <c:v>0.19444444444444445</c:v>
                </c:pt>
                <c:pt idx="8">
                  <c:v>0.22222222222222224</c:v>
                </c:pt>
                <c:pt idx="9">
                  <c:v>0.25</c:v>
                </c:pt>
                <c:pt idx="10">
                  <c:v>0.27777777777777779</c:v>
                </c:pt>
                <c:pt idx="11">
                  <c:v>0.30555555555555558</c:v>
                </c:pt>
                <c:pt idx="12">
                  <c:v>0.33333333333333337</c:v>
                </c:pt>
                <c:pt idx="13">
                  <c:v>0.36111111111111116</c:v>
                </c:pt>
                <c:pt idx="14">
                  <c:v>0.3888888888888889</c:v>
                </c:pt>
                <c:pt idx="15">
                  <c:v>0.41666666666666669</c:v>
                </c:pt>
                <c:pt idx="16">
                  <c:v>0.44444444444444448</c:v>
                </c:pt>
                <c:pt idx="17">
                  <c:v>0.47222222222222227</c:v>
                </c:pt>
                <c:pt idx="18">
                  <c:v>0.5</c:v>
                </c:pt>
                <c:pt idx="19">
                  <c:v>0.52777777777777779</c:v>
                </c:pt>
                <c:pt idx="20">
                  <c:v>0.55555555555555558</c:v>
                </c:pt>
                <c:pt idx="21">
                  <c:v>0.58333333333333337</c:v>
                </c:pt>
                <c:pt idx="22">
                  <c:v>0.61111111111111116</c:v>
                </c:pt>
                <c:pt idx="23">
                  <c:v>0.63888888888888895</c:v>
                </c:pt>
                <c:pt idx="24">
                  <c:v>0.66666666666666674</c:v>
                </c:pt>
                <c:pt idx="25">
                  <c:v>0.69444444444444453</c:v>
                </c:pt>
                <c:pt idx="26">
                  <c:v>0.72222222222222232</c:v>
                </c:pt>
                <c:pt idx="27">
                  <c:v>0.75</c:v>
                </c:pt>
                <c:pt idx="28">
                  <c:v>0.77777777777777779</c:v>
                </c:pt>
                <c:pt idx="29">
                  <c:v>0.80555555555555558</c:v>
                </c:pt>
                <c:pt idx="30">
                  <c:v>0.83333333333333337</c:v>
                </c:pt>
                <c:pt idx="31">
                  <c:v>0.86111111111111116</c:v>
                </c:pt>
                <c:pt idx="32">
                  <c:v>0.88888888888888895</c:v>
                </c:pt>
                <c:pt idx="33">
                  <c:v>0.91666666666666674</c:v>
                </c:pt>
                <c:pt idx="34">
                  <c:v>0.94444444444444453</c:v>
                </c:pt>
                <c:pt idx="35">
                  <c:v>0.97222222222222232</c:v>
                </c:pt>
                <c:pt idx="36">
                  <c:v>1</c:v>
                </c:pt>
                <c:pt idx="37">
                  <c:v>1.0277777777777779</c:v>
                </c:pt>
                <c:pt idx="38">
                  <c:v>1.0555555555555556</c:v>
                </c:pt>
                <c:pt idx="39">
                  <c:v>1.0833333333333335</c:v>
                </c:pt>
                <c:pt idx="40">
                  <c:v>1.1111111111111112</c:v>
                </c:pt>
                <c:pt idx="41">
                  <c:v>1.1388888888888891</c:v>
                </c:pt>
                <c:pt idx="42">
                  <c:v>1.1666666666666667</c:v>
                </c:pt>
                <c:pt idx="43">
                  <c:v>1.1944444444444444</c:v>
                </c:pt>
                <c:pt idx="44">
                  <c:v>1.2222222222222223</c:v>
                </c:pt>
                <c:pt idx="45">
                  <c:v>1.25</c:v>
                </c:pt>
                <c:pt idx="46">
                  <c:v>1.2777777777777779</c:v>
                </c:pt>
                <c:pt idx="47">
                  <c:v>1.3055555555555556</c:v>
                </c:pt>
                <c:pt idx="48">
                  <c:v>1.3333333333333335</c:v>
                </c:pt>
                <c:pt idx="49">
                  <c:v>1.3611111111111112</c:v>
                </c:pt>
                <c:pt idx="50">
                  <c:v>1.3888888888888891</c:v>
                </c:pt>
                <c:pt idx="51">
                  <c:v>1.4166666666666667</c:v>
                </c:pt>
                <c:pt idx="52">
                  <c:v>1.4444444444444446</c:v>
                </c:pt>
                <c:pt idx="53">
                  <c:v>1.4722222222222223</c:v>
                </c:pt>
                <c:pt idx="54">
                  <c:v>1.5</c:v>
                </c:pt>
                <c:pt idx="55">
                  <c:v>1.5277777777777779</c:v>
                </c:pt>
                <c:pt idx="56">
                  <c:v>1.5555555555555556</c:v>
                </c:pt>
                <c:pt idx="57">
                  <c:v>1.5833333333333335</c:v>
                </c:pt>
                <c:pt idx="58">
                  <c:v>1.6111111111111112</c:v>
                </c:pt>
                <c:pt idx="59">
                  <c:v>1.6388888888888891</c:v>
                </c:pt>
                <c:pt idx="60">
                  <c:v>1.6666666666666667</c:v>
                </c:pt>
                <c:pt idx="61">
                  <c:v>1.6944444444444446</c:v>
                </c:pt>
                <c:pt idx="62">
                  <c:v>1.7222222222222223</c:v>
                </c:pt>
                <c:pt idx="63">
                  <c:v>1.7500000000000002</c:v>
                </c:pt>
                <c:pt idx="64">
                  <c:v>1.7777777777777779</c:v>
                </c:pt>
                <c:pt idx="65">
                  <c:v>1.8055555555555556</c:v>
                </c:pt>
                <c:pt idx="66">
                  <c:v>1.8333333333333335</c:v>
                </c:pt>
                <c:pt idx="67">
                  <c:v>1.8611111111111112</c:v>
                </c:pt>
                <c:pt idx="68">
                  <c:v>1.8888888888888891</c:v>
                </c:pt>
                <c:pt idx="69">
                  <c:v>1.9166666666666667</c:v>
                </c:pt>
                <c:pt idx="70">
                  <c:v>1.9444444444444446</c:v>
                </c:pt>
                <c:pt idx="71">
                  <c:v>1.9722222222222223</c:v>
                </c:pt>
                <c:pt idx="72">
                  <c:v>2</c:v>
                </c:pt>
                <c:pt idx="73">
                  <c:v>2.0277777777777781</c:v>
                </c:pt>
                <c:pt idx="74">
                  <c:v>2.0555555555555558</c:v>
                </c:pt>
                <c:pt idx="75">
                  <c:v>2.0833333333333335</c:v>
                </c:pt>
                <c:pt idx="76">
                  <c:v>2.1111111111111112</c:v>
                </c:pt>
                <c:pt idx="77">
                  <c:v>2.1388888888888888</c:v>
                </c:pt>
                <c:pt idx="78">
                  <c:v>2.166666666666667</c:v>
                </c:pt>
                <c:pt idx="79">
                  <c:v>2.1944444444444446</c:v>
                </c:pt>
                <c:pt idx="80">
                  <c:v>2.2222222222222223</c:v>
                </c:pt>
                <c:pt idx="81">
                  <c:v>2.25</c:v>
                </c:pt>
                <c:pt idx="82">
                  <c:v>2.2777777777777781</c:v>
                </c:pt>
                <c:pt idx="83">
                  <c:v>2.3055555555555558</c:v>
                </c:pt>
                <c:pt idx="84">
                  <c:v>2.3333333333333335</c:v>
                </c:pt>
                <c:pt idx="85">
                  <c:v>2.3611111111111112</c:v>
                </c:pt>
                <c:pt idx="86">
                  <c:v>2.3888888888888888</c:v>
                </c:pt>
                <c:pt idx="87">
                  <c:v>2.416666666666667</c:v>
                </c:pt>
                <c:pt idx="88">
                  <c:v>2.4444444444444446</c:v>
                </c:pt>
                <c:pt idx="89">
                  <c:v>2.4722222222222223</c:v>
                </c:pt>
                <c:pt idx="90">
                  <c:v>2.5</c:v>
                </c:pt>
                <c:pt idx="91">
                  <c:v>2.5277777777777781</c:v>
                </c:pt>
                <c:pt idx="92">
                  <c:v>2.5555555555555558</c:v>
                </c:pt>
                <c:pt idx="93">
                  <c:v>2.5833333333333335</c:v>
                </c:pt>
                <c:pt idx="94">
                  <c:v>2.6111111111111112</c:v>
                </c:pt>
                <c:pt idx="95">
                  <c:v>2.6388888888888893</c:v>
                </c:pt>
                <c:pt idx="96">
                  <c:v>2.666666666666667</c:v>
                </c:pt>
                <c:pt idx="97">
                  <c:v>2.6944444444444446</c:v>
                </c:pt>
                <c:pt idx="98">
                  <c:v>2.7222222222222223</c:v>
                </c:pt>
                <c:pt idx="99">
                  <c:v>2.75</c:v>
                </c:pt>
                <c:pt idx="100">
                  <c:v>2.7777777777777781</c:v>
                </c:pt>
                <c:pt idx="101">
                  <c:v>2.8055555555555558</c:v>
                </c:pt>
                <c:pt idx="102">
                  <c:v>2.8333333333333335</c:v>
                </c:pt>
                <c:pt idx="103">
                  <c:v>2.8611111111111112</c:v>
                </c:pt>
                <c:pt idx="104">
                  <c:v>2.8888888888888893</c:v>
                </c:pt>
                <c:pt idx="105">
                  <c:v>2.916666666666667</c:v>
                </c:pt>
                <c:pt idx="106">
                  <c:v>2.9444444444444446</c:v>
                </c:pt>
                <c:pt idx="107">
                  <c:v>2.9722222222222223</c:v>
                </c:pt>
                <c:pt idx="108">
                  <c:v>3</c:v>
                </c:pt>
                <c:pt idx="109">
                  <c:v>3.0277777777777781</c:v>
                </c:pt>
                <c:pt idx="110">
                  <c:v>3.0555555555555558</c:v>
                </c:pt>
                <c:pt idx="111">
                  <c:v>3.0833333333333335</c:v>
                </c:pt>
                <c:pt idx="112">
                  <c:v>3.1111111111111112</c:v>
                </c:pt>
                <c:pt idx="113">
                  <c:v>3.1388888888888893</c:v>
                </c:pt>
                <c:pt idx="114">
                  <c:v>3.166666666666667</c:v>
                </c:pt>
                <c:pt idx="115">
                  <c:v>3.1944444444444446</c:v>
                </c:pt>
                <c:pt idx="116">
                  <c:v>3.2222222222222223</c:v>
                </c:pt>
                <c:pt idx="117">
                  <c:v>3.2500000000000004</c:v>
                </c:pt>
                <c:pt idx="118">
                  <c:v>3.2777777777777781</c:v>
                </c:pt>
                <c:pt idx="119">
                  <c:v>3.3055555555555558</c:v>
                </c:pt>
                <c:pt idx="120">
                  <c:v>3.3333333333333335</c:v>
                </c:pt>
                <c:pt idx="121">
                  <c:v>3.3611111111111112</c:v>
                </c:pt>
                <c:pt idx="122">
                  <c:v>3.3888888888888893</c:v>
                </c:pt>
                <c:pt idx="123">
                  <c:v>3.416666666666667</c:v>
                </c:pt>
                <c:pt idx="124">
                  <c:v>3.4444444444444446</c:v>
                </c:pt>
                <c:pt idx="125">
                  <c:v>3.4722222222222223</c:v>
                </c:pt>
                <c:pt idx="126">
                  <c:v>3.5000000000000004</c:v>
                </c:pt>
                <c:pt idx="127">
                  <c:v>3.5277777777777781</c:v>
                </c:pt>
                <c:pt idx="128">
                  <c:v>3.5555555555555558</c:v>
                </c:pt>
                <c:pt idx="129">
                  <c:v>3.5833333333333335</c:v>
                </c:pt>
                <c:pt idx="130">
                  <c:v>3.6111111111111112</c:v>
                </c:pt>
                <c:pt idx="131">
                  <c:v>3.6388888888888893</c:v>
                </c:pt>
                <c:pt idx="132">
                  <c:v>3.666666666666667</c:v>
                </c:pt>
                <c:pt idx="133">
                  <c:v>3.6944444444444446</c:v>
                </c:pt>
                <c:pt idx="134">
                  <c:v>3.7222222222222223</c:v>
                </c:pt>
                <c:pt idx="135">
                  <c:v>3.7500000000000004</c:v>
                </c:pt>
                <c:pt idx="136">
                  <c:v>3.7777777777777781</c:v>
                </c:pt>
                <c:pt idx="137">
                  <c:v>3.8055555555555558</c:v>
                </c:pt>
                <c:pt idx="138">
                  <c:v>3.8333333333333335</c:v>
                </c:pt>
                <c:pt idx="139">
                  <c:v>3.8611111111111112</c:v>
                </c:pt>
                <c:pt idx="140">
                  <c:v>3.8888888888888893</c:v>
                </c:pt>
                <c:pt idx="141">
                  <c:v>3.916666666666667</c:v>
                </c:pt>
                <c:pt idx="142">
                  <c:v>3.9444444444444446</c:v>
                </c:pt>
                <c:pt idx="143">
                  <c:v>3.9722222222222223</c:v>
                </c:pt>
                <c:pt idx="144">
                  <c:v>4</c:v>
                </c:pt>
                <c:pt idx="145">
                  <c:v>4.0277777777777777</c:v>
                </c:pt>
                <c:pt idx="146">
                  <c:v>4.0555555555555562</c:v>
                </c:pt>
                <c:pt idx="147">
                  <c:v>4.0833333333333339</c:v>
                </c:pt>
                <c:pt idx="148">
                  <c:v>4.1111111111111116</c:v>
                </c:pt>
                <c:pt idx="149">
                  <c:v>4.1388888888888893</c:v>
                </c:pt>
                <c:pt idx="150">
                  <c:v>4.166666666666667</c:v>
                </c:pt>
              </c:numCache>
            </c:numRef>
          </c:xVal>
          <c:yVal>
            <c:numRef>
              <c:f>Eff_vs_IOUT!$AW$7:$AW$157</c:f>
              <c:numCache>
                <c:formatCode>General</c:formatCode>
                <c:ptCount val="151"/>
                <c:pt idx="0">
                  <c:v>0</c:v>
                </c:pt>
                <c:pt idx="1">
                  <c:v>61.058151688352183</c:v>
                </c:pt>
                <c:pt idx="2">
                  <c:v>74.938068500487162</c:v>
                </c:pt>
                <c:pt idx="3">
                  <c:v>81.059509577819725</c:v>
                </c:pt>
                <c:pt idx="4">
                  <c:v>84.495640370405894</c:v>
                </c:pt>
                <c:pt idx="5">
                  <c:v>86.689469729115118</c:v>
                </c:pt>
                <c:pt idx="6">
                  <c:v>88.20779599690249</c:v>
                </c:pt>
                <c:pt idx="7">
                  <c:v>89.318471484699728</c:v>
                </c:pt>
                <c:pt idx="8">
                  <c:v>90.1644669995284</c:v>
                </c:pt>
                <c:pt idx="9">
                  <c:v>90.829019329548856</c:v>
                </c:pt>
                <c:pt idx="10">
                  <c:v>91.363857618109165</c:v>
                </c:pt>
                <c:pt idx="11">
                  <c:v>91.802810795783131</c:v>
                </c:pt>
                <c:pt idx="12">
                  <c:v>92.168926161066892</c:v>
                </c:pt>
                <c:pt idx="13">
                  <c:v>92.478442631953143</c:v>
                </c:pt>
                <c:pt idx="14">
                  <c:v>92.743128464822192</c:v>
                </c:pt>
                <c:pt idx="15">
                  <c:v>92.971718247893932</c:v>
                </c:pt>
                <c:pt idx="16">
                  <c:v>93.170829498734875</c:v>
                </c:pt>
                <c:pt idx="17">
                  <c:v>93.345566135872744</c:v>
                </c:pt>
                <c:pt idx="18">
                  <c:v>93.499926846656749</c:v>
                </c:pt>
                <c:pt idx="19">
                  <c:v>93.703981354685411</c:v>
                </c:pt>
                <c:pt idx="20">
                  <c:v>93.923165065262737</c:v>
                </c:pt>
                <c:pt idx="21">
                  <c:v>94.12126240014932</c:v>
                </c:pt>
                <c:pt idx="22">
                  <c:v>94.301026115879111</c:v>
                </c:pt>
                <c:pt idx="23">
                  <c:v>94.464749866153639</c:v>
                </c:pt>
                <c:pt idx="24">
                  <c:v>94.614360081942294</c:v>
                </c:pt>
                <c:pt idx="25">
                  <c:v>94.751486635264087</c:v>
                </c:pt>
                <c:pt idx="26">
                  <c:v>94.877517790480098</c:v>
                </c:pt>
                <c:pt idx="27">
                  <c:v>94.993643373492716</c:v>
                </c:pt>
                <c:pt idx="28">
                  <c:v>95.100889004394759</c:v>
                </c:pt>
                <c:pt idx="29">
                  <c:v>95.200143479889704</c:v>
                </c:pt>
                <c:pt idx="30">
                  <c:v>95.292180853118111</c:v>
                </c:pt>
                <c:pt idx="31">
                  <c:v>95.37767837141962</c:v>
                </c:pt>
                <c:pt idx="32">
                  <c:v>95.457231151082055</c:v>
                </c:pt>
                <c:pt idx="33">
                  <c:v>95.531364261194568</c:v>
                </c:pt>
                <c:pt idx="34">
                  <c:v>95.600542735023822</c:v>
                </c:pt>
                <c:pt idx="35">
                  <c:v>95.665179912076397</c:v>
                </c:pt>
                <c:pt idx="36">
                  <c:v>95.725644426801793</c:v>
                </c:pt>
                <c:pt idx="37">
                  <c:v>95.782266093345498</c:v>
                </c:pt>
                <c:pt idx="38">
                  <c:v>95.835340884579125</c:v>
                </c:pt>
                <c:pt idx="39">
                  <c:v>95.885135163973445</c:v>
                </c:pt>
                <c:pt idx="40">
                  <c:v>95.931889297928308</c:v>
                </c:pt>
                <c:pt idx="41">
                  <c:v>95.975820751856162</c:v>
                </c:pt>
                <c:pt idx="42">
                  <c:v>96.01712675409118</c:v>
                </c:pt>
                <c:pt idx="43">
                  <c:v>96.055986596404239</c:v>
                </c:pt>
                <c:pt idx="44">
                  <c:v>96.092563627672192</c:v>
                </c:pt>
                <c:pt idx="45">
                  <c:v>96.127006987411605</c:v>
                </c:pt>
                <c:pt idx="46">
                  <c:v>96.159453117934063</c:v>
                </c:pt>
                <c:pt idx="47">
                  <c:v>96.190027087418272</c:v>
                </c:pt>
                <c:pt idx="48">
                  <c:v>96.21884375091976</c:v>
                </c:pt>
                <c:pt idx="49">
                  <c:v>96.246008772014207</c:v>
                </c:pt>
                <c:pt idx="50">
                  <c:v>96.271619524209314</c:v>
                </c:pt>
                <c:pt idx="51">
                  <c:v>96.295765888315159</c:v>
                </c:pt>
                <c:pt idx="52">
                  <c:v>96.318530959518682</c:v>
                </c:pt>
                <c:pt idx="53">
                  <c:v>96.339991675870607</c:v>
                </c:pt>
                <c:pt idx="54">
                  <c:v>96.360219378190124</c:v>
                </c:pt>
                <c:pt idx="55">
                  <c:v>96.379280309962425</c:v>
                </c:pt>
                <c:pt idx="56">
                  <c:v>96.397236064600307</c:v>
                </c:pt>
                <c:pt idx="57">
                  <c:v>96.414143986424577</c:v>
                </c:pt>
                <c:pt idx="58">
                  <c:v>96.430057530855578</c:v>
                </c:pt>
                <c:pt idx="59">
                  <c:v>96.445026588575672</c:v>
                </c:pt>
                <c:pt idx="60">
                  <c:v>96.459097777798775</c:v>
                </c:pt>
                <c:pt idx="61">
                  <c:v>96.472314708247808</c:v>
                </c:pt>
                <c:pt idx="62">
                  <c:v>96.484718219985538</c:v>
                </c:pt>
                <c:pt idx="63">
                  <c:v>96.496346599849034</c:v>
                </c:pt>
                <c:pt idx="64">
                  <c:v>96.507235777900547</c:v>
                </c:pt>
                <c:pt idx="65">
                  <c:v>96.517419506015102</c:v>
                </c:pt>
                <c:pt idx="66">
                  <c:v>96.526929520471001</c:v>
                </c:pt>
                <c:pt idx="67">
                  <c:v>96.535795690190909</c:v>
                </c:pt>
                <c:pt idx="68">
                  <c:v>96.544046152089237</c:v>
                </c:pt>
                <c:pt idx="69">
                  <c:v>96.551707434815768</c:v>
                </c:pt>
                <c:pt idx="70">
                  <c:v>96.558804572039548</c:v>
                </c:pt>
                <c:pt idx="71">
                  <c:v>96.565361206290419</c:v>
                </c:pt>
                <c:pt idx="72">
                  <c:v>96.571399684263767</c:v>
                </c:pt>
                <c:pt idx="73">
                  <c:v>96.576941144396017</c:v>
                </c:pt>
                <c:pt idx="74">
                  <c:v>96.582005597432783</c:v>
                </c:pt>
                <c:pt idx="75">
                  <c:v>96.58661200063483</c:v>
                </c:pt>
                <c:pt idx="76">
                  <c:v>96.590778326200635</c:v>
                </c:pt>
                <c:pt idx="77">
                  <c:v>96.594521624424573</c:v>
                </c:pt>
                <c:pt idx="78">
                  <c:v>96.597858082057286</c:v>
                </c:pt>
                <c:pt idx="79">
                  <c:v>96.60080307628813</c:v>
                </c:pt>
                <c:pt idx="80">
                  <c:v>96.603371224728079</c:v>
                </c:pt>
                <c:pt idx="81">
                  <c:v>96.605576431734775</c:v>
                </c:pt>
                <c:pt idx="82">
                  <c:v>96.607431931387922</c:v>
                </c:pt>
                <c:pt idx="83">
                  <c:v>96.608950327394538</c:v>
                </c:pt>
                <c:pt idx="84">
                  <c:v>96.610143630176864</c:v>
                </c:pt>
                <c:pt idx="85">
                  <c:v>96.611023291372078</c:v>
                </c:pt>
                <c:pt idx="86">
                  <c:v>96.611600235952551</c:v>
                </c:pt>
                <c:pt idx="87">
                  <c:v>96.611884892155388</c:v>
                </c:pt>
                <c:pt idx="88">
                  <c:v>96.611887219394077</c:v>
                </c:pt>
                <c:pt idx="89">
                  <c:v>96.611616734308996</c:v>
                </c:pt>
                <c:pt idx="90">
                  <c:v>96.611082535099897</c:v>
                </c:pt>
                <c:pt idx="91">
                  <c:v>96.610293324271368</c:v>
                </c:pt>
                <c:pt idx="92">
                  <c:v>96.609257429910414</c:v>
                </c:pt>
                <c:pt idx="93">
                  <c:v>96.607982825605845</c:v>
                </c:pt>
                <c:pt idx="94">
                  <c:v>96.606477149109182</c:v>
                </c:pt>
                <c:pt idx="95">
                  <c:v>96.604747719829305</c:v>
                </c:pt>
                <c:pt idx="96">
                  <c:v>96.602801555244511</c:v>
                </c:pt>
                <c:pt idx="97">
                  <c:v>96.600645386309751</c:v>
                </c:pt>
                <c:pt idx="98">
                  <c:v>96.598285671929915</c:v>
                </c:pt>
                <c:pt idx="99">
                  <c:v>96.595728612564642</c:v>
                </c:pt>
                <c:pt idx="100">
                  <c:v>96.592980163024549</c:v>
                </c:pt>
                <c:pt idx="101">
                  <c:v>96.590046044514949</c:v>
                </c:pt>
                <c:pt idx="102">
                  <c:v>96.586931755977659</c:v>
                </c:pt>
                <c:pt idx="103">
                  <c:v>96.583642584778431</c:v>
                </c:pt>
                <c:pt idx="104">
                  <c:v>96.580183616783643</c:v>
                </c:pt>
                <c:pt idx="105">
                  <c:v>96.576559745866405</c:v>
                </c:pt>
                <c:pt idx="106">
                  <c:v>96.57277568287958</c:v>
                </c:pt>
                <c:pt idx="107">
                  <c:v>96.568835964130358</c:v>
                </c:pt>
                <c:pt idx="108">
                  <c:v>96.564744959388008</c:v>
                </c:pt>
                <c:pt idx="109">
                  <c:v>96.560506879455019</c:v>
                </c:pt>
                <c:pt idx="110">
                  <c:v>96.55612578332881</c:v>
                </c:pt>
                <c:pt idx="111">
                  <c:v>96.551605584979754</c:v>
                </c:pt>
                <c:pt idx="112">
                  <c:v>96.546950059769259</c:v>
                </c:pt>
                <c:pt idx="113">
                  <c:v>96.542162850529962</c:v>
                </c:pt>
                <c:pt idx="114">
                  <c:v>96.537247473328719</c:v>
                </c:pt>
                <c:pt idx="115">
                  <c:v>96.532207322931441</c:v>
                </c:pt>
                <c:pt idx="116">
                  <c:v>96.527045677987616</c:v>
                </c:pt>
                <c:pt idx="117">
                  <c:v>96.521765705951239</c:v>
                </c:pt>
                <c:pt idx="118">
                  <c:v>96.516370467753461</c:v>
                </c:pt>
                <c:pt idx="119">
                  <c:v>96.51086292224177</c:v>
                </c:pt>
                <c:pt idx="120">
                  <c:v>96.505245930398829</c:v>
                </c:pt>
                <c:pt idx="121">
                  <c:v>96.499522259353995</c:v>
                </c:pt>
                <c:pt idx="122">
                  <c:v>96.493694586198885</c:v>
                </c:pt>
                <c:pt idx="123">
                  <c:v>96.487765501618512</c:v>
                </c:pt>
                <c:pt idx="124">
                  <c:v>96.481737513348008</c:v>
                </c:pt>
                <c:pt idx="125">
                  <c:v>96.475613049464741</c:v>
                </c:pt>
                <c:pt idx="126">
                  <c:v>96.469394461524814</c:v>
                </c:pt>
                <c:pt idx="127">
                  <c:v>96.463084027552654</c:v>
                </c:pt>
                <c:pt idx="128">
                  <c:v>96.456683954891432</c:v>
                </c:pt>
                <c:pt idx="129">
                  <c:v>96.450196382921888</c:v>
                </c:pt>
                <c:pt idx="130">
                  <c:v>96.443623385656778</c:v>
                </c:pt>
                <c:pt idx="131">
                  <c:v>96.436966974217057</c:v>
                </c:pt>
                <c:pt idx="132">
                  <c:v>96.430229099196765</c:v>
                </c:pt>
                <c:pt idx="133">
                  <c:v>96.423411652921658</c:v>
                </c:pt>
                <c:pt idx="134">
                  <c:v>96.416516471607622</c:v>
                </c:pt>
                <c:pt idx="135">
                  <c:v>96.409545337423765</c:v>
                </c:pt>
                <c:pt idx="136">
                  <c:v>96.402499980465208</c:v>
                </c:pt>
                <c:pt idx="137">
                  <c:v>96.395382080640061</c:v>
                </c:pt>
                <c:pt idx="138">
                  <c:v>96.388193269474939</c:v>
                </c:pt>
                <c:pt idx="139">
                  <c:v>96.380935131843117</c:v>
                </c:pt>
                <c:pt idx="140">
                  <c:v>96.373609207619083</c:v>
                </c:pt>
                <c:pt idx="141">
                  <c:v>96.366216993263194</c:v>
                </c:pt>
                <c:pt idx="142">
                  <c:v>96.358759943339905</c:v>
                </c:pt>
                <c:pt idx="143">
                  <c:v>96.351239471972605</c:v>
                </c:pt>
                <c:pt idx="144">
                  <c:v>96.343656954238369</c:v>
                </c:pt>
                <c:pt idx="145">
                  <c:v>96.336013727505247</c:v>
                </c:pt>
                <c:pt idx="146">
                  <c:v>96.32831109271514</c:v>
                </c:pt>
                <c:pt idx="147">
                  <c:v>96.320550315614511</c:v>
                </c:pt>
                <c:pt idx="148">
                  <c:v>96.312732627935631</c:v>
                </c:pt>
                <c:pt idx="149">
                  <c:v>96.304859228530461</c:v>
                </c:pt>
                <c:pt idx="150">
                  <c:v>96.296931284459575</c:v>
                </c:pt>
              </c:numCache>
            </c:numRef>
          </c:yVal>
          <c:smooth val="0"/>
          <c:extLst>
            <c:ext xmlns:c16="http://schemas.microsoft.com/office/drawing/2014/chart" uri="{C3380CC4-5D6E-409C-BE32-E72D297353CC}">
              <c16:uniqueId val="{00000000-F850-4D08-8BFC-748D436DD73B}"/>
            </c:ext>
          </c:extLst>
        </c:ser>
        <c:dLbls>
          <c:showLegendKey val="0"/>
          <c:showVal val="0"/>
          <c:showCatName val="0"/>
          <c:showSerName val="0"/>
          <c:showPercent val="0"/>
          <c:showBubbleSize val="0"/>
        </c:dLbls>
        <c:axId val="224130176"/>
        <c:axId val="224131712"/>
      </c:scatterChart>
      <c:scatterChart>
        <c:scatterStyle val="smoothMarker"/>
        <c:varyColors val="0"/>
        <c:ser>
          <c:idx val="1"/>
          <c:order val="1"/>
          <c:tx>
            <c:v>MOSFET</c:v>
          </c:tx>
          <c:marker>
            <c:symbol val="none"/>
          </c:marker>
          <c:xVal>
            <c:numRef>
              <c:f>Eff_vs_IOUT!$S$7:$S$157</c:f>
              <c:numCache>
                <c:formatCode>General</c:formatCode>
                <c:ptCount val="151"/>
                <c:pt idx="0">
                  <c:v>0</c:v>
                </c:pt>
                <c:pt idx="1">
                  <c:v>2.777777777777778E-2</c:v>
                </c:pt>
                <c:pt idx="2">
                  <c:v>5.5555555555555559E-2</c:v>
                </c:pt>
                <c:pt idx="3">
                  <c:v>8.3333333333333343E-2</c:v>
                </c:pt>
                <c:pt idx="4">
                  <c:v>0.11111111111111112</c:v>
                </c:pt>
                <c:pt idx="5">
                  <c:v>0.1388888888888889</c:v>
                </c:pt>
                <c:pt idx="6">
                  <c:v>0.16666666666666669</c:v>
                </c:pt>
                <c:pt idx="7">
                  <c:v>0.19444444444444445</c:v>
                </c:pt>
                <c:pt idx="8">
                  <c:v>0.22222222222222224</c:v>
                </c:pt>
                <c:pt idx="9">
                  <c:v>0.25</c:v>
                </c:pt>
                <c:pt idx="10">
                  <c:v>0.27777777777777779</c:v>
                </c:pt>
                <c:pt idx="11">
                  <c:v>0.30555555555555558</c:v>
                </c:pt>
                <c:pt idx="12">
                  <c:v>0.33333333333333337</c:v>
                </c:pt>
                <c:pt idx="13">
                  <c:v>0.36111111111111116</c:v>
                </c:pt>
                <c:pt idx="14">
                  <c:v>0.3888888888888889</c:v>
                </c:pt>
                <c:pt idx="15">
                  <c:v>0.41666666666666669</c:v>
                </c:pt>
                <c:pt idx="16">
                  <c:v>0.44444444444444448</c:v>
                </c:pt>
                <c:pt idx="17">
                  <c:v>0.47222222222222227</c:v>
                </c:pt>
                <c:pt idx="18">
                  <c:v>0.5</c:v>
                </c:pt>
                <c:pt idx="19">
                  <c:v>0.52777777777777779</c:v>
                </c:pt>
                <c:pt idx="20">
                  <c:v>0.55555555555555558</c:v>
                </c:pt>
                <c:pt idx="21">
                  <c:v>0.58333333333333337</c:v>
                </c:pt>
                <c:pt idx="22">
                  <c:v>0.61111111111111116</c:v>
                </c:pt>
                <c:pt idx="23">
                  <c:v>0.63888888888888895</c:v>
                </c:pt>
                <c:pt idx="24">
                  <c:v>0.66666666666666674</c:v>
                </c:pt>
                <c:pt idx="25">
                  <c:v>0.69444444444444453</c:v>
                </c:pt>
                <c:pt idx="26">
                  <c:v>0.72222222222222232</c:v>
                </c:pt>
                <c:pt idx="27">
                  <c:v>0.75</c:v>
                </c:pt>
                <c:pt idx="28">
                  <c:v>0.77777777777777779</c:v>
                </c:pt>
                <c:pt idx="29">
                  <c:v>0.80555555555555558</c:v>
                </c:pt>
                <c:pt idx="30">
                  <c:v>0.83333333333333337</c:v>
                </c:pt>
                <c:pt idx="31">
                  <c:v>0.86111111111111116</c:v>
                </c:pt>
                <c:pt idx="32">
                  <c:v>0.88888888888888895</c:v>
                </c:pt>
                <c:pt idx="33">
                  <c:v>0.91666666666666674</c:v>
                </c:pt>
                <c:pt idx="34">
                  <c:v>0.94444444444444453</c:v>
                </c:pt>
                <c:pt idx="35">
                  <c:v>0.97222222222222232</c:v>
                </c:pt>
                <c:pt idx="36">
                  <c:v>1</c:v>
                </c:pt>
                <c:pt idx="37">
                  <c:v>1.0277777777777779</c:v>
                </c:pt>
                <c:pt idx="38">
                  <c:v>1.0555555555555556</c:v>
                </c:pt>
                <c:pt idx="39">
                  <c:v>1.0833333333333335</c:v>
                </c:pt>
                <c:pt idx="40">
                  <c:v>1.1111111111111112</c:v>
                </c:pt>
                <c:pt idx="41">
                  <c:v>1.1388888888888891</c:v>
                </c:pt>
                <c:pt idx="42">
                  <c:v>1.1666666666666667</c:v>
                </c:pt>
                <c:pt idx="43">
                  <c:v>1.1944444444444444</c:v>
                </c:pt>
                <c:pt idx="44">
                  <c:v>1.2222222222222223</c:v>
                </c:pt>
                <c:pt idx="45">
                  <c:v>1.25</c:v>
                </c:pt>
                <c:pt idx="46">
                  <c:v>1.2777777777777779</c:v>
                </c:pt>
                <c:pt idx="47">
                  <c:v>1.3055555555555556</c:v>
                </c:pt>
                <c:pt idx="48">
                  <c:v>1.3333333333333335</c:v>
                </c:pt>
                <c:pt idx="49">
                  <c:v>1.3611111111111112</c:v>
                </c:pt>
                <c:pt idx="50">
                  <c:v>1.3888888888888891</c:v>
                </c:pt>
                <c:pt idx="51">
                  <c:v>1.4166666666666667</c:v>
                </c:pt>
                <c:pt idx="52">
                  <c:v>1.4444444444444446</c:v>
                </c:pt>
                <c:pt idx="53">
                  <c:v>1.4722222222222223</c:v>
                </c:pt>
                <c:pt idx="54">
                  <c:v>1.5</c:v>
                </c:pt>
                <c:pt idx="55">
                  <c:v>1.5277777777777779</c:v>
                </c:pt>
                <c:pt idx="56">
                  <c:v>1.5555555555555556</c:v>
                </c:pt>
                <c:pt idx="57">
                  <c:v>1.5833333333333335</c:v>
                </c:pt>
                <c:pt idx="58">
                  <c:v>1.6111111111111112</c:v>
                </c:pt>
                <c:pt idx="59">
                  <c:v>1.6388888888888891</c:v>
                </c:pt>
                <c:pt idx="60">
                  <c:v>1.6666666666666667</c:v>
                </c:pt>
                <c:pt idx="61">
                  <c:v>1.6944444444444446</c:v>
                </c:pt>
                <c:pt idx="62">
                  <c:v>1.7222222222222223</c:v>
                </c:pt>
                <c:pt idx="63">
                  <c:v>1.7500000000000002</c:v>
                </c:pt>
                <c:pt idx="64">
                  <c:v>1.7777777777777779</c:v>
                </c:pt>
                <c:pt idx="65">
                  <c:v>1.8055555555555556</c:v>
                </c:pt>
                <c:pt idx="66">
                  <c:v>1.8333333333333335</c:v>
                </c:pt>
                <c:pt idx="67">
                  <c:v>1.8611111111111112</c:v>
                </c:pt>
                <c:pt idx="68">
                  <c:v>1.8888888888888891</c:v>
                </c:pt>
                <c:pt idx="69">
                  <c:v>1.9166666666666667</c:v>
                </c:pt>
                <c:pt idx="70">
                  <c:v>1.9444444444444446</c:v>
                </c:pt>
                <c:pt idx="71">
                  <c:v>1.9722222222222223</c:v>
                </c:pt>
                <c:pt idx="72">
                  <c:v>2</c:v>
                </c:pt>
                <c:pt idx="73">
                  <c:v>2.0277777777777781</c:v>
                </c:pt>
                <c:pt idx="74">
                  <c:v>2.0555555555555558</c:v>
                </c:pt>
                <c:pt idx="75">
                  <c:v>2.0833333333333335</c:v>
                </c:pt>
                <c:pt idx="76">
                  <c:v>2.1111111111111112</c:v>
                </c:pt>
                <c:pt idx="77">
                  <c:v>2.1388888888888888</c:v>
                </c:pt>
                <c:pt idx="78">
                  <c:v>2.166666666666667</c:v>
                </c:pt>
                <c:pt idx="79">
                  <c:v>2.1944444444444446</c:v>
                </c:pt>
                <c:pt idx="80">
                  <c:v>2.2222222222222223</c:v>
                </c:pt>
                <c:pt idx="81">
                  <c:v>2.25</c:v>
                </c:pt>
                <c:pt idx="82">
                  <c:v>2.2777777777777781</c:v>
                </c:pt>
                <c:pt idx="83">
                  <c:v>2.3055555555555558</c:v>
                </c:pt>
                <c:pt idx="84">
                  <c:v>2.3333333333333335</c:v>
                </c:pt>
                <c:pt idx="85">
                  <c:v>2.3611111111111112</c:v>
                </c:pt>
                <c:pt idx="86">
                  <c:v>2.3888888888888888</c:v>
                </c:pt>
                <c:pt idx="87">
                  <c:v>2.416666666666667</c:v>
                </c:pt>
                <c:pt idx="88">
                  <c:v>2.4444444444444446</c:v>
                </c:pt>
                <c:pt idx="89">
                  <c:v>2.4722222222222223</c:v>
                </c:pt>
                <c:pt idx="90">
                  <c:v>2.5</c:v>
                </c:pt>
                <c:pt idx="91">
                  <c:v>2.5277777777777781</c:v>
                </c:pt>
                <c:pt idx="92">
                  <c:v>2.5555555555555558</c:v>
                </c:pt>
                <c:pt idx="93">
                  <c:v>2.5833333333333335</c:v>
                </c:pt>
                <c:pt idx="94">
                  <c:v>2.6111111111111112</c:v>
                </c:pt>
                <c:pt idx="95">
                  <c:v>2.6388888888888893</c:v>
                </c:pt>
                <c:pt idx="96">
                  <c:v>2.666666666666667</c:v>
                </c:pt>
                <c:pt idx="97">
                  <c:v>2.6944444444444446</c:v>
                </c:pt>
                <c:pt idx="98">
                  <c:v>2.7222222222222223</c:v>
                </c:pt>
                <c:pt idx="99">
                  <c:v>2.75</c:v>
                </c:pt>
                <c:pt idx="100">
                  <c:v>2.7777777777777781</c:v>
                </c:pt>
                <c:pt idx="101">
                  <c:v>2.8055555555555558</c:v>
                </c:pt>
                <c:pt idx="102">
                  <c:v>2.8333333333333335</c:v>
                </c:pt>
                <c:pt idx="103">
                  <c:v>2.8611111111111112</c:v>
                </c:pt>
                <c:pt idx="104">
                  <c:v>2.8888888888888893</c:v>
                </c:pt>
                <c:pt idx="105">
                  <c:v>2.916666666666667</c:v>
                </c:pt>
                <c:pt idx="106">
                  <c:v>2.9444444444444446</c:v>
                </c:pt>
                <c:pt idx="107">
                  <c:v>2.9722222222222223</c:v>
                </c:pt>
                <c:pt idx="108">
                  <c:v>3</c:v>
                </c:pt>
                <c:pt idx="109">
                  <c:v>3.0277777777777781</c:v>
                </c:pt>
                <c:pt idx="110">
                  <c:v>3.0555555555555558</c:v>
                </c:pt>
                <c:pt idx="111">
                  <c:v>3.0833333333333335</c:v>
                </c:pt>
                <c:pt idx="112">
                  <c:v>3.1111111111111112</c:v>
                </c:pt>
                <c:pt idx="113">
                  <c:v>3.1388888888888893</c:v>
                </c:pt>
                <c:pt idx="114">
                  <c:v>3.166666666666667</c:v>
                </c:pt>
                <c:pt idx="115">
                  <c:v>3.1944444444444446</c:v>
                </c:pt>
                <c:pt idx="116">
                  <c:v>3.2222222222222223</c:v>
                </c:pt>
                <c:pt idx="117">
                  <c:v>3.2500000000000004</c:v>
                </c:pt>
                <c:pt idx="118">
                  <c:v>3.2777777777777781</c:v>
                </c:pt>
                <c:pt idx="119">
                  <c:v>3.3055555555555558</c:v>
                </c:pt>
                <c:pt idx="120">
                  <c:v>3.3333333333333335</c:v>
                </c:pt>
                <c:pt idx="121">
                  <c:v>3.3611111111111112</c:v>
                </c:pt>
                <c:pt idx="122">
                  <c:v>3.3888888888888893</c:v>
                </c:pt>
                <c:pt idx="123">
                  <c:v>3.416666666666667</c:v>
                </c:pt>
                <c:pt idx="124">
                  <c:v>3.4444444444444446</c:v>
                </c:pt>
                <c:pt idx="125">
                  <c:v>3.4722222222222223</c:v>
                </c:pt>
                <c:pt idx="126">
                  <c:v>3.5000000000000004</c:v>
                </c:pt>
                <c:pt idx="127">
                  <c:v>3.5277777777777781</c:v>
                </c:pt>
                <c:pt idx="128">
                  <c:v>3.5555555555555558</c:v>
                </c:pt>
                <c:pt idx="129">
                  <c:v>3.5833333333333335</c:v>
                </c:pt>
                <c:pt idx="130">
                  <c:v>3.6111111111111112</c:v>
                </c:pt>
                <c:pt idx="131">
                  <c:v>3.6388888888888893</c:v>
                </c:pt>
                <c:pt idx="132">
                  <c:v>3.666666666666667</c:v>
                </c:pt>
                <c:pt idx="133">
                  <c:v>3.6944444444444446</c:v>
                </c:pt>
                <c:pt idx="134">
                  <c:v>3.7222222222222223</c:v>
                </c:pt>
                <c:pt idx="135">
                  <c:v>3.7500000000000004</c:v>
                </c:pt>
                <c:pt idx="136">
                  <c:v>3.7777777777777781</c:v>
                </c:pt>
                <c:pt idx="137">
                  <c:v>3.8055555555555558</c:v>
                </c:pt>
                <c:pt idx="138">
                  <c:v>3.8333333333333335</c:v>
                </c:pt>
                <c:pt idx="139">
                  <c:v>3.8611111111111112</c:v>
                </c:pt>
                <c:pt idx="140">
                  <c:v>3.8888888888888893</c:v>
                </c:pt>
                <c:pt idx="141">
                  <c:v>3.916666666666667</c:v>
                </c:pt>
                <c:pt idx="142">
                  <c:v>3.9444444444444446</c:v>
                </c:pt>
                <c:pt idx="143">
                  <c:v>3.9722222222222223</c:v>
                </c:pt>
                <c:pt idx="144">
                  <c:v>4</c:v>
                </c:pt>
                <c:pt idx="145">
                  <c:v>4.0277777777777777</c:v>
                </c:pt>
                <c:pt idx="146">
                  <c:v>4.0555555555555562</c:v>
                </c:pt>
                <c:pt idx="147">
                  <c:v>4.0833333333333339</c:v>
                </c:pt>
                <c:pt idx="148">
                  <c:v>4.1111111111111116</c:v>
                </c:pt>
                <c:pt idx="149">
                  <c:v>4.1388888888888893</c:v>
                </c:pt>
                <c:pt idx="150">
                  <c:v>4.166666666666667</c:v>
                </c:pt>
              </c:numCache>
            </c:numRef>
          </c:xVal>
          <c:yVal>
            <c:numRef>
              <c:f>Eff_vs_IOUT!$AI$7:$AI$157</c:f>
              <c:numCache>
                <c:formatCode>General</c:formatCode>
                <c:ptCount val="151"/>
                <c:pt idx="0">
                  <c:v>0</c:v>
                </c:pt>
                <c:pt idx="1">
                  <c:v>7.8575621734463044E-3</c:v>
                </c:pt>
                <c:pt idx="2">
                  <c:v>1.5857956532581666E-2</c:v>
                </c:pt>
                <c:pt idx="3">
                  <c:v>2.3951333285119343E-2</c:v>
                </c:pt>
                <c:pt idx="4">
                  <c:v>3.2119903493453034E-2</c:v>
                </c:pt>
                <c:pt idx="5">
                  <c:v>4.0353386133979541E-2</c:v>
                </c:pt>
                <c:pt idx="6">
                  <c:v>4.8644844377947347E-2</c:v>
                </c:pt>
                <c:pt idx="7">
                  <c:v>5.6989185722910889E-2</c:v>
                </c:pt>
                <c:pt idx="8">
                  <c:v>6.5382464472418494E-2</c:v>
                </c:pt>
                <c:pt idx="9">
                  <c:v>7.3821506159521891E-2</c:v>
                </c:pt>
                <c:pt idx="10">
                  <c:v>8.2303684650837067E-2</c:v>
                </c:pt>
                <c:pt idx="11">
                  <c:v>9.0826780273578975E-2</c:v>
                </c:pt>
                <c:pt idx="12">
                  <c:v>9.9388884598602525E-2</c:v>
                </c:pt>
                <c:pt idx="13">
                  <c:v>0.10798833381924104</c:v>
                </c:pt>
                <c:pt idx="14">
                  <c:v>0.11662366054366502</c:v>
                </c:pt>
                <c:pt idx="15">
                  <c:v>0.12529355792948571</c:v>
                </c:pt>
                <c:pt idx="16">
                  <c:v>0.13399685237115463</c:v>
                </c:pt>
                <c:pt idx="17">
                  <c:v>0.14273248228303842</c:v>
                </c:pt>
                <c:pt idx="18">
                  <c:v>0.15149948133264823</c:v>
                </c:pt>
                <c:pt idx="19">
                  <c:v>0.16030317841485167</c:v>
                </c:pt>
                <c:pt idx="20">
                  <c:v>0.16916528162089131</c:v>
                </c:pt>
                <c:pt idx="21">
                  <c:v>0.17808774147988021</c:v>
                </c:pt>
                <c:pt idx="22">
                  <c:v>0.18707055799181835</c:v>
                </c:pt>
                <c:pt idx="23">
                  <c:v>0.19611373115670569</c:v>
                </c:pt>
                <c:pt idx="24">
                  <c:v>0.20521726097454229</c:v>
                </c:pt>
                <c:pt idx="25">
                  <c:v>0.21438114744532821</c:v>
                </c:pt>
                <c:pt idx="26">
                  <c:v>0.22360539056906331</c:v>
                </c:pt>
                <c:pt idx="27">
                  <c:v>0.23288999034574764</c:v>
                </c:pt>
                <c:pt idx="28">
                  <c:v>0.24223494677538127</c:v>
                </c:pt>
                <c:pt idx="29">
                  <c:v>0.25164025985796407</c:v>
                </c:pt>
                <c:pt idx="30">
                  <c:v>0.26110592959349621</c:v>
                </c:pt>
                <c:pt idx="31">
                  <c:v>0.27063195598197753</c:v>
                </c:pt>
                <c:pt idx="32">
                  <c:v>0.28021833902340815</c:v>
                </c:pt>
                <c:pt idx="33">
                  <c:v>0.28986507871778799</c:v>
                </c:pt>
                <c:pt idx="34">
                  <c:v>0.29957217506511702</c:v>
                </c:pt>
                <c:pt idx="35">
                  <c:v>0.30933962806539539</c:v>
                </c:pt>
                <c:pt idx="36">
                  <c:v>0.31916743771862294</c:v>
                </c:pt>
                <c:pt idx="37">
                  <c:v>0.32905560402479983</c:v>
                </c:pt>
                <c:pt idx="38">
                  <c:v>0.33900412698392579</c:v>
                </c:pt>
                <c:pt idx="39">
                  <c:v>0.3490130065960011</c:v>
                </c:pt>
                <c:pt idx="40">
                  <c:v>0.35908224286102564</c:v>
                </c:pt>
                <c:pt idx="41">
                  <c:v>0.36921183577899941</c:v>
                </c:pt>
                <c:pt idx="42">
                  <c:v>0.37940178534992253</c:v>
                </c:pt>
                <c:pt idx="43">
                  <c:v>0.38965209157379477</c:v>
                </c:pt>
                <c:pt idx="44">
                  <c:v>0.39996275445061635</c:v>
                </c:pt>
                <c:pt idx="45">
                  <c:v>0.41033377398038706</c:v>
                </c:pt>
                <c:pt idx="46">
                  <c:v>0.42076515016310712</c:v>
                </c:pt>
                <c:pt idx="47">
                  <c:v>0.4312568829987764</c:v>
                </c:pt>
                <c:pt idx="48">
                  <c:v>0.44180897248739481</c:v>
                </c:pt>
                <c:pt idx="49">
                  <c:v>0.45242141862896273</c:v>
                </c:pt>
                <c:pt idx="50">
                  <c:v>0.46309422142347978</c:v>
                </c:pt>
                <c:pt idx="51">
                  <c:v>0.47382738087094584</c:v>
                </c:pt>
                <c:pt idx="52">
                  <c:v>0.48462089697136146</c:v>
                </c:pt>
                <c:pt idx="53">
                  <c:v>0.49547476972472626</c:v>
                </c:pt>
                <c:pt idx="54">
                  <c:v>0.50638899913104019</c:v>
                </c:pt>
                <c:pt idx="55">
                  <c:v>0.51736358519030334</c:v>
                </c:pt>
                <c:pt idx="56">
                  <c:v>0.52839852790251585</c:v>
                </c:pt>
                <c:pt idx="57">
                  <c:v>0.53949382726767758</c:v>
                </c:pt>
                <c:pt idx="58">
                  <c:v>0.55064948328578855</c:v>
                </c:pt>
                <c:pt idx="59">
                  <c:v>0.56186549595684876</c:v>
                </c:pt>
                <c:pt idx="60">
                  <c:v>0.5731418652808582</c:v>
                </c:pt>
                <c:pt idx="61">
                  <c:v>0.58447859125781698</c:v>
                </c:pt>
                <c:pt idx="62">
                  <c:v>0.59587567388772489</c:v>
                </c:pt>
                <c:pt idx="63">
                  <c:v>0.60733311317058225</c:v>
                </c:pt>
                <c:pt idx="64">
                  <c:v>0.61885090910638862</c:v>
                </c:pt>
                <c:pt idx="65">
                  <c:v>0.63042906169514423</c:v>
                </c:pt>
                <c:pt idx="66">
                  <c:v>0.64206757093684919</c:v>
                </c:pt>
                <c:pt idx="67">
                  <c:v>0.65376643683150337</c:v>
                </c:pt>
                <c:pt idx="68">
                  <c:v>0.66552565937910679</c:v>
                </c:pt>
                <c:pt idx="69">
                  <c:v>0.67734523857965934</c:v>
                </c:pt>
                <c:pt idx="70">
                  <c:v>0.68922517443316134</c:v>
                </c:pt>
                <c:pt idx="71">
                  <c:v>0.70116546693961257</c:v>
                </c:pt>
                <c:pt idx="72">
                  <c:v>0.71316611609901281</c:v>
                </c:pt>
                <c:pt idx="73">
                  <c:v>0.72522712191136263</c:v>
                </c:pt>
                <c:pt idx="74">
                  <c:v>0.73734848437666156</c:v>
                </c:pt>
                <c:pt idx="75">
                  <c:v>0.7495302034949094</c:v>
                </c:pt>
                <c:pt idx="76">
                  <c:v>0.76177227926610702</c:v>
                </c:pt>
                <c:pt idx="77">
                  <c:v>0.77407471169025355</c:v>
                </c:pt>
                <c:pt idx="78">
                  <c:v>0.78643750076734964</c:v>
                </c:pt>
                <c:pt idx="79">
                  <c:v>0.79886064649739463</c:v>
                </c:pt>
                <c:pt idx="80">
                  <c:v>0.81134414888038908</c:v>
                </c:pt>
                <c:pt idx="81">
                  <c:v>0.82388800791633265</c:v>
                </c:pt>
                <c:pt idx="82">
                  <c:v>0.83649222360522546</c:v>
                </c:pt>
                <c:pt idx="83">
                  <c:v>0.84915679594706761</c:v>
                </c:pt>
                <c:pt idx="84">
                  <c:v>0.861881724941859</c:v>
                </c:pt>
                <c:pt idx="85">
                  <c:v>0.87466701058959961</c:v>
                </c:pt>
                <c:pt idx="86">
                  <c:v>0.88751265289028936</c:v>
                </c:pt>
                <c:pt idx="87">
                  <c:v>0.90041865184392866</c:v>
                </c:pt>
                <c:pt idx="88">
                  <c:v>0.91338500745051709</c:v>
                </c:pt>
                <c:pt idx="89">
                  <c:v>0.92641171971005432</c:v>
                </c:pt>
                <c:pt idx="90">
                  <c:v>0.93949878862254121</c:v>
                </c:pt>
                <c:pt idx="91">
                  <c:v>0.95264621418797757</c:v>
                </c:pt>
                <c:pt idx="92">
                  <c:v>0.96585399640636271</c:v>
                </c:pt>
                <c:pt idx="93">
                  <c:v>0.97912213527769731</c:v>
                </c:pt>
                <c:pt idx="94">
                  <c:v>0.99245063080198104</c:v>
                </c:pt>
                <c:pt idx="95">
                  <c:v>1.0058394829792143</c:v>
                </c:pt>
                <c:pt idx="96">
                  <c:v>1.0192886918093964</c:v>
                </c:pt>
                <c:pt idx="97">
                  <c:v>1.0327982572925281</c:v>
                </c:pt>
                <c:pt idx="98">
                  <c:v>1.046368179428609</c:v>
                </c:pt>
                <c:pt idx="99">
                  <c:v>1.0599984582176387</c:v>
                </c:pt>
                <c:pt idx="100">
                  <c:v>1.0736890936596184</c:v>
                </c:pt>
                <c:pt idx="101">
                  <c:v>1.0874400857545468</c:v>
                </c:pt>
                <c:pt idx="102">
                  <c:v>1.1012514345024242</c:v>
                </c:pt>
                <c:pt idx="103">
                  <c:v>1.1151231399032515</c:v>
                </c:pt>
                <c:pt idx="104">
                  <c:v>1.1290552019570277</c:v>
                </c:pt>
                <c:pt idx="105">
                  <c:v>1.143047620663753</c:v>
                </c:pt>
                <c:pt idx="106">
                  <c:v>1.1571003960234281</c:v>
                </c:pt>
                <c:pt idx="107">
                  <c:v>1.1712135280360523</c:v>
                </c:pt>
                <c:pt idx="108">
                  <c:v>1.1853870167016252</c:v>
                </c:pt>
                <c:pt idx="109">
                  <c:v>1.1996208620201476</c:v>
                </c:pt>
                <c:pt idx="110">
                  <c:v>1.2139150639916196</c:v>
                </c:pt>
                <c:pt idx="111">
                  <c:v>1.2282696226160403</c:v>
                </c:pt>
                <c:pt idx="112">
                  <c:v>1.2426845378934108</c:v>
                </c:pt>
                <c:pt idx="113">
                  <c:v>1.2571598098237302</c:v>
                </c:pt>
                <c:pt idx="114">
                  <c:v>1.2716954384069987</c:v>
                </c:pt>
                <c:pt idx="115">
                  <c:v>1.286291423643217</c:v>
                </c:pt>
                <c:pt idx="116">
                  <c:v>1.3009477655323838</c:v>
                </c:pt>
                <c:pt idx="117">
                  <c:v>1.3156644640745006</c:v>
                </c:pt>
                <c:pt idx="118">
                  <c:v>1.330441519269566</c:v>
                </c:pt>
                <c:pt idx="119">
                  <c:v>1.3452789311175815</c:v>
                </c:pt>
                <c:pt idx="120">
                  <c:v>1.3601766996185456</c:v>
                </c:pt>
                <c:pt idx="121">
                  <c:v>1.3751348247724589</c:v>
                </c:pt>
                <c:pt idx="122">
                  <c:v>1.3901533065793217</c:v>
                </c:pt>
                <c:pt idx="123">
                  <c:v>1.4052321450391334</c:v>
                </c:pt>
                <c:pt idx="124">
                  <c:v>1.4203713401518945</c:v>
                </c:pt>
                <c:pt idx="125">
                  <c:v>1.4355708919176049</c:v>
                </c:pt>
                <c:pt idx="126">
                  <c:v>1.4508308003362651</c:v>
                </c:pt>
                <c:pt idx="127">
                  <c:v>1.466151065407874</c:v>
                </c:pt>
                <c:pt idx="128">
                  <c:v>1.4815316871324318</c:v>
                </c:pt>
                <c:pt idx="129">
                  <c:v>1.4969726655099387</c:v>
                </c:pt>
                <c:pt idx="130">
                  <c:v>1.5124740005403958</c:v>
                </c:pt>
                <c:pt idx="131">
                  <c:v>1.5280356922238016</c:v>
                </c:pt>
                <c:pt idx="132">
                  <c:v>1.5436577405601573</c:v>
                </c:pt>
                <c:pt idx="133">
                  <c:v>1.5593401455494613</c:v>
                </c:pt>
                <c:pt idx="134">
                  <c:v>1.575082907191715</c:v>
                </c:pt>
                <c:pt idx="135">
                  <c:v>1.5908860254869182</c:v>
                </c:pt>
                <c:pt idx="136">
                  <c:v>1.6067495004350696</c:v>
                </c:pt>
                <c:pt idx="137">
                  <c:v>1.6226733320361713</c:v>
                </c:pt>
                <c:pt idx="138">
                  <c:v>1.6386575202902214</c:v>
                </c:pt>
                <c:pt idx="139">
                  <c:v>1.6547020651972222</c:v>
                </c:pt>
                <c:pt idx="140">
                  <c:v>1.6708069667571708</c:v>
                </c:pt>
                <c:pt idx="141">
                  <c:v>1.6869722249700692</c:v>
                </c:pt>
                <c:pt idx="142">
                  <c:v>1.7031978398359167</c:v>
                </c:pt>
                <c:pt idx="143">
                  <c:v>1.7194838113547135</c:v>
                </c:pt>
                <c:pt idx="144">
                  <c:v>1.7358301395264593</c:v>
                </c:pt>
                <c:pt idx="145">
                  <c:v>1.7522368243511548</c:v>
                </c:pt>
                <c:pt idx="146">
                  <c:v>1.7687038658288001</c:v>
                </c:pt>
                <c:pt idx="147">
                  <c:v>1.7852312639593937</c:v>
                </c:pt>
                <c:pt idx="148">
                  <c:v>1.801819018742937</c:v>
                </c:pt>
                <c:pt idx="149">
                  <c:v>1.8184671301794291</c:v>
                </c:pt>
                <c:pt idx="150">
                  <c:v>1.83517559826887</c:v>
                </c:pt>
              </c:numCache>
            </c:numRef>
          </c:yVal>
          <c:smooth val="1"/>
          <c:extLst>
            <c:ext xmlns:c16="http://schemas.microsoft.com/office/drawing/2014/chart" uri="{C3380CC4-5D6E-409C-BE32-E72D297353CC}">
              <c16:uniqueId val="{00000001-F850-4D08-8BFC-748D436DD73B}"/>
            </c:ext>
          </c:extLst>
        </c:ser>
        <c:ser>
          <c:idx val="2"/>
          <c:order val="2"/>
          <c:tx>
            <c:v>Diode</c:v>
          </c:tx>
          <c:marker>
            <c:symbol val="none"/>
          </c:marker>
          <c:xVal>
            <c:numRef>
              <c:f>Eff_vs_IOUT!$S$7:$S$157</c:f>
              <c:numCache>
                <c:formatCode>General</c:formatCode>
                <c:ptCount val="151"/>
                <c:pt idx="0">
                  <c:v>0</c:v>
                </c:pt>
                <c:pt idx="1">
                  <c:v>2.777777777777778E-2</c:v>
                </c:pt>
                <c:pt idx="2">
                  <c:v>5.5555555555555559E-2</c:v>
                </c:pt>
                <c:pt idx="3">
                  <c:v>8.3333333333333343E-2</c:v>
                </c:pt>
                <c:pt idx="4">
                  <c:v>0.11111111111111112</c:v>
                </c:pt>
                <c:pt idx="5">
                  <c:v>0.1388888888888889</c:v>
                </c:pt>
                <c:pt idx="6">
                  <c:v>0.16666666666666669</c:v>
                </c:pt>
                <c:pt idx="7">
                  <c:v>0.19444444444444445</c:v>
                </c:pt>
                <c:pt idx="8">
                  <c:v>0.22222222222222224</c:v>
                </c:pt>
                <c:pt idx="9">
                  <c:v>0.25</c:v>
                </c:pt>
                <c:pt idx="10">
                  <c:v>0.27777777777777779</c:v>
                </c:pt>
                <c:pt idx="11">
                  <c:v>0.30555555555555558</c:v>
                </c:pt>
                <c:pt idx="12">
                  <c:v>0.33333333333333337</c:v>
                </c:pt>
                <c:pt idx="13">
                  <c:v>0.36111111111111116</c:v>
                </c:pt>
                <c:pt idx="14">
                  <c:v>0.3888888888888889</c:v>
                </c:pt>
                <c:pt idx="15">
                  <c:v>0.41666666666666669</c:v>
                </c:pt>
                <c:pt idx="16">
                  <c:v>0.44444444444444448</c:v>
                </c:pt>
                <c:pt idx="17">
                  <c:v>0.47222222222222227</c:v>
                </c:pt>
                <c:pt idx="18">
                  <c:v>0.5</c:v>
                </c:pt>
                <c:pt idx="19">
                  <c:v>0.52777777777777779</c:v>
                </c:pt>
                <c:pt idx="20">
                  <c:v>0.55555555555555558</c:v>
                </c:pt>
                <c:pt idx="21">
                  <c:v>0.58333333333333337</c:v>
                </c:pt>
                <c:pt idx="22">
                  <c:v>0.61111111111111116</c:v>
                </c:pt>
                <c:pt idx="23">
                  <c:v>0.63888888888888895</c:v>
                </c:pt>
                <c:pt idx="24">
                  <c:v>0.66666666666666674</c:v>
                </c:pt>
                <c:pt idx="25">
                  <c:v>0.69444444444444453</c:v>
                </c:pt>
                <c:pt idx="26">
                  <c:v>0.72222222222222232</c:v>
                </c:pt>
                <c:pt idx="27">
                  <c:v>0.75</c:v>
                </c:pt>
                <c:pt idx="28">
                  <c:v>0.77777777777777779</c:v>
                </c:pt>
                <c:pt idx="29">
                  <c:v>0.80555555555555558</c:v>
                </c:pt>
                <c:pt idx="30">
                  <c:v>0.83333333333333337</c:v>
                </c:pt>
                <c:pt idx="31">
                  <c:v>0.86111111111111116</c:v>
                </c:pt>
                <c:pt idx="32">
                  <c:v>0.88888888888888895</c:v>
                </c:pt>
                <c:pt idx="33">
                  <c:v>0.91666666666666674</c:v>
                </c:pt>
                <c:pt idx="34">
                  <c:v>0.94444444444444453</c:v>
                </c:pt>
                <c:pt idx="35">
                  <c:v>0.97222222222222232</c:v>
                </c:pt>
                <c:pt idx="36">
                  <c:v>1</c:v>
                </c:pt>
                <c:pt idx="37">
                  <c:v>1.0277777777777779</c:v>
                </c:pt>
                <c:pt idx="38">
                  <c:v>1.0555555555555556</c:v>
                </c:pt>
                <c:pt idx="39">
                  <c:v>1.0833333333333335</c:v>
                </c:pt>
                <c:pt idx="40">
                  <c:v>1.1111111111111112</c:v>
                </c:pt>
                <c:pt idx="41">
                  <c:v>1.1388888888888891</c:v>
                </c:pt>
                <c:pt idx="42">
                  <c:v>1.1666666666666667</c:v>
                </c:pt>
                <c:pt idx="43">
                  <c:v>1.1944444444444444</c:v>
                </c:pt>
                <c:pt idx="44">
                  <c:v>1.2222222222222223</c:v>
                </c:pt>
                <c:pt idx="45">
                  <c:v>1.25</c:v>
                </c:pt>
                <c:pt idx="46">
                  <c:v>1.2777777777777779</c:v>
                </c:pt>
                <c:pt idx="47">
                  <c:v>1.3055555555555556</c:v>
                </c:pt>
                <c:pt idx="48">
                  <c:v>1.3333333333333335</c:v>
                </c:pt>
                <c:pt idx="49">
                  <c:v>1.3611111111111112</c:v>
                </c:pt>
                <c:pt idx="50">
                  <c:v>1.3888888888888891</c:v>
                </c:pt>
                <c:pt idx="51">
                  <c:v>1.4166666666666667</c:v>
                </c:pt>
                <c:pt idx="52">
                  <c:v>1.4444444444444446</c:v>
                </c:pt>
                <c:pt idx="53">
                  <c:v>1.4722222222222223</c:v>
                </c:pt>
                <c:pt idx="54">
                  <c:v>1.5</c:v>
                </c:pt>
                <c:pt idx="55">
                  <c:v>1.5277777777777779</c:v>
                </c:pt>
                <c:pt idx="56">
                  <c:v>1.5555555555555556</c:v>
                </c:pt>
                <c:pt idx="57">
                  <c:v>1.5833333333333335</c:v>
                </c:pt>
                <c:pt idx="58">
                  <c:v>1.6111111111111112</c:v>
                </c:pt>
                <c:pt idx="59">
                  <c:v>1.6388888888888891</c:v>
                </c:pt>
                <c:pt idx="60">
                  <c:v>1.6666666666666667</c:v>
                </c:pt>
                <c:pt idx="61">
                  <c:v>1.6944444444444446</c:v>
                </c:pt>
                <c:pt idx="62">
                  <c:v>1.7222222222222223</c:v>
                </c:pt>
                <c:pt idx="63">
                  <c:v>1.7500000000000002</c:v>
                </c:pt>
                <c:pt idx="64">
                  <c:v>1.7777777777777779</c:v>
                </c:pt>
                <c:pt idx="65">
                  <c:v>1.8055555555555556</c:v>
                </c:pt>
                <c:pt idx="66">
                  <c:v>1.8333333333333335</c:v>
                </c:pt>
                <c:pt idx="67">
                  <c:v>1.8611111111111112</c:v>
                </c:pt>
                <c:pt idx="68">
                  <c:v>1.8888888888888891</c:v>
                </c:pt>
                <c:pt idx="69">
                  <c:v>1.9166666666666667</c:v>
                </c:pt>
                <c:pt idx="70">
                  <c:v>1.9444444444444446</c:v>
                </c:pt>
                <c:pt idx="71">
                  <c:v>1.9722222222222223</c:v>
                </c:pt>
                <c:pt idx="72">
                  <c:v>2</c:v>
                </c:pt>
                <c:pt idx="73">
                  <c:v>2.0277777777777781</c:v>
                </c:pt>
                <c:pt idx="74">
                  <c:v>2.0555555555555558</c:v>
                </c:pt>
                <c:pt idx="75">
                  <c:v>2.0833333333333335</c:v>
                </c:pt>
                <c:pt idx="76">
                  <c:v>2.1111111111111112</c:v>
                </c:pt>
                <c:pt idx="77">
                  <c:v>2.1388888888888888</c:v>
                </c:pt>
                <c:pt idx="78">
                  <c:v>2.166666666666667</c:v>
                </c:pt>
                <c:pt idx="79">
                  <c:v>2.1944444444444446</c:v>
                </c:pt>
                <c:pt idx="80">
                  <c:v>2.2222222222222223</c:v>
                </c:pt>
                <c:pt idx="81">
                  <c:v>2.25</c:v>
                </c:pt>
                <c:pt idx="82">
                  <c:v>2.2777777777777781</c:v>
                </c:pt>
                <c:pt idx="83">
                  <c:v>2.3055555555555558</c:v>
                </c:pt>
                <c:pt idx="84">
                  <c:v>2.3333333333333335</c:v>
                </c:pt>
                <c:pt idx="85">
                  <c:v>2.3611111111111112</c:v>
                </c:pt>
                <c:pt idx="86">
                  <c:v>2.3888888888888888</c:v>
                </c:pt>
                <c:pt idx="87">
                  <c:v>2.416666666666667</c:v>
                </c:pt>
                <c:pt idx="88">
                  <c:v>2.4444444444444446</c:v>
                </c:pt>
                <c:pt idx="89">
                  <c:v>2.4722222222222223</c:v>
                </c:pt>
                <c:pt idx="90">
                  <c:v>2.5</c:v>
                </c:pt>
                <c:pt idx="91">
                  <c:v>2.5277777777777781</c:v>
                </c:pt>
                <c:pt idx="92">
                  <c:v>2.5555555555555558</c:v>
                </c:pt>
                <c:pt idx="93">
                  <c:v>2.5833333333333335</c:v>
                </c:pt>
                <c:pt idx="94">
                  <c:v>2.6111111111111112</c:v>
                </c:pt>
                <c:pt idx="95">
                  <c:v>2.6388888888888893</c:v>
                </c:pt>
                <c:pt idx="96">
                  <c:v>2.666666666666667</c:v>
                </c:pt>
                <c:pt idx="97">
                  <c:v>2.6944444444444446</c:v>
                </c:pt>
                <c:pt idx="98">
                  <c:v>2.7222222222222223</c:v>
                </c:pt>
                <c:pt idx="99">
                  <c:v>2.75</c:v>
                </c:pt>
                <c:pt idx="100">
                  <c:v>2.7777777777777781</c:v>
                </c:pt>
                <c:pt idx="101">
                  <c:v>2.8055555555555558</c:v>
                </c:pt>
                <c:pt idx="102">
                  <c:v>2.8333333333333335</c:v>
                </c:pt>
                <c:pt idx="103">
                  <c:v>2.8611111111111112</c:v>
                </c:pt>
                <c:pt idx="104">
                  <c:v>2.8888888888888893</c:v>
                </c:pt>
                <c:pt idx="105">
                  <c:v>2.916666666666667</c:v>
                </c:pt>
                <c:pt idx="106">
                  <c:v>2.9444444444444446</c:v>
                </c:pt>
                <c:pt idx="107">
                  <c:v>2.9722222222222223</c:v>
                </c:pt>
                <c:pt idx="108">
                  <c:v>3</c:v>
                </c:pt>
                <c:pt idx="109">
                  <c:v>3.0277777777777781</c:v>
                </c:pt>
                <c:pt idx="110">
                  <c:v>3.0555555555555558</c:v>
                </c:pt>
                <c:pt idx="111">
                  <c:v>3.0833333333333335</c:v>
                </c:pt>
                <c:pt idx="112">
                  <c:v>3.1111111111111112</c:v>
                </c:pt>
                <c:pt idx="113">
                  <c:v>3.1388888888888893</c:v>
                </c:pt>
                <c:pt idx="114">
                  <c:v>3.166666666666667</c:v>
                </c:pt>
                <c:pt idx="115">
                  <c:v>3.1944444444444446</c:v>
                </c:pt>
                <c:pt idx="116">
                  <c:v>3.2222222222222223</c:v>
                </c:pt>
                <c:pt idx="117">
                  <c:v>3.2500000000000004</c:v>
                </c:pt>
                <c:pt idx="118">
                  <c:v>3.2777777777777781</c:v>
                </c:pt>
                <c:pt idx="119">
                  <c:v>3.3055555555555558</c:v>
                </c:pt>
                <c:pt idx="120">
                  <c:v>3.3333333333333335</c:v>
                </c:pt>
                <c:pt idx="121">
                  <c:v>3.3611111111111112</c:v>
                </c:pt>
                <c:pt idx="122">
                  <c:v>3.3888888888888893</c:v>
                </c:pt>
                <c:pt idx="123">
                  <c:v>3.416666666666667</c:v>
                </c:pt>
                <c:pt idx="124">
                  <c:v>3.4444444444444446</c:v>
                </c:pt>
                <c:pt idx="125">
                  <c:v>3.4722222222222223</c:v>
                </c:pt>
                <c:pt idx="126">
                  <c:v>3.5000000000000004</c:v>
                </c:pt>
                <c:pt idx="127">
                  <c:v>3.5277777777777781</c:v>
                </c:pt>
                <c:pt idx="128">
                  <c:v>3.5555555555555558</c:v>
                </c:pt>
                <c:pt idx="129">
                  <c:v>3.5833333333333335</c:v>
                </c:pt>
                <c:pt idx="130">
                  <c:v>3.6111111111111112</c:v>
                </c:pt>
                <c:pt idx="131">
                  <c:v>3.6388888888888893</c:v>
                </c:pt>
                <c:pt idx="132">
                  <c:v>3.666666666666667</c:v>
                </c:pt>
                <c:pt idx="133">
                  <c:v>3.6944444444444446</c:v>
                </c:pt>
                <c:pt idx="134">
                  <c:v>3.7222222222222223</c:v>
                </c:pt>
                <c:pt idx="135">
                  <c:v>3.7500000000000004</c:v>
                </c:pt>
                <c:pt idx="136">
                  <c:v>3.7777777777777781</c:v>
                </c:pt>
                <c:pt idx="137">
                  <c:v>3.8055555555555558</c:v>
                </c:pt>
                <c:pt idx="138">
                  <c:v>3.8333333333333335</c:v>
                </c:pt>
                <c:pt idx="139">
                  <c:v>3.8611111111111112</c:v>
                </c:pt>
                <c:pt idx="140">
                  <c:v>3.8888888888888893</c:v>
                </c:pt>
                <c:pt idx="141">
                  <c:v>3.916666666666667</c:v>
                </c:pt>
                <c:pt idx="142">
                  <c:v>3.9444444444444446</c:v>
                </c:pt>
                <c:pt idx="143">
                  <c:v>3.9722222222222223</c:v>
                </c:pt>
                <c:pt idx="144">
                  <c:v>4</c:v>
                </c:pt>
                <c:pt idx="145">
                  <c:v>4.0277777777777777</c:v>
                </c:pt>
                <c:pt idx="146">
                  <c:v>4.0555555555555562</c:v>
                </c:pt>
                <c:pt idx="147">
                  <c:v>4.0833333333333339</c:v>
                </c:pt>
                <c:pt idx="148">
                  <c:v>4.1111111111111116</c:v>
                </c:pt>
                <c:pt idx="149">
                  <c:v>4.1388888888888893</c:v>
                </c:pt>
                <c:pt idx="150">
                  <c:v>4.166666666666667</c:v>
                </c:pt>
              </c:numCache>
            </c:numRef>
          </c:xVal>
          <c:yVal>
            <c:numRef>
              <c:f>Eff_vs_IOUT!$AO$7:$AO$157</c:f>
              <c:numCache>
                <c:formatCode>General</c:formatCode>
                <c:ptCount val="151"/>
                <c:pt idx="0">
                  <c:v>0</c:v>
                </c:pt>
                <c:pt idx="1">
                  <c:v>0.36466841132179767</c:v>
                </c:pt>
                <c:pt idx="2">
                  <c:v>0.36670866397969143</c:v>
                </c:pt>
                <c:pt idx="3">
                  <c:v>0.36837400386826918</c:v>
                </c:pt>
                <c:pt idx="4">
                  <c:v>0.36986151196329631</c:v>
                </c:pt>
                <c:pt idx="5">
                  <c:v>0.37124549154446895</c:v>
                </c:pt>
                <c:pt idx="6">
                  <c:v>0.37256305140091461</c:v>
                </c:pt>
                <c:pt idx="7">
                  <c:v>0.37383565283073544</c:v>
                </c:pt>
                <c:pt idx="8">
                  <c:v>0.37507690246726538</c:v>
                </c:pt>
                <c:pt idx="9">
                  <c:v>0.37629599124419699</c:v>
                </c:pt>
                <c:pt idx="10">
                  <c:v>0.3774994221304151</c:v>
                </c:pt>
                <c:pt idx="11">
                  <c:v>0.37869196204962446</c:v>
                </c:pt>
                <c:pt idx="12">
                  <c:v>0.37987720404885095</c:v>
                </c:pt>
                <c:pt idx="13">
                  <c:v>0.38105791780988324</c:v>
                </c:pt>
                <c:pt idx="14">
                  <c:v>0.38223627794980014</c:v>
                </c:pt>
                <c:pt idx="15">
                  <c:v>0.38341401816419785</c:v>
                </c:pt>
                <c:pt idx="16">
                  <c:v>0.38459253848420077</c:v>
                </c:pt>
                <c:pt idx="17">
                  <c:v>0.38577298184572861</c:v>
                </c:pt>
                <c:pt idx="18">
                  <c:v>0.38695628997060477</c:v>
                </c:pt>
                <c:pt idx="19">
                  <c:v>0.388149830683931</c:v>
                </c:pt>
                <c:pt idx="20">
                  <c:v>0.38937748500491864</c:v>
                </c:pt>
                <c:pt idx="21">
                  <c:v>0.39064135331767585</c:v>
                </c:pt>
                <c:pt idx="22">
                  <c:v>0.39194143562220257</c:v>
                </c:pt>
                <c:pt idx="23">
                  <c:v>0.39327773191849891</c:v>
                </c:pt>
                <c:pt idx="24">
                  <c:v>0.39465024220656475</c:v>
                </c:pt>
                <c:pt idx="25">
                  <c:v>0.39605896648640015</c:v>
                </c:pt>
                <c:pt idx="26">
                  <c:v>0.39750390475800507</c:v>
                </c:pt>
                <c:pt idx="27">
                  <c:v>0.3989850570213796</c:v>
                </c:pt>
                <c:pt idx="28">
                  <c:v>0.40050242327652358</c:v>
                </c:pt>
                <c:pt idx="29">
                  <c:v>0.40205600352343718</c:v>
                </c:pt>
                <c:pt idx="30">
                  <c:v>0.40364579776212028</c:v>
                </c:pt>
                <c:pt idx="31">
                  <c:v>0.40527180599257295</c:v>
                </c:pt>
                <c:pt idx="32">
                  <c:v>0.40693402821479524</c:v>
                </c:pt>
                <c:pt idx="33">
                  <c:v>0.40863246442878698</c:v>
                </c:pt>
                <c:pt idx="34">
                  <c:v>0.41036711463454828</c:v>
                </c:pt>
                <c:pt idx="35">
                  <c:v>0.41213797883207914</c:v>
                </c:pt>
                <c:pt idx="36">
                  <c:v>0.41394505702137957</c:v>
                </c:pt>
                <c:pt idx="37">
                  <c:v>0.4157883492024495</c:v>
                </c:pt>
                <c:pt idx="38">
                  <c:v>0.41766785537528905</c:v>
                </c:pt>
                <c:pt idx="39">
                  <c:v>0.41958357553989806</c:v>
                </c:pt>
                <c:pt idx="40">
                  <c:v>0.42153550969627673</c:v>
                </c:pt>
                <c:pt idx="41">
                  <c:v>0.42352365784442481</c:v>
                </c:pt>
                <c:pt idx="42">
                  <c:v>0.42554801998434255</c:v>
                </c:pt>
                <c:pt idx="43">
                  <c:v>0.42760859611602975</c:v>
                </c:pt>
                <c:pt idx="44">
                  <c:v>0.42970538623948656</c:v>
                </c:pt>
                <c:pt idx="45">
                  <c:v>0.43183839035471289</c:v>
                </c:pt>
                <c:pt idx="46">
                  <c:v>0.43400760846170877</c:v>
                </c:pt>
                <c:pt idx="47">
                  <c:v>0.43621304056047422</c:v>
                </c:pt>
                <c:pt idx="48">
                  <c:v>0.43845468665100917</c:v>
                </c:pt>
                <c:pt idx="49">
                  <c:v>0.44073254673331375</c:v>
                </c:pt>
                <c:pt idx="50">
                  <c:v>0.44304662080738783</c:v>
                </c:pt>
                <c:pt idx="51">
                  <c:v>0.44539690887323136</c:v>
                </c:pt>
                <c:pt idx="52">
                  <c:v>0.44778341093084456</c:v>
                </c:pt>
                <c:pt idx="53">
                  <c:v>0.45020612698022733</c:v>
                </c:pt>
                <c:pt idx="54">
                  <c:v>0.4526650570213796</c:v>
                </c:pt>
                <c:pt idx="55">
                  <c:v>0.45516020105430133</c:v>
                </c:pt>
                <c:pt idx="56">
                  <c:v>0.45769155907899278</c:v>
                </c:pt>
                <c:pt idx="57">
                  <c:v>0.46025913109545363</c:v>
                </c:pt>
                <c:pt idx="58">
                  <c:v>0.4628629171036841</c:v>
                </c:pt>
                <c:pt idx="59">
                  <c:v>0.46550291710368408</c:v>
                </c:pt>
                <c:pt idx="60">
                  <c:v>0.46817913109545367</c:v>
                </c:pt>
                <c:pt idx="61">
                  <c:v>0.47089155907899277</c:v>
                </c:pt>
                <c:pt idx="62">
                  <c:v>0.47364020105430138</c:v>
                </c:pt>
                <c:pt idx="63">
                  <c:v>0.47642505702137961</c:v>
                </c:pt>
                <c:pt idx="64">
                  <c:v>0.47924612698022734</c:v>
                </c:pt>
                <c:pt idx="65">
                  <c:v>0.48210341093084458</c:v>
                </c:pt>
                <c:pt idx="66">
                  <c:v>0.48499690887323144</c:v>
                </c:pt>
                <c:pt idx="67">
                  <c:v>0.4879266208073878</c:v>
                </c:pt>
                <c:pt idx="68">
                  <c:v>0.49089254673331373</c:v>
                </c:pt>
                <c:pt idx="69">
                  <c:v>0.49389468665100922</c:v>
                </c:pt>
                <c:pt idx="70">
                  <c:v>0.49693304056047422</c:v>
                </c:pt>
                <c:pt idx="71">
                  <c:v>0.50000760846170877</c:v>
                </c:pt>
                <c:pt idx="72">
                  <c:v>0.50311839035471284</c:v>
                </c:pt>
                <c:pt idx="73">
                  <c:v>0.50626538623948658</c:v>
                </c:pt>
                <c:pt idx="74">
                  <c:v>0.50944859611602988</c:v>
                </c:pt>
                <c:pt idx="75">
                  <c:v>0.51266801998434253</c:v>
                </c:pt>
                <c:pt idx="76">
                  <c:v>0.51592365784442484</c:v>
                </c:pt>
                <c:pt idx="77">
                  <c:v>0.51921550969627672</c:v>
                </c:pt>
                <c:pt idx="78">
                  <c:v>0.52254357553989816</c:v>
                </c:pt>
                <c:pt idx="79">
                  <c:v>0.52590785537528906</c:v>
                </c:pt>
                <c:pt idx="80">
                  <c:v>0.52930834920244951</c:v>
                </c:pt>
                <c:pt idx="81">
                  <c:v>0.53274505702137953</c:v>
                </c:pt>
                <c:pt idx="82">
                  <c:v>0.53621797883207911</c:v>
                </c:pt>
                <c:pt idx="83">
                  <c:v>0.53972711463454837</c:v>
                </c:pt>
                <c:pt idx="84">
                  <c:v>0.54327246442878696</c:v>
                </c:pt>
                <c:pt idx="85">
                  <c:v>0.54685402821479523</c:v>
                </c:pt>
                <c:pt idx="86">
                  <c:v>0.55047180599257295</c:v>
                </c:pt>
                <c:pt idx="87">
                  <c:v>0.55412579776212045</c:v>
                </c:pt>
                <c:pt idx="88">
                  <c:v>0.5578160035234373</c:v>
                </c:pt>
                <c:pt idx="89">
                  <c:v>0.56154242327652359</c:v>
                </c:pt>
                <c:pt idx="90">
                  <c:v>0.56530505702137956</c:v>
                </c:pt>
                <c:pt idx="91">
                  <c:v>0.5691039047580051</c:v>
                </c:pt>
                <c:pt idx="92">
                  <c:v>0.5729389664864003</c:v>
                </c:pt>
                <c:pt idx="93">
                  <c:v>0.57681024220656485</c:v>
                </c:pt>
                <c:pt idx="94">
                  <c:v>0.58071773191849896</c:v>
                </c:pt>
                <c:pt idx="95">
                  <c:v>0.58466143562220274</c:v>
                </c:pt>
                <c:pt idx="96">
                  <c:v>0.58864135331767597</c:v>
                </c:pt>
                <c:pt idx="97">
                  <c:v>0.59265748500491877</c:v>
                </c:pt>
                <c:pt idx="98">
                  <c:v>0.59670983068393113</c:v>
                </c:pt>
                <c:pt idx="99">
                  <c:v>0.60079839035471294</c:v>
                </c:pt>
                <c:pt idx="100">
                  <c:v>0.60492316401726454</c:v>
                </c:pt>
                <c:pt idx="101">
                  <c:v>0.60908415167158536</c:v>
                </c:pt>
                <c:pt idx="102">
                  <c:v>0.61328135331767586</c:v>
                </c:pt>
                <c:pt idx="103">
                  <c:v>0.61751476895553603</c:v>
                </c:pt>
                <c:pt idx="104">
                  <c:v>0.62178439858516565</c:v>
                </c:pt>
                <c:pt idx="105">
                  <c:v>0.62609024220656473</c:v>
                </c:pt>
                <c:pt idx="106">
                  <c:v>0.63043229981973359</c:v>
                </c:pt>
                <c:pt idx="107">
                  <c:v>0.6348105714246719</c:v>
                </c:pt>
                <c:pt idx="108">
                  <c:v>0.63922505702137955</c:v>
                </c:pt>
                <c:pt idx="109">
                  <c:v>0.64367575660985699</c:v>
                </c:pt>
                <c:pt idx="110">
                  <c:v>0.64816267019010387</c:v>
                </c:pt>
                <c:pt idx="111">
                  <c:v>0.65268579776212032</c:v>
                </c:pt>
                <c:pt idx="112">
                  <c:v>0.65724513932590645</c:v>
                </c:pt>
                <c:pt idx="113">
                  <c:v>0.66184069488146191</c:v>
                </c:pt>
                <c:pt idx="114">
                  <c:v>0.66647246442878694</c:v>
                </c:pt>
                <c:pt idx="115">
                  <c:v>0.67114044796788175</c:v>
                </c:pt>
                <c:pt idx="116">
                  <c:v>0.6758446454987459</c:v>
                </c:pt>
                <c:pt idx="117">
                  <c:v>0.68058505702137961</c:v>
                </c:pt>
                <c:pt idx="118">
                  <c:v>0.685361682535783</c:v>
                </c:pt>
                <c:pt idx="119">
                  <c:v>0.69017452204195595</c:v>
                </c:pt>
                <c:pt idx="120">
                  <c:v>0.69502357553989824</c:v>
                </c:pt>
                <c:pt idx="121">
                  <c:v>0.69990884302960998</c:v>
                </c:pt>
                <c:pt idx="122">
                  <c:v>0.70483032451109162</c:v>
                </c:pt>
                <c:pt idx="123">
                  <c:v>0.7097880199843426</c:v>
                </c:pt>
                <c:pt idx="124">
                  <c:v>0.71478192944936303</c:v>
                </c:pt>
                <c:pt idx="125">
                  <c:v>0.71981205290615324</c:v>
                </c:pt>
                <c:pt idx="126">
                  <c:v>0.72487839035471324</c:v>
                </c:pt>
                <c:pt idx="127">
                  <c:v>0.72998094179504236</c:v>
                </c:pt>
                <c:pt idx="128">
                  <c:v>0.73511970722714082</c:v>
                </c:pt>
                <c:pt idx="129">
                  <c:v>0.74029468665100917</c:v>
                </c:pt>
                <c:pt idx="130">
                  <c:v>0.74550588006664709</c:v>
                </c:pt>
                <c:pt idx="131">
                  <c:v>0.75075328747405434</c:v>
                </c:pt>
                <c:pt idx="132">
                  <c:v>0.75603690887323161</c:v>
                </c:pt>
                <c:pt idx="133">
                  <c:v>0.7613567442641781</c:v>
                </c:pt>
                <c:pt idx="134">
                  <c:v>0.76671279364689404</c:v>
                </c:pt>
                <c:pt idx="135">
                  <c:v>0.77210505702137966</c:v>
                </c:pt>
                <c:pt idx="136">
                  <c:v>0.77753353438763473</c:v>
                </c:pt>
                <c:pt idx="137">
                  <c:v>0.78299822574565958</c:v>
                </c:pt>
                <c:pt idx="138">
                  <c:v>0.78849913109545366</c:v>
                </c:pt>
                <c:pt idx="139">
                  <c:v>0.79403625043701775</c:v>
                </c:pt>
                <c:pt idx="140">
                  <c:v>0.79960958377035074</c:v>
                </c:pt>
                <c:pt idx="141">
                  <c:v>0.80521913109545373</c:v>
                </c:pt>
                <c:pt idx="142">
                  <c:v>0.81086489241232618</c:v>
                </c:pt>
                <c:pt idx="143">
                  <c:v>0.81654686772096807</c:v>
                </c:pt>
                <c:pt idx="144">
                  <c:v>0.82226505702137942</c:v>
                </c:pt>
                <c:pt idx="145">
                  <c:v>0.82801946031356066</c:v>
                </c:pt>
                <c:pt idx="146">
                  <c:v>0.83381007759751158</c:v>
                </c:pt>
                <c:pt idx="147">
                  <c:v>0.83963690887323161</c:v>
                </c:pt>
                <c:pt idx="148">
                  <c:v>0.84549995414072154</c:v>
                </c:pt>
                <c:pt idx="149">
                  <c:v>0.85139921339998048</c:v>
                </c:pt>
                <c:pt idx="150">
                  <c:v>0.85733468665100943</c:v>
                </c:pt>
              </c:numCache>
            </c:numRef>
          </c:yVal>
          <c:smooth val="1"/>
          <c:extLst>
            <c:ext xmlns:c16="http://schemas.microsoft.com/office/drawing/2014/chart" uri="{C3380CC4-5D6E-409C-BE32-E72D297353CC}">
              <c16:uniqueId val="{00000002-F850-4D08-8BFC-748D436DD73B}"/>
            </c:ext>
          </c:extLst>
        </c:ser>
        <c:ser>
          <c:idx val="3"/>
          <c:order val="3"/>
          <c:tx>
            <c:v>RCS</c:v>
          </c:tx>
          <c:marker>
            <c:symbol val="none"/>
          </c:marker>
          <c:xVal>
            <c:numRef>
              <c:f>Eff_vs_IOUT!$S$7:$S$157</c:f>
              <c:numCache>
                <c:formatCode>General</c:formatCode>
                <c:ptCount val="151"/>
                <c:pt idx="0">
                  <c:v>0</c:v>
                </c:pt>
                <c:pt idx="1">
                  <c:v>2.777777777777778E-2</c:v>
                </c:pt>
                <c:pt idx="2">
                  <c:v>5.5555555555555559E-2</c:v>
                </c:pt>
                <c:pt idx="3">
                  <c:v>8.3333333333333343E-2</c:v>
                </c:pt>
                <c:pt idx="4">
                  <c:v>0.11111111111111112</c:v>
                </c:pt>
                <c:pt idx="5">
                  <c:v>0.1388888888888889</c:v>
                </c:pt>
                <c:pt idx="6">
                  <c:v>0.16666666666666669</c:v>
                </c:pt>
                <c:pt idx="7">
                  <c:v>0.19444444444444445</c:v>
                </c:pt>
                <c:pt idx="8">
                  <c:v>0.22222222222222224</c:v>
                </c:pt>
                <c:pt idx="9">
                  <c:v>0.25</c:v>
                </c:pt>
                <c:pt idx="10">
                  <c:v>0.27777777777777779</c:v>
                </c:pt>
                <c:pt idx="11">
                  <c:v>0.30555555555555558</c:v>
                </c:pt>
                <c:pt idx="12">
                  <c:v>0.33333333333333337</c:v>
                </c:pt>
                <c:pt idx="13">
                  <c:v>0.36111111111111116</c:v>
                </c:pt>
                <c:pt idx="14">
                  <c:v>0.3888888888888889</c:v>
                </c:pt>
                <c:pt idx="15">
                  <c:v>0.41666666666666669</c:v>
                </c:pt>
                <c:pt idx="16">
                  <c:v>0.44444444444444448</c:v>
                </c:pt>
                <c:pt idx="17">
                  <c:v>0.47222222222222227</c:v>
                </c:pt>
                <c:pt idx="18">
                  <c:v>0.5</c:v>
                </c:pt>
                <c:pt idx="19">
                  <c:v>0.52777777777777779</c:v>
                </c:pt>
                <c:pt idx="20">
                  <c:v>0.55555555555555558</c:v>
                </c:pt>
                <c:pt idx="21">
                  <c:v>0.58333333333333337</c:v>
                </c:pt>
                <c:pt idx="22">
                  <c:v>0.61111111111111116</c:v>
                </c:pt>
                <c:pt idx="23">
                  <c:v>0.63888888888888895</c:v>
                </c:pt>
                <c:pt idx="24">
                  <c:v>0.66666666666666674</c:v>
                </c:pt>
                <c:pt idx="25">
                  <c:v>0.69444444444444453</c:v>
                </c:pt>
                <c:pt idx="26">
                  <c:v>0.72222222222222232</c:v>
                </c:pt>
                <c:pt idx="27">
                  <c:v>0.75</c:v>
                </c:pt>
                <c:pt idx="28">
                  <c:v>0.77777777777777779</c:v>
                </c:pt>
                <c:pt idx="29">
                  <c:v>0.80555555555555558</c:v>
                </c:pt>
                <c:pt idx="30">
                  <c:v>0.83333333333333337</c:v>
                </c:pt>
                <c:pt idx="31">
                  <c:v>0.86111111111111116</c:v>
                </c:pt>
                <c:pt idx="32">
                  <c:v>0.88888888888888895</c:v>
                </c:pt>
                <c:pt idx="33">
                  <c:v>0.91666666666666674</c:v>
                </c:pt>
                <c:pt idx="34">
                  <c:v>0.94444444444444453</c:v>
                </c:pt>
                <c:pt idx="35">
                  <c:v>0.97222222222222232</c:v>
                </c:pt>
                <c:pt idx="36">
                  <c:v>1</c:v>
                </c:pt>
                <c:pt idx="37">
                  <c:v>1.0277777777777779</c:v>
                </c:pt>
                <c:pt idx="38">
                  <c:v>1.0555555555555556</c:v>
                </c:pt>
                <c:pt idx="39">
                  <c:v>1.0833333333333335</c:v>
                </c:pt>
                <c:pt idx="40">
                  <c:v>1.1111111111111112</c:v>
                </c:pt>
                <c:pt idx="41">
                  <c:v>1.1388888888888891</c:v>
                </c:pt>
                <c:pt idx="42">
                  <c:v>1.1666666666666667</c:v>
                </c:pt>
                <c:pt idx="43">
                  <c:v>1.1944444444444444</c:v>
                </c:pt>
                <c:pt idx="44">
                  <c:v>1.2222222222222223</c:v>
                </c:pt>
                <c:pt idx="45">
                  <c:v>1.25</c:v>
                </c:pt>
                <c:pt idx="46">
                  <c:v>1.2777777777777779</c:v>
                </c:pt>
                <c:pt idx="47">
                  <c:v>1.3055555555555556</c:v>
                </c:pt>
                <c:pt idx="48">
                  <c:v>1.3333333333333335</c:v>
                </c:pt>
                <c:pt idx="49">
                  <c:v>1.3611111111111112</c:v>
                </c:pt>
                <c:pt idx="50">
                  <c:v>1.3888888888888891</c:v>
                </c:pt>
                <c:pt idx="51">
                  <c:v>1.4166666666666667</c:v>
                </c:pt>
                <c:pt idx="52">
                  <c:v>1.4444444444444446</c:v>
                </c:pt>
                <c:pt idx="53">
                  <c:v>1.4722222222222223</c:v>
                </c:pt>
                <c:pt idx="54">
                  <c:v>1.5</c:v>
                </c:pt>
                <c:pt idx="55">
                  <c:v>1.5277777777777779</c:v>
                </c:pt>
                <c:pt idx="56">
                  <c:v>1.5555555555555556</c:v>
                </c:pt>
                <c:pt idx="57">
                  <c:v>1.5833333333333335</c:v>
                </c:pt>
                <c:pt idx="58">
                  <c:v>1.6111111111111112</c:v>
                </c:pt>
                <c:pt idx="59">
                  <c:v>1.6388888888888891</c:v>
                </c:pt>
                <c:pt idx="60">
                  <c:v>1.6666666666666667</c:v>
                </c:pt>
                <c:pt idx="61">
                  <c:v>1.6944444444444446</c:v>
                </c:pt>
                <c:pt idx="62">
                  <c:v>1.7222222222222223</c:v>
                </c:pt>
                <c:pt idx="63">
                  <c:v>1.7500000000000002</c:v>
                </c:pt>
                <c:pt idx="64">
                  <c:v>1.7777777777777779</c:v>
                </c:pt>
                <c:pt idx="65">
                  <c:v>1.8055555555555556</c:v>
                </c:pt>
                <c:pt idx="66">
                  <c:v>1.8333333333333335</c:v>
                </c:pt>
                <c:pt idx="67">
                  <c:v>1.8611111111111112</c:v>
                </c:pt>
                <c:pt idx="68">
                  <c:v>1.8888888888888891</c:v>
                </c:pt>
                <c:pt idx="69">
                  <c:v>1.9166666666666667</c:v>
                </c:pt>
                <c:pt idx="70">
                  <c:v>1.9444444444444446</c:v>
                </c:pt>
                <c:pt idx="71">
                  <c:v>1.9722222222222223</c:v>
                </c:pt>
                <c:pt idx="72">
                  <c:v>2</c:v>
                </c:pt>
                <c:pt idx="73">
                  <c:v>2.0277777777777781</c:v>
                </c:pt>
                <c:pt idx="74">
                  <c:v>2.0555555555555558</c:v>
                </c:pt>
                <c:pt idx="75">
                  <c:v>2.0833333333333335</c:v>
                </c:pt>
                <c:pt idx="76">
                  <c:v>2.1111111111111112</c:v>
                </c:pt>
                <c:pt idx="77">
                  <c:v>2.1388888888888888</c:v>
                </c:pt>
                <c:pt idx="78">
                  <c:v>2.166666666666667</c:v>
                </c:pt>
                <c:pt idx="79">
                  <c:v>2.1944444444444446</c:v>
                </c:pt>
                <c:pt idx="80">
                  <c:v>2.2222222222222223</c:v>
                </c:pt>
                <c:pt idx="81">
                  <c:v>2.25</c:v>
                </c:pt>
                <c:pt idx="82">
                  <c:v>2.2777777777777781</c:v>
                </c:pt>
                <c:pt idx="83">
                  <c:v>2.3055555555555558</c:v>
                </c:pt>
                <c:pt idx="84">
                  <c:v>2.3333333333333335</c:v>
                </c:pt>
                <c:pt idx="85">
                  <c:v>2.3611111111111112</c:v>
                </c:pt>
                <c:pt idx="86">
                  <c:v>2.3888888888888888</c:v>
                </c:pt>
                <c:pt idx="87">
                  <c:v>2.416666666666667</c:v>
                </c:pt>
                <c:pt idx="88">
                  <c:v>2.4444444444444446</c:v>
                </c:pt>
                <c:pt idx="89">
                  <c:v>2.4722222222222223</c:v>
                </c:pt>
                <c:pt idx="90">
                  <c:v>2.5</c:v>
                </c:pt>
                <c:pt idx="91">
                  <c:v>2.5277777777777781</c:v>
                </c:pt>
                <c:pt idx="92">
                  <c:v>2.5555555555555558</c:v>
                </c:pt>
                <c:pt idx="93">
                  <c:v>2.5833333333333335</c:v>
                </c:pt>
                <c:pt idx="94">
                  <c:v>2.6111111111111112</c:v>
                </c:pt>
                <c:pt idx="95">
                  <c:v>2.6388888888888893</c:v>
                </c:pt>
                <c:pt idx="96">
                  <c:v>2.666666666666667</c:v>
                </c:pt>
                <c:pt idx="97">
                  <c:v>2.6944444444444446</c:v>
                </c:pt>
                <c:pt idx="98">
                  <c:v>2.7222222222222223</c:v>
                </c:pt>
                <c:pt idx="99">
                  <c:v>2.75</c:v>
                </c:pt>
                <c:pt idx="100">
                  <c:v>2.7777777777777781</c:v>
                </c:pt>
                <c:pt idx="101">
                  <c:v>2.8055555555555558</c:v>
                </c:pt>
                <c:pt idx="102">
                  <c:v>2.8333333333333335</c:v>
                </c:pt>
                <c:pt idx="103">
                  <c:v>2.8611111111111112</c:v>
                </c:pt>
                <c:pt idx="104">
                  <c:v>2.8888888888888893</c:v>
                </c:pt>
                <c:pt idx="105">
                  <c:v>2.916666666666667</c:v>
                </c:pt>
                <c:pt idx="106">
                  <c:v>2.9444444444444446</c:v>
                </c:pt>
                <c:pt idx="107">
                  <c:v>2.9722222222222223</c:v>
                </c:pt>
                <c:pt idx="108">
                  <c:v>3</c:v>
                </c:pt>
                <c:pt idx="109">
                  <c:v>3.0277777777777781</c:v>
                </c:pt>
                <c:pt idx="110">
                  <c:v>3.0555555555555558</c:v>
                </c:pt>
                <c:pt idx="111">
                  <c:v>3.0833333333333335</c:v>
                </c:pt>
                <c:pt idx="112">
                  <c:v>3.1111111111111112</c:v>
                </c:pt>
                <c:pt idx="113">
                  <c:v>3.1388888888888893</c:v>
                </c:pt>
                <c:pt idx="114">
                  <c:v>3.166666666666667</c:v>
                </c:pt>
                <c:pt idx="115">
                  <c:v>3.1944444444444446</c:v>
                </c:pt>
                <c:pt idx="116">
                  <c:v>3.2222222222222223</c:v>
                </c:pt>
                <c:pt idx="117">
                  <c:v>3.2500000000000004</c:v>
                </c:pt>
                <c:pt idx="118">
                  <c:v>3.2777777777777781</c:v>
                </c:pt>
                <c:pt idx="119">
                  <c:v>3.3055555555555558</c:v>
                </c:pt>
                <c:pt idx="120">
                  <c:v>3.3333333333333335</c:v>
                </c:pt>
                <c:pt idx="121">
                  <c:v>3.3611111111111112</c:v>
                </c:pt>
                <c:pt idx="122">
                  <c:v>3.3888888888888893</c:v>
                </c:pt>
                <c:pt idx="123">
                  <c:v>3.416666666666667</c:v>
                </c:pt>
                <c:pt idx="124">
                  <c:v>3.4444444444444446</c:v>
                </c:pt>
                <c:pt idx="125">
                  <c:v>3.4722222222222223</c:v>
                </c:pt>
                <c:pt idx="126">
                  <c:v>3.5000000000000004</c:v>
                </c:pt>
                <c:pt idx="127">
                  <c:v>3.5277777777777781</c:v>
                </c:pt>
                <c:pt idx="128">
                  <c:v>3.5555555555555558</c:v>
                </c:pt>
                <c:pt idx="129">
                  <c:v>3.5833333333333335</c:v>
                </c:pt>
                <c:pt idx="130">
                  <c:v>3.6111111111111112</c:v>
                </c:pt>
                <c:pt idx="131">
                  <c:v>3.6388888888888893</c:v>
                </c:pt>
                <c:pt idx="132">
                  <c:v>3.666666666666667</c:v>
                </c:pt>
                <c:pt idx="133">
                  <c:v>3.6944444444444446</c:v>
                </c:pt>
                <c:pt idx="134">
                  <c:v>3.7222222222222223</c:v>
                </c:pt>
                <c:pt idx="135">
                  <c:v>3.7500000000000004</c:v>
                </c:pt>
                <c:pt idx="136">
                  <c:v>3.7777777777777781</c:v>
                </c:pt>
                <c:pt idx="137">
                  <c:v>3.8055555555555558</c:v>
                </c:pt>
                <c:pt idx="138">
                  <c:v>3.8333333333333335</c:v>
                </c:pt>
                <c:pt idx="139">
                  <c:v>3.8611111111111112</c:v>
                </c:pt>
                <c:pt idx="140">
                  <c:v>3.8888888888888893</c:v>
                </c:pt>
                <c:pt idx="141">
                  <c:v>3.916666666666667</c:v>
                </c:pt>
                <c:pt idx="142">
                  <c:v>3.9444444444444446</c:v>
                </c:pt>
                <c:pt idx="143">
                  <c:v>3.9722222222222223</c:v>
                </c:pt>
                <c:pt idx="144">
                  <c:v>4</c:v>
                </c:pt>
                <c:pt idx="145">
                  <c:v>4.0277777777777777</c:v>
                </c:pt>
                <c:pt idx="146">
                  <c:v>4.0555555555555562</c:v>
                </c:pt>
                <c:pt idx="147">
                  <c:v>4.0833333333333339</c:v>
                </c:pt>
                <c:pt idx="148">
                  <c:v>4.1111111111111116</c:v>
                </c:pt>
                <c:pt idx="149">
                  <c:v>4.1388888888888893</c:v>
                </c:pt>
                <c:pt idx="150">
                  <c:v>4.166666666666667</c:v>
                </c:pt>
              </c:numCache>
            </c:numRef>
          </c:xVal>
          <c:yVal>
            <c:numRef>
              <c:f>Eff_vs_IOUT!$AP$7:$AP$157</c:f>
              <c:numCache>
                <c:formatCode>General</c:formatCode>
                <c:ptCount val="151"/>
                <c:pt idx="0">
                  <c:v>0</c:v>
                </c:pt>
                <c:pt idx="1">
                  <c:v>9.404383631833809E-5</c:v>
                </c:pt>
                <c:pt idx="2">
                  <c:v>2.659961375579782E-4</c:v>
                </c:pt>
                <c:pt idx="3">
                  <c:v>4.8866610792615793E-4</c:v>
                </c:pt>
                <c:pt idx="4">
                  <c:v>7.5235069054670472E-4</c:v>
                </c:pt>
                <c:pt idx="5">
                  <c:v>1.0514420543633375E-3</c:v>
                </c:pt>
                <c:pt idx="6">
                  <c:v>1.3821564746024952E-3</c:v>
                </c:pt>
                <c:pt idx="7">
                  <c:v>1.7417162226575074E-3</c:v>
                </c:pt>
                <c:pt idx="8">
                  <c:v>2.127969100463826E-3</c:v>
                </c:pt>
                <c:pt idx="9">
                  <c:v>2.5391835805951279E-3</c:v>
                </c:pt>
                <c:pt idx="10">
                  <c:v>2.9739272266601216E-3</c:v>
                </c:pt>
                <c:pt idx="11">
                  <c:v>3.4309893080487789E-3</c:v>
                </c:pt>
                <c:pt idx="12">
                  <c:v>3.9093288634092643E-3</c:v>
                </c:pt>
                <c:pt idx="13">
                  <c:v>4.4080383618324368E-3</c:v>
                </c:pt>
                <c:pt idx="14">
                  <c:v>4.9263174077749643E-3</c:v>
                </c:pt>
                <c:pt idx="15">
                  <c:v>5.4634531781156907E-3</c:v>
                </c:pt>
                <c:pt idx="16">
                  <c:v>6.0188055243736377E-3</c:v>
                </c:pt>
                <c:pt idx="17">
                  <c:v>6.5917953998397005E-3</c:v>
                </c:pt>
                <c:pt idx="18">
                  <c:v>7.1818957140654125E-3</c:v>
                </c:pt>
                <c:pt idx="19">
                  <c:v>7.7920131369785357E-3</c:v>
                </c:pt>
                <c:pt idx="20">
                  <c:v>8.4339884456205126E-3</c:v>
                </c:pt>
                <c:pt idx="21">
                  <c:v>9.108885564962076E-3</c:v>
                </c:pt>
                <c:pt idx="22">
                  <c:v>9.8167044950032301E-3</c:v>
                </c:pt>
                <c:pt idx="23">
                  <c:v>1.0557445235743972E-2</c:v>
                </c:pt>
                <c:pt idx="24">
                  <c:v>1.1331107787184297E-2</c:v>
                </c:pt>
                <c:pt idx="25">
                  <c:v>1.2137692149324215E-2</c:v>
                </c:pt>
                <c:pt idx="26">
                  <c:v>1.2977198322163722E-2</c:v>
                </c:pt>
                <c:pt idx="27">
                  <c:v>1.3849626305702818E-2</c:v>
                </c:pt>
                <c:pt idx="28">
                  <c:v>1.4754976099941502E-2</c:v>
                </c:pt>
                <c:pt idx="29">
                  <c:v>1.569324770487977E-2</c:v>
                </c:pt>
                <c:pt idx="30">
                  <c:v>1.6664441120517636E-2</c:v>
                </c:pt>
                <c:pt idx="31">
                  <c:v>1.7668556346855074E-2</c:v>
                </c:pt>
                <c:pt idx="32">
                  <c:v>1.8705593383892116E-2</c:v>
                </c:pt>
                <c:pt idx="33">
                  <c:v>1.9775552231628742E-2</c:v>
                </c:pt>
                <c:pt idx="34">
                  <c:v>2.0878432890064962E-2</c:v>
                </c:pt>
                <c:pt idx="35">
                  <c:v>2.2014235359200766E-2</c:v>
                </c:pt>
                <c:pt idx="36">
                  <c:v>2.318295963903615E-2</c:v>
                </c:pt>
                <c:pt idx="37">
                  <c:v>2.4384605729571147E-2</c:v>
                </c:pt>
                <c:pt idx="38">
                  <c:v>2.5619173630805698E-2</c:v>
                </c:pt>
                <c:pt idx="39">
                  <c:v>2.6886663342739862E-2</c:v>
                </c:pt>
                <c:pt idx="40">
                  <c:v>2.8187074865373602E-2</c:v>
                </c:pt>
                <c:pt idx="41">
                  <c:v>2.9520408198706938E-2</c:v>
                </c:pt>
                <c:pt idx="42">
                  <c:v>3.0886663342739852E-2</c:v>
                </c:pt>
                <c:pt idx="43">
                  <c:v>3.2285840297472362E-2</c:v>
                </c:pt>
                <c:pt idx="44">
                  <c:v>3.3717939062904469E-2</c:v>
                </c:pt>
                <c:pt idx="45">
                  <c:v>3.518295963903615E-2</c:v>
                </c:pt>
                <c:pt idx="46">
                  <c:v>3.6680902025867428E-2</c:v>
                </c:pt>
                <c:pt idx="47">
                  <c:v>3.8211766223398301E-2</c:v>
                </c:pt>
                <c:pt idx="48">
                  <c:v>3.9775552231628743E-2</c:v>
                </c:pt>
                <c:pt idx="49">
                  <c:v>4.1372260050558794E-2</c:v>
                </c:pt>
                <c:pt idx="50">
                  <c:v>4.3001889680188414E-2</c:v>
                </c:pt>
                <c:pt idx="51">
                  <c:v>4.4664441120517623E-2</c:v>
                </c:pt>
                <c:pt idx="52">
                  <c:v>4.6359914371546448E-2</c:v>
                </c:pt>
                <c:pt idx="53">
                  <c:v>4.8088309433274835E-2</c:v>
                </c:pt>
                <c:pt idx="54">
                  <c:v>4.9849626305702818E-2</c:v>
                </c:pt>
                <c:pt idx="55">
                  <c:v>5.1643864988830404E-2</c:v>
                </c:pt>
                <c:pt idx="56">
                  <c:v>5.3471025482657579E-2</c:v>
                </c:pt>
                <c:pt idx="57">
                  <c:v>5.5331107787184294E-2</c:v>
                </c:pt>
                <c:pt idx="58">
                  <c:v>5.7224111902410654E-2</c:v>
                </c:pt>
                <c:pt idx="59">
                  <c:v>5.9150037828336569E-2</c:v>
                </c:pt>
                <c:pt idx="60">
                  <c:v>6.1108885564962086E-2</c:v>
                </c:pt>
                <c:pt idx="61">
                  <c:v>6.3100655112287185E-2</c:v>
                </c:pt>
                <c:pt idx="62">
                  <c:v>6.5125346470311887E-2</c:v>
                </c:pt>
                <c:pt idx="63">
                  <c:v>6.7182959639036199E-2</c:v>
                </c:pt>
                <c:pt idx="64">
                  <c:v>6.9273494618460024E-2</c:v>
                </c:pt>
                <c:pt idx="65">
                  <c:v>7.1396951408583487E-2</c:v>
                </c:pt>
                <c:pt idx="66">
                  <c:v>7.3553330009406517E-2</c:v>
                </c:pt>
                <c:pt idx="67">
                  <c:v>7.5742630420929186E-2</c:v>
                </c:pt>
                <c:pt idx="68">
                  <c:v>7.7964852643151394E-2</c:v>
                </c:pt>
                <c:pt idx="69">
                  <c:v>8.0219996676073185E-2</c:v>
                </c:pt>
                <c:pt idx="70">
                  <c:v>8.2508062519694614E-2</c:v>
                </c:pt>
                <c:pt idx="71">
                  <c:v>8.4829050174015597E-2</c:v>
                </c:pt>
                <c:pt idx="72">
                  <c:v>8.7182959639036134E-2</c:v>
                </c:pt>
                <c:pt idx="73">
                  <c:v>8.956979091475635E-2</c:v>
                </c:pt>
                <c:pt idx="74">
                  <c:v>9.1989544001176107E-2</c:v>
                </c:pt>
                <c:pt idx="75">
                  <c:v>9.4442218898295405E-2</c:v>
                </c:pt>
                <c:pt idx="76">
                  <c:v>9.6927815606114354E-2</c:v>
                </c:pt>
                <c:pt idx="77">
                  <c:v>9.9446334124632871E-2</c:v>
                </c:pt>
                <c:pt idx="78">
                  <c:v>0.10199777445385098</c:v>
                </c:pt>
                <c:pt idx="79">
                  <c:v>0.10458213659376868</c:v>
                </c:pt>
                <c:pt idx="80">
                  <c:v>0.10719942054438597</c:v>
                </c:pt>
                <c:pt idx="81">
                  <c:v>0.10984962630570282</c:v>
                </c:pt>
                <c:pt idx="82">
                  <c:v>0.11253275387771929</c:v>
                </c:pt>
                <c:pt idx="83">
                  <c:v>0.11524880326043538</c:v>
                </c:pt>
                <c:pt idx="84">
                  <c:v>0.11799777445385096</c:v>
                </c:pt>
                <c:pt idx="85">
                  <c:v>0.12077966745796621</c:v>
                </c:pt>
                <c:pt idx="86">
                  <c:v>0.12359448227278098</c:v>
                </c:pt>
                <c:pt idx="87">
                  <c:v>0.12644221889829543</c:v>
                </c:pt>
                <c:pt idx="88">
                  <c:v>0.12932287733450945</c:v>
                </c:pt>
                <c:pt idx="89">
                  <c:v>0.13223645758142299</c:v>
                </c:pt>
                <c:pt idx="90">
                  <c:v>0.1351829596390362</c:v>
                </c:pt>
                <c:pt idx="91">
                  <c:v>0.13816238350734891</c:v>
                </c:pt>
                <c:pt idx="92">
                  <c:v>0.14117472918636129</c:v>
                </c:pt>
                <c:pt idx="93">
                  <c:v>0.14421999667607321</c:v>
                </c:pt>
                <c:pt idx="94">
                  <c:v>0.14729818597648475</c:v>
                </c:pt>
                <c:pt idx="95">
                  <c:v>0.15040929708759584</c:v>
                </c:pt>
                <c:pt idx="96">
                  <c:v>0.15355333000940652</c:v>
                </c:pt>
                <c:pt idx="97">
                  <c:v>0.15673028474191686</c:v>
                </c:pt>
                <c:pt idx="98">
                  <c:v>0.15994016128512673</c:v>
                </c:pt>
                <c:pt idx="99">
                  <c:v>0.16318295963903615</c:v>
                </c:pt>
                <c:pt idx="100">
                  <c:v>0.16645867980364523</c:v>
                </c:pt>
                <c:pt idx="101">
                  <c:v>0.1697673217789539</c:v>
                </c:pt>
                <c:pt idx="102">
                  <c:v>0.17310888556496207</c:v>
                </c:pt>
                <c:pt idx="103">
                  <c:v>0.17648337116166993</c:v>
                </c:pt>
                <c:pt idx="104">
                  <c:v>0.17989077856907737</c:v>
                </c:pt>
                <c:pt idx="105">
                  <c:v>0.18333110778718428</c:v>
                </c:pt>
                <c:pt idx="106">
                  <c:v>0.18680435881599089</c:v>
                </c:pt>
                <c:pt idx="107">
                  <c:v>0.19031053165549713</c:v>
                </c:pt>
                <c:pt idx="108">
                  <c:v>0.19384962630570279</c:v>
                </c:pt>
                <c:pt idx="109">
                  <c:v>0.1974216427666082</c:v>
                </c:pt>
                <c:pt idx="110">
                  <c:v>0.20102658103821319</c:v>
                </c:pt>
                <c:pt idx="111">
                  <c:v>0.20466444112051757</c:v>
                </c:pt>
                <c:pt idx="112">
                  <c:v>0.20833522301352184</c:v>
                </c:pt>
                <c:pt idx="113">
                  <c:v>0.21203892671722549</c:v>
                </c:pt>
                <c:pt idx="114">
                  <c:v>0.2157755522316287</c:v>
                </c:pt>
                <c:pt idx="115">
                  <c:v>0.21954509955673165</c:v>
                </c:pt>
                <c:pt idx="116">
                  <c:v>0.22334756869253414</c:v>
                </c:pt>
                <c:pt idx="117">
                  <c:v>0.22718295963903623</c:v>
                </c:pt>
                <c:pt idx="118">
                  <c:v>0.23105127239623782</c:v>
                </c:pt>
                <c:pt idx="119">
                  <c:v>0.23495250696413914</c:v>
                </c:pt>
                <c:pt idx="120">
                  <c:v>0.23888666334273992</c:v>
                </c:pt>
                <c:pt idx="121">
                  <c:v>0.24285374153204028</c:v>
                </c:pt>
                <c:pt idx="122">
                  <c:v>0.24685374153204032</c:v>
                </c:pt>
                <c:pt idx="123">
                  <c:v>0.25088666334273985</c:v>
                </c:pt>
                <c:pt idx="124">
                  <c:v>0.25495250696413896</c:v>
                </c:pt>
                <c:pt idx="125">
                  <c:v>0.25905127239623787</c:v>
                </c:pt>
                <c:pt idx="126">
                  <c:v>0.26318295963903632</c:v>
                </c:pt>
                <c:pt idx="127">
                  <c:v>0.26734756869253412</c:v>
                </c:pt>
                <c:pt idx="128">
                  <c:v>0.27154509955673162</c:v>
                </c:pt>
                <c:pt idx="129">
                  <c:v>0.27577555223162864</c:v>
                </c:pt>
                <c:pt idx="130">
                  <c:v>0.28003892671722541</c:v>
                </c:pt>
                <c:pt idx="131">
                  <c:v>0.28433522301352177</c:v>
                </c:pt>
                <c:pt idx="132">
                  <c:v>0.2886644411205177</c:v>
                </c:pt>
                <c:pt idx="133">
                  <c:v>0.29302658103821316</c:v>
                </c:pt>
                <c:pt idx="134">
                  <c:v>0.29742164276660826</c:v>
                </c:pt>
                <c:pt idx="135">
                  <c:v>0.30184962630570283</c:v>
                </c:pt>
                <c:pt idx="136">
                  <c:v>0.3063105316554971</c:v>
                </c:pt>
                <c:pt idx="137">
                  <c:v>0.310804358815991</c:v>
                </c:pt>
                <c:pt idx="138">
                  <c:v>0.31533110778718421</c:v>
                </c:pt>
                <c:pt idx="139">
                  <c:v>0.31989077856907738</c:v>
                </c:pt>
                <c:pt idx="140">
                  <c:v>0.32448337116166992</c:v>
                </c:pt>
                <c:pt idx="141">
                  <c:v>0.32910888556496204</c:v>
                </c:pt>
                <c:pt idx="142">
                  <c:v>0.33376732177895385</c:v>
                </c:pt>
                <c:pt idx="143">
                  <c:v>0.33845867980364525</c:v>
                </c:pt>
                <c:pt idx="144">
                  <c:v>0.34318295963903611</c:v>
                </c:pt>
                <c:pt idx="145">
                  <c:v>0.34794016128512667</c:v>
                </c:pt>
                <c:pt idx="146">
                  <c:v>0.35273028474191692</c:v>
                </c:pt>
                <c:pt idx="147">
                  <c:v>0.3575533300094067</c:v>
                </c:pt>
                <c:pt idx="148">
                  <c:v>0.36240929708759601</c:v>
                </c:pt>
                <c:pt idx="149">
                  <c:v>0.36729818597648484</c:v>
                </c:pt>
                <c:pt idx="150">
                  <c:v>0.37221999667607319</c:v>
                </c:pt>
              </c:numCache>
            </c:numRef>
          </c:yVal>
          <c:smooth val="1"/>
          <c:extLst>
            <c:ext xmlns:c16="http://schemas.microsoft.com/office/drawing/2014/chart" uri="{C3380CC4-5D6E-409C-BE32-E72D297353CC}">
              <c16:uniqueId val="{00000003-F850-4D08-8BFC-748D436DD73B}"/>
            </c:ext>
          </c:extLst>
        </c:ser>
        <c:dLbls>
          <c:showLegendKey val="0"/>
          <c:showVal val="0"/>
          <c:showCatName val="0"/>
          <c:showSerName val="0"/>
          <c:showPercent val="0"/>
          <c:showBubbleSize val="0"/>
        </c:dLbls>
        <c:axId val="543660288"/>
        <c:axId val="543658752"/>
      </c:scatterChart>
      <c:valAx>
        <c:axId val="224130176"/>
        <c:scaling>
          <c:orientation val="minMax"/>
          <c:max val="6"/>
        </c:scaling>
        <c:delete val="0"/>
        <c:axPos val="b"/>
        <c:majorGridlines/>
        <c:numFmt formatCode="General" sourceLinked="1"/>
        <c:majorTickMark val="out"/>
        <c:minorTickMark val="none"/>
        <c:tickLblPos val="nextTo"/>
        <c:crossAx val="224131712"/>
        <c:crosses val="autoZero"/>
        <c:crossBetween val="midCat"/>
      </c:valAx>
      <c:valAx>
        <c:axId val="224131712"/>
        <c:scaling>
          <c:orientation val="minMax"/>
          <c:max val="100"/>
          <c:min val="60"/>
        </c:scaling>
        <c:delete val="0"/>
        <c:axPos val="l"/>
        <c:majorGridlines/>
        <c:title>
          <c:overlay val="0"/>
          <c:txPr>
            <a:bodyPr rot="-5400000" vert="horz"/>
            <a:lstStyle/>
            <a:p>
              <a:pPr>
                <a:defRPr/>
              </a:pPr>
              <a:endParaRPr lang="en-US"/>
            </a:p>
          </c:txPr>
        </c:title>
        <c:numFmt formatCode="General" sourceLinked="1"/>
        <c:majorTickMark val="out"/>
        <c:minorTickMark val="none"/>
        <c:tickLblPos val="nextTo"/>
        <c:crossAx val="224130176"/>
        <c:crosses val="autoZero"/>
        <c:crossBetween val="midCat"/>
      </c:valAx>
      <c:valAx>
        <c:axId val="543658752"/>
        <c:scaling>
          <c:orientation val="minMax"/>
        </c:scaling>
        <c:delete val="0"/>
        <c:axPos val="r"/>
        <c:numFmt formatCode="General" sourceLinked="1"/>
        <c:majorTickMark val="out"/>
        <c:minorTickMark val="none"/>
        <c:tickLblPos val="nextTo"/>
        <c:crossAx val="543660288"/>
        <c:crosses val="max"/>
        <c:crossBetween val="midCat"/>
      </c:valAx>
      <c:valAx>
        <c:axId val="543660288"/>
        <c:scaling>
          <c:orientation val="minMax"/>
        </c:scaling>
        <c:delete val="1"/>
        <c:axPos val="b"/>
        <c:numFmt formatCode="General" sourceLinked="1"/>
        <c:majorTickMark val="out"/>
        <c:minorTickMark val="none"/>
        <c:tickLblPos val="nextTo"/>
        <c:crossAx val="543658752"/>
        <c:crosses val="autoZero"/>
        <c:crossBetween val="midCat"/>
      </c:valAx>
    </c:plotArea>
    <c:legend>
      <c:legendPos val="r"/>
      <c:overlay val="1"/>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l">
              <a:defRPr sz="2400"/>
            </a:pPr>
            <a:r>
              <a:rPr lang="el-GR" sz="2400"/>
              <a:t>η</a:t>
            </a:r>
            <a:endParaRPr lang="en-US" sz="2400"/>
          </a:p>
        </c:rich>
      </c:tx>
      <c:layout>
        <c:manualLayout>
          <c:xMode val="edge"/>
          <c:yMode val="edge"/>
          <c:x val="9.2321838295158831E-2"/>
          <c:y val="6.7069081153588199E-3"/>
        </c:manualLayout>
      </c:layout>
      <c:overlay val="1"/>
    </c:title>
    <c:autoTitleDeleted val="0"/>
    <c:plotArea>
      <c:layout>
        <c:manualLayout>
          <c:layoutTarget val="inner"/>
          <c:xMode val="edge"/>
          <c:yMode val="edge"/>
          <c:x val="9.4343575816580413E-2"/>
          <c:y val="0.12777504924560487"/>
          <c:w val="0.82170691922728745"/>
          <c:h val="0.74982770867653059"/>
        </c:manualLayout>
      </c:layout>
      <c:scatterChart>
        <c:scatterStyle val="smoothMarker"/>
        <c:varyColors val="0"/>
        <c:ser>
          <c:idx val="0"/>
          <c:order val="0"/>
          <c:tx>
            <c:v>Eff</c:v>
          </c:tx>
          <c:spPr>
            <a:ln>
              <a:solidFill>
                <a:srgbClr val="FF0000"/>
              </a:solidFill>
            </a:ln>
          </c:spPr>
          <c:marker>
            <c:symbol val="none"/>
          </c:marker>
          <c:xVal>
            <c:numRef>
              <c:f>Eff_vs_IOUT!$S$7:$S$157</c:f>
              <c:numCache>
                <c:formatCode>General</c:formatCode>
                <c:ptCount val="151"/>
                <c:pt idx="0">
                  <c:v>0</c:v>
                </c:pt>
                <c:pt idx="1">
                  <c:v>2.777777777777778E-2</c:v>
                </c:pt>
                <c:pt idx="2">
                  <c:v>5.5555555555555559E-2</c:v>
                </c:pt>
                <c:pt idx="3">
                  <c:v>8.3333333333333343E-2</c:v>
                </c:pt>
                <c:pt idx="4">
                  <c:v>0.11111111111111112</c:v>
                </c:pt>
                <c:pt idx="5">
                  <c:v>0.1388888888888889</c:v>
                </c:pt>
                <c:pt idx="6">
                  <c:v>0.16666666666666669</c:v>
                </c:pt>
                <c:pt idx="7">
                  <c:v>0.19444444444444445</c:v>
                </c:pt>
                <c:pt idx="8">
                  <c:v>0.22222222222222224</c:v>
                </c:pt>
                <c:pt idx="9">
                  <c:v>0.25</c:v>
                </c:pt>
                <c:pt idx="10">
                  <c:v>0.27777777777777779</c:v>
                </c:pt>
                <c:pt idx="11">
                  <c:v>0.30555555555555558</c:v>
                </c:pt>
                <c:pt idx="12">
                  <c:v>0.33333333333333337</c:v>
                </c:pt>
                <c:pt idx="13">
                  <c:v>0.36111111111111116</c:v>
                </c:pt>
                <c:pt idx="14">
                  <c:v>0.3888888888888889</c:v>
                </c:pt>
                <c:pt idx="15">
                  <c:v>0.41666666666666669</c:v>
                </c:pt>
                <c:pt idx="16">
                  <c:v>0.44444444444444448</c:v>
                </c:pt>
                <c:pt idx="17">
                  <c:v>0.47222222222222227</c:v>
                </c:pt>
                <c:pt idx="18">
                  <c:v>0.5</c:v>
                </c:pt>
                <c:pt idx="19">
                  <c:v>0.52777777777777779</c:v>
                </c:pt>
                <c:pt idx="20">
                  <c:v>0.55555555555555558</c:v>
                </c:pt>
                <c:pt idx="21">
                  <c:v>0.58333333333333337</c:v>
                </c:pt>
                <c:pt idx="22">
                  <c:v>0.61111111111111116</c:v>
                </c:pt>
                <c:pt idx="23">
                  <c:v>0.63888888888888895</c:v>
                </c:pt>
                <c:pt idx="24">
                  <c:v>0.66666666666666674</c:v>
                </c:pt>
                <c:pt idx="25">
                  <c:v>0.69444444444444453</c:v>
                </c:pt>
                <c:pt idx="26">
                  <c:v>0.72222222222222232</c:v>
                </c:pt>
                <c:pt idx="27">
                  <c:v>0.75</c:v>
                </c:pt>
                <c:pt idx="28">
                  <c:v>0.77777777777777779</c:v>
                </c:pt>
                <c:pt idx="29">
                  <c:v>0.80555555555555558</c:v>
                </c:pt>
                <c:pt idx="30">
                  <c:v>0.83333333333333337</c:v>
                </c:pt>
                <c:pt idx="31">
                  <c:v>0.86111111111111116</c:v>
                </c:pt>
                <c:pt idx="32">
                  <c:v>0.88888888888888895</c:v>
                </c:pt>
                <c:pt idx="33">
                  <c:v>0.91666666666666674</c:v>
                </c:pt>
                <c:pt idx="34">
                  <c:v>0.94444444444444453</c:v>
                </c:pt>
                <c:pt idx="35">
                  <c:v>0.97222222222222232</c:v>
                </c:pt>
                <c:pt idx="36">
                  <c:v>1</c:v>
                </c:pt>
                <c:pt idx="37">
                  <c:v>1.0277777777777779</c:v>
                </c:pt>
                <c:pt idx="38">
                  <c:v>1.0555555555555556</c:v>
                </c:pt>
                <c:pt idx="39">
                  <c:v>1.0833333333333335</c:v>
                </c:pt>
                <c:pt idx="40">
                  <c:v>1.1111111111111112</c:v>
                </c:pt>
                <c:pt idx="41">
                  <c:v>1.1388888888888891</c:v>
                </c:pt>
                <c:pt idx="42">
                  <c:v>1.1666666666666667</c:v>
                </c:pt>
                <c:pt idx="43">
                  <c:v>1.1944444444444444</c:v>
                </c:pt>
                <c:pt idx="44">
                  <c:v>1.2222222222222223</c:v>
                </c:pt>
                <c:pt idx="45">
                  <c:v>1.25</c:v>
                </c:pt>
                <c:pt idx="46">
                  <c:v>1.2777777777777779</c:v>
                </c:pt>
                <c:pt idx="47">
                  <c:v>1.3055555555555556</c:v>
                </c:pt>
                <c:pt idx="48">
                  <c:v>1.3333333333333335</c:v>
                </c:pt>
                <c:pt idx="49">
                  <c:v>1.3611111111111112</c:v>
                </c:pt>
                <c:pt idx="50">
                  <c:v>1.3888888888888891</c:v>
                </c:pt>
                <c:pt idx="51">
                  <c:v>1.4166666666666667</c:v>
                </c:pt>
                <c:pt idx="52">
                  <c:v>1.4444444444444446</c:v>
                </c:pt>
                <c:pt idx="53">
                  <c:v>1.4722222222222223</c:v>
                </c:pt>
                <c:pt idx="54">
                  <c:v>1.5</c:v>
                </c:pt>
                <c:pt idx="55">
                  <c:v>1.5277777777777779</c:v>
                </c:pt>
                <c:pt idx="56">
                  <c:v>1.5555555555555556</c:v>
                </c:pt>
                <c:pt idx="57">
                  <c:v>1.5833333333333335</c:v>
                </c:pt>
                <c:pt idx="58">
                  <c:v>1.6111111111111112</c:v>
                </c:pt>
                <c:pt idx="59">
                  <c:v>1.6388888888888891</c:v>
                </c:pt>
                <c:pt idx="60">
                  <c:v>1.6666666666666667</c:v>
                </c:pt>
                <c:pt idx="61">
                  <c:v>1.6944444444444446</c:v>
                </c:pt>
                <c:pt idx="62">
                  <c:v>1.7222222222222223</c:v>
                </c:pt>
                <c:pt idx="63">
                  <c:v>1.7500000000000002</c:v>
                </c:pt>
                <c:pt idx="64">
                  <c:v>1.7777777777777779</c:v>
                </c:pt>
                <c:pt idx="65">
                  <c:v>1.8055555555555556</c:v>
                </c:pt>
                <c:pt idx="66">
                  <c:v>1.8333333333333335</c:v>
                </c:pt>
                <c:pt idx="67">
                  <c:v>1.8611111111111112</c:v>
                </c:pt>
                <c:pt idx="68">
                  <c:v>1.8888888888888891</c:v>
                </c:pt>
                <c:pt idx="69">
                  <c:v>1.9166666666666667</c:v>
                </c:pt>
                <c:pt idx="70">
                  <c:v>1.9444444444444446</c:v>
                </c:pt>
                <c:pt idx="71">
                  <c:v>1.9722222222222223</c:v>
                </c:pt>
                <c:pt idx="72">
                  <c:v>2</c:v>
                </c:pt>
                <c:pt idx="73">
                  <c:v>2.0277777777777781</c:v>
                </c:pt>
                <c:pt idx="74">
                  <c:v>2.0555555555555558</c:v>
                </c:pt>
                <c:pt idx="75">
                  <c:v>2.0833333333333335</c:v>
                </c:pt>
                <c:pt idx="76">
                  <c:v>2.1111111111111112</c:v>
                </c:pt>
                <c:pt idx="77">
                  <c:v>2.1388888888888888</c:v>
                </c:pt>
                <c:pt idx="78">
                  <c:v>2.166666666666667</c:v>
                </c:pt>
                <c:pt idx="79">
                  <c:v>2.1944444444444446</c:v>
                </c:pt>
                <c:pt idx="80">
                  <c:v>2.2222222222222223</c:v>
                </c:pt>
                <c:pt idx="81">
                  <c:v>2.25</c:v>
                </c:pt>
                <c:pt idx="82">
                  <c:v>2.2777777777777781</c:v>
                </c:pt>
                <c:pt idx="83">
                  <c:v>2.3055555555555558</c:v>
                </c:pt>
                <c:pt idx="84">
                  <c:v>2.3333333333333335</c:v>
                </c:pt>
                <c:pt idx="85">
                  <c:v>2.3611111111111112</c:v>
                </c:pt>
                <c:pt idx="86">
                  <c:v>2.3888888888888888</c:v>
                </c:pt>
                <c:pt idx="87">
                  <c:v>2.416666666666667</c:v>
                </c:pt>
                <c:pt idx="88">
                  <c:v>2.4444444444444446</c:v>
                </c:pt>
                <c:pt idx="89">
                  <c:v>2.4722222222222223</c:v>
                </c:pt>
                <c:pt idx="90">
                  <c:v>2.5</c:v>
                </c:pt>
                <c:pt idx="91">
                  <c:v>2.5277777777777781</c:v>
                </c:pt>
                <c:pt idx="92">
                  <c:v>2.5555555555555558</c:v>
                </c:pt>
                <c:pt idx="93">
                  <c:v>2.5833333333333335</c:v>
                </c:pt>
                <c:pt idx="94">
                  <c:v>2.6111111111111112</c:v>
                </c:pt>
                <c:pt idx="95">
                  <c:v>2.6388888888888893</c:v>
                </c:pt>
                <c:pt idx="96">
                  <c:v>2.666666666666667</c:v>
                </c:pt>
                <c:pt idx="97">
                  <c:v>2.6944444444444446</c:v>
                </c:pt>
                <c:pt idx="98">
                  <c:v>2.7222222222222223</c:v>
                </c:pt>
                <c:pt idx="99">
                  <c:v>2.75</c:v>
                </c:pt>
                <c:pt idx="100">
                  <c:v>2.7777777777777781</c:v>
                </c:pt>
                <c:pt idx="101">
                  <c:v>2.8055555555555558</c:v>
                </c:pt>
                <c:pt idx="102">
                  <c:v>2.8333333333333335</c:v>
                </c:pt>
                <c:pt idx="103">
                  <c:v>2.8611111111111112</c:v>
                </c:pt>
                <c:pt idx="104">
                  <c:v>2.8888888888888893</c:v>
                </c:pt>
                <c:pt idx="105">
                  <c:v>2.916666666666667</c:v>
                </c:pt>
                <c:pt idx="106">
                  <c:v>2.9444444444444446</c:v>
                </c:pt>
                <c:pt idx="107">
                  <c:v>2.9722222222222223</c:v>
                </c:pt>
                <c:pt idx="108">
                  <c:v>3</c:v>
                </c:pt>
                <c:pt idx="109">
                  <c:v>3.0277777777777781</c:v>
                </c:pt>
                <c:pt idx="110">
                  <c:v>3.0555555555555558</c:v>
                </c:pt>
                <c:pt idx="111">
                  <c:v>3.0833333333333335</c:v>
                </c:pt>
                <c:pt idx="112">
                  <c:v>3.1111111111111112</c:v>
                </c:pt>
                <c:pt idx="113">
                  <c:v>3.1388888888888893</c:v>
                </c:pt>
                <c:pt idx="114">
                  <c:v>3.166666666666667</c:v>
                </c:pt>
                <c:pt idx="115">
                  <c:v>3.1944444444444446</c:v>
                </c:pt>
                <c:pt idx="116">
                  <c:v>3.2222222222222223</c:v>
                </c:pt>
                <c:pt idx="117">
                  <c:v>3.2500000000000004</c:v>
                </c:pt>
                <c:pt idx="118">
                  <c:v>3.2777777777777781</c:v>
                </c:pt>
                <c:pt idx="119">
                  <c:v>3.3055555555555558</c:v>
                </c:pt>
                <c:pt idx="120">
                  <c:v>3.3333333333333335</c:v>
                </c:pt>
                <c:pt idx="121">
                  <c:v>3.3611111111111112</c:v>
                </c:pt>
                <c:pt idx="122">
                  <c:v>3.3888888888888893</c:v>
                </c:pt>
                <c:pt idx="123">
                  <c:v>3.416666666666667</c:v>
                </c:pt>
                <c:pt idx="124">
                  <c:v>3.4444444444444446</c:v>
                </c:pt>
                <c:pt idx="125">
                  <c:v>3.4722222222222223</c:v>
                </c:pt>
                <c:pt idx="126">
                  <c:v>3.5000000000000004</c:v>
                </c:pt>
                <c:pt idx="127">
                  <c:v>3.5277777777777781</c:v>
                </c:pt>
                <c:pt idx="128">
                  <c:v>3.5555555555555558</c:v>
                </c:pt>
                <c:pt idx="129">
                  <c:v>3.5833333333333335</c:v>
                </c:pt>
                <c:pt idx="130">
                  <c:v>3.6111111111111112</c:v>
                </c:pt>
                <c:pt idx="131">
                  <c:v>3.6388888888888893</c:v>
                </c:pt>
                <c:pt idx="132">
                  <c:v>3.666666666666667</c:v>
                </c:pt>
                <c:pt idx="133">
                  <c:v>3.6944444444444446</c:v>
                </c:pt>
                <c:pt idx="134">
                  <c:v>3.7222222222222223</c:v>
                </c:pt>
                <c:pt idx="135">
                  <c:v>3.7500000000000004</c:v>
                </c:pt>
                <c:pt idx="136">
                  <c:v>3.7777777777777781</c:v>
                </c:pt>
                <c:pt idx="137">
                  <c:v>3.8055555555555558</c:v>
                </c:pt>
                <c:pt idx="138">
                  <c:v>3.8333333333333335</c:v>
                </c:pt>
                <c:pt idx="139">
                  <c:v>3.8611111111111112</c:v>
                </c:pt>
                <c:pt idx="140">
                  <c:v>3.8888888888888893</c:v>
                </c:pt>
                <c:pt idx="141">
                  <c:v>3.916666666666667</c:v>
                </c:pt>
                <c:pt idx="142">
                  <c:v>3.9444444444444446</c:v>
                </c:pt>
                <c:pt idx="143">
                  <c:v>3.9722222222222223</c:v>
                </c:pt>
                <c:pt idx="144">
                  <c:v>4</c:v>
                </c:pt>
                <c:pt idx="145">
                  <c:v>4.0277777777777777</c:v>
                </c:pt>
                <c:pt idx="146">
                  <c:v>4.0555555555555562</c:v>
                </c:pt>
                <c:pt idx="147">
                  <c:v>4.0833333333333339</c:v>
                </c:pt>
                <c:pt idx="148">
                  <c:v>4.1111111111111116</c:v>
                </c:pt>
                <c:pt idx="149">
                  <c:v>4.1388888888888893</c:v>
                </c:pt>
                <c:pt idx="150">
                  <c:v>4.166666666666667</c:v>
                </c:pt>
              </c:numCache>
            </c:numRef>
          </c:xVal>
          <c:yVal>
            <c:numRef>
              <c:f>Eff_vs_IOUT!$AW$7:$AW$157</c:f>
              <c:numCache>
                <c:formatCode>General</c:formatCode>
                <c:ptCount val="151"/>
                <c:pt idx="0">
                  <c:v>0</c:v>
                </c:pt>
                <c:pt idx="1">
                  <c:v>61.058151688352183</c:v>
                </c:pt>
                <c:pt idx="2">
                  <c:v>74.938068500487162</c:v>
                </c:pt>
                <c:pt idx="3">
                  <c:v>81.059509577819725</c:v>
                </c:pt>
                <c:pt idx="4">
                  <c:v>84.495640370405894</c:v>
                </c:pt>
                <c:pt idx="5">
                  <c:v>86.689469729115118</c:v>
                </c:pt>
                <c:pt idx="6">
                  <c:v>88.20779599690249</c:v>
                </c:pt>
                <c:pt idx="7">
                  <c:v>89.318471484699728</c:v>
                </c:pt>
                <c:pt idx="8">
                  <c:v>90.1644669995284</c:v>
                </c:pt>
                <c:pt idx="9">
                  <c:v>90.829019329548856</c:v>
                </c:pt>
                <c:pt idx="10">
                  <c:v>91.363857618109165</c:v>
                </c:pt>
                <c:pt idx="11">
                  <c:v>91.802810795783131</c:v>
                </c:pt>
                <c:pt idx="12">
                  <c:v>92.168926161066892</c:v>
                </c:pt>
                <c:pt idx="13">
                  <c:v>92.478442631953143</c:v>
                </c:pt>
                <c:pt idx="14">
                  <c:v>92.743128464822192</c:v>
                </c:pt>
                <c:pt idx="15">
                  <c:v>92.971718247893932</c:v>
                </c:pt>
                <c:pt idx="16">
                  <c:v>93.170829498734875</c:v>
                </c:pt>
                <c:pt idx="17">
                  <c:v>93.345566135872744</c:v>
                </c:pt>
                <c:pt idx="18">
                  <c:v>93.499926846656749</c:v>
                </c:pt>
                <c:pt idx="19">
                  <c:v>93.703981354685411</c:v>
                </c:pt>
                <c:pt idx="20">
                  <c:v>93.923165065262737</c:v>
                </c:pt>
                <c:pt idx="21">
                  <c:v>94.12126240014932</c:v>
                </c:pt>
                <c:pt idx="22">
                  <c:v>94.301026115879111</c:v>
                </c:pt>
                <c:pt idx="23">
                  <c:v>94.464749866153639</c:v>
                </c:pt>
                <c:pt idx="24">
                  <c:v>94.614360081942294</c:v>
                </c:pt>
                <c:pt idx="25">
                  <c:v>94.751486635264087</c:v>
                </c:pt>
                <c:pt idx="26">
                  <c:v>94.877517790480098</c:v>
                </c:pt>
                <c:pt idx="27">
                  <c:v>94.993643373492716</c:v>
                </c:pt>
                <c:pt idx="28">
                  <c:v>95.100889004394759</c:v>
                </c:pt>
                <c:pt idx="29">
                  <c:v>95.200143479889704</c:v>
                </c:pt>
                <c:pt idx="30">
                  <c:v>95.292180853118111</c:v>
                </c:pt>
                <c:pt idx="31">
                  <c:v>95.37767837141962</c:v>
                </c:pt>
                <c:pt idx="32">
                  <c:v>95.457231151082055</c:v>
                </c:pt>
                <c:pt idx="33">
                  <c:v>95.531364261194568</c:v>
                </c:pt>
                <c:pt idx="34">
                  <c:v>95.600542735023822</c:v>
                </c:pt>
                <c:pt idx="35">
                  <c:v>95.665179912076397</c:v>
                </c:pt>
                <c:pt idx="36">
                  <c:v>95.725644426801793</c:v>
                </c:pt>
                <c:pt idx="37">
                  <c:v>95.782266093345498</c:v>
                </c:pt>
                <c:pt idx="38">
                  <c:v>95.835340884579125</c:v>
                </c:pt>
                <c:pt idx="39">
                  <c:v>95.885135163973445</c:v>
                </c:pt>
                <c:pt idx="40">
                  <c:v>95.931889297928308</c:v>
                </c:pt>
                <c:pt idx="41">
                  <c:v>95.975820751856162</c:v>
                </c:pt>
                <c:pt idx="42">
                  <c:v>96.01712675409118</c:v>
                </c:pt>
                <c:pt idx="43">
                  <c:v>96.055986596404239</c:v>
                </c:pt>
                <c:pt idx="44">
                  <c:v>96.092563627672192</c:v>
                </c:pt>
                <c:pt idx="45">
                  <c:v>96.127006987411605</c:v>
                </c:pt>
                <c:pt idx="46">
                  <c:v>96.159453117934063</c:v>
                </c:pt>
                <c:pt idx="47">
                  <c:v>96.190027087418272</c:v>
                </c:pt>
                <c:pt idx="48">
                  <c:v>96.21884375091976</c:v>
                </c:pt>
                <c:pt idx="49">
                  <c:v>96.246008772014207</c:v>
                </c:pt>
                <c:pt idx="50">
                  <c:v>96.271619524209314</c:v>
                </c:pt>
                <c:pt idx="51">
                  <c:v>96.295765888315159</c:v>
                </c:pt>
                <c:pt idx="52">
                  <c:v>96.318530959518682</c:v>
                </c:pt>
                <c:pt idx="53">
                  <c:v>96.339991675870607</c:v>
                </c:pt>
                <c:pt idx="54">
                  <c:v>96.360219378190124</c:v>
                </c:pt>
                <c:pt idx="55">
                  <c:v>96.379280309962425</c:v>
                </c:pt>
                <c:pt idx="56">
                  <c:v>96.397236064600307</c:v>
                </c:pt>
                <c:pt idx="57">
                  <c:v>96.414143986424577</c:v>
                </c:pt>
                <c:pt idx="58">
                  <c:v>96.430057530855578</c:v>
                </c:pt>
                <c:pt idx="59">
                  <c:v>96.445026588575672</c:v>
                </c:pt>
                <c:pt idx="60">
                  <c:v>96.459097777798775</c:v>
                </c:pt>
                <c:pt idx="61">
                  <c:v>96.472314708247808</c:v>
                </c:pt>
                <c:pt idx="62">
                  <c:v>96.484718219985538</c:v>
                </c:pt>
                <c:pt idx="63">
                  <c:v>96.496346599849034</c:v>
                </c:pt>
                <c:pt idx="64">
                  <c:v>96.507235777900547</c:v>
                </c:pt>
                <c:pt idx="65">
                  <c:v>96.517419506015102</c:v>
                </c:pt>
                <c:pt idx="66">
                  <c:v>96.526929520471001</c:v>
                </c:pt>
                <c:pt idx="67">
                  <c:v>96.535795690190909</c:v>
                </c:pt>
                <c:pt idx="68">
                  <c:v>96.544046152089237</c:v>
                </c:pt>
                <c:pt idx="69">
                  <c:v>96.551707434815768</c:v>
                </c:pt>
                <c:pt idx="70">
                  <c:v>96.558804572039548</c:v>
                </c:pt>
                <c:pt idx="71">
                  <c:v>96.565361206290419</c:v>
                </c:pt>
                <c:pt idx="72">
                  <c:v>96.571399684263767</c:v>
                </c:pt>
                <c:pt idx="73">
                  <c:v>96.576941144396017</c:v>
                </c:pt>
                <c:pt idx="74">
                  <c:v>96.582005597432783</c:v>
                </c:pt>
                <c:pt idx="75">
                  <c:v>96.58661200063483</c:v>
                </c:pt>
                <c:pt idx="76">
                  <c:v>96.590778326200635</c:v>
                </c:pt>
                <c:pt idx="77">
                  <c:v>96.594521624424573</c:v>
                </c:pt>
                <c:pt idx="78">
                  <c:v>96.597858082057286</c:v>
                </c:pt>
                <c:pt idx="79">
                  <c:v>96.60080307628813</c:v>
                </c:pt>
                <c:pt idx="80">
                  <c:v>96.603371224728079</c:v>
                </c:pt>
                <c:pt idx="81">
                  <c:v>96.605576431734775</c:v>
                </c:pt>
                <c:pt idx="82">
                  <c:v>96.607431931387922</c:v>
                </c:pt>
                <c:pt idx="83">
                  <c:v>96.608950327394538</c:v>
                </c:pt>
                <c:pt idx="84">
                  <c:v>96.610143630176864</c:v>
                </c:pt>
                <c:pt idx="85">
                  <c:v>96.611023291372078</c:v>
                </c:pt>
                <c:pt idx="86">
                  <c:v>96.611600235952551</c:v>
                </c:pt>
                <c:pt idx="87">
                  <c:v>96.611884892155388</c:v>
                </c:pt>
                <c:pt idx="88">
                  <c:v>96.611887219394077</c:v>
                </c:pt>
                <c:pt idx="89">
                  <c:v>96.611616734308996</c:v>
                </c:pt>
                <c:pt idx="90">
                  <c:v>96.611082535099897</c:v>
                </c:pt>
                <c:pt idx="91">
                  <c:v>96.610293324271368</c:v>
                </c:pt>
                <c:pt idx="92">
                  <c:v>96.609257429910414</c:v>
                </c:pt>
                <c:pt idx="93">
                  <c:v>96.607982825605845</c:v>
                </c:pt>
                <c:pt idx="94">
                  <c:v>96.606477149109182</c:v>
                </c:pt>
                <c:pt idx="95">
                  <c:v>96.604747719829305</c:v>
                </c:pt>
                <c:pt idx="96">
                  <c:v>96.602801555244511</c:v>
                </c:pt>
                <c:pt idx="97">
                  <c:v>96.600645386309751</c:v>
                </c:pt>
                <c:pt idx="98">
                  <c:v>96.598285671929915</c:v>
                </c:pt>
                <c:pt idx="99">
                  <c:v>96.595728612564642</c:v>
                </c:pt>
                <c:pt idx="100">
                  <c:v>96.592980163024549</c:v>
                </c:pt>
                <c:pt idx="101">
                  <c:v>96.590046044514949</c:v>
                </c:pt>
                <c:pt idx="102">
                  <c:v>96.586931755977659</c:v>
                </c:pt>
                <c:pt idx="103">
                  <c:v>96.583642584778431</c:v>
                </c:pt>
                <c:pt idx="104">
                  <c:v>96.580183616783643</c:v>
                </c:pt>
                <c:pt idx="105">
                  <c:v>96.576559745866405</c:v>
                </c:pt>
                <c:pt idx="106">
                  <c:v>96.57277568287958</c:v>
                </c:pt>
                <c:pt idx="107">
                  <c:v>96.568835964130358</c:v>
                </c:pt>
                <c:pt idx="108">
                  <c:v>96.564744959388008</c:v>
                </c:pt>
                <c:pt idx="109">
                  <c:v>96.560506879455019</c:v>
                </c:pt>
                <c:pt idx="110">
                  <c:v>96.55612578332881</c:v>
                </c:pt>
                <c:pt idx="111">
                  <c:v>96.551605584979754</c:v>
                </c:pt>
                <c:pt idx="112">
                  <c:v>96.546950059769259</c:v>
                </c:pt>
                <c:pt idx="113">
                  <c:v>96.542162850529962</c:v>
                </c:pt>
                <c:pt idx="114">
                  <c:v>96.537247473328719</c:v>
                </c:pt>
                <c:pt idx="115">
                  <c:v>96.532207322931441</c:v>
                </c:pt>
                <c:pt idx="116">
                  <c:v>96.527045677987616</c:v>
                </c:pt>
                <c:pt idx="117">
                  <c:v>96.521765705951239</c:v>
                </c:pt>
                <c:pt idx="118">
                  <c:v>96.516370467753461</c:v>
                </c:pt>
                <c:pt idx="119">
                  <c:v>96.51086292224177</c:v>
                </c:pt>
                <c:pt idx="120">
                  <c:v>96.505245930398829</c:v>
                </c:pt>
                <c:pt idx="121">
                  <c:v>96.499522259353995</c:v>
                </c:pt>
                <c:pt idx="122">
                  <c:v>96.493694586198885</c:v>
                </c:pt>
                <c:pt idx="123">
                  <c:v>96.487765501618512</c:v>
                </c:pt>
                <c:pt idx="124">
                  <c:v>96.481737513348008</c:v>
                </c:pt>
                <c:pt idx="125">
                  <c:v>96.475613049464741</c:v>
                </c:pt>
                <c:pt idx="126">
                  <c:v>96.469394461524814</c:v>
                </c:pt>
                <c:pt idx="127">
                  <c:v>96.463084027552654</c:v>
                </c:pt>
                <c:pt idx="128">
                  <c:v>96.456683954891432</c:v>
                </c:pt>
                <c:pt idx="129">
                  <c:v>96.450196382921888</c:v>
                </c:pt>
                <c:pt idx="130">
                  <c:v>96.443623385656778</c:v>
                </c:pt>
                <c:pt idx="131">
                  <c:v>96.436966974217057</c:v>
                </c:pt>
                <c:pt idx="132">
                  <c:v>96.430229099196765</c:v>
                </c:pt>
                <c:pt idx="133">
                  <c:v>96.423411652921658</c:v>
                </c:pt>
                <c:pt idx="134">
                  <c:v>96.416516471607622</c:v>
                </c:pt>
                <c:pt idx="135">
                  <c:v>96.409545337423765</c:v>
                </c:pt>
                <c:pt idx="136">
                  <c:v>96.402499980465208</c:v>
                </c:pt>
                <c:pt idx="137">
                  <c:v>96.395382080640061</c:v>
                </c:pt>
                <c:pt idx="138">
                  <c:v>96.388193269474939</c:v>
                </c:pt>
                <c:pt idx="139">
                  <c:v>96.380935131843117</c:v>
                </c:pt>
                <c:pt idx="140">
                  <c:v>96.373609207619083</c:v>
                </c:pt>
                <c:pt idx="141">
                  <c:v>96.366216993263194</c:v>
                </c:pt>
                <c:pt idx="142">
                  <c:v>96.358759943339905</c:v>
                </c:pt>
                <c:pt idx="143">
                  <c:v>96.351239471972605</c:v>
                </c:pt>
                <c:pt idx="144">
                  <c:v>96.343656954238369</c:v>
                </c:pt>
                <c:pt idx="145">
                  <c:v>96.336013727505247</c:v>
                </c:pt>
                <c:pt idx="146">
                  <c:v>96.32831109271514</c:v>
                </c:pt>
                <c:pt idx="147">
                  <c:v>96.320550315614511</c:v>
                </c:pt>
                <c:pt idx="148">
                  <c:v>96.312732627935631</c:v>
                </c:pt>
                <c:pt idx="149">
                  <c:v>96.304859228530461</c:v>
                </c:pt>
                <c:pt idx="150">
                  <c:v>96.296931284459575</c:v>
                </c:pt>
              </c:numCache>
            </c:numRef>
          </c:yVal>
          <c:smooth val="0"/>
          <c:extLst>
            <c:ext xmlns:c16="http://schemas.microsoft.com/office/drawing/2014/chart" uri="{C3380CC4-5D6E-409C-BE32-E72D297353CC}">
              <c16:uniqueId val="{00000000-901A-4CE4-83F4-75906C9CC573}"/>
            </c:ext>
          </c:extLst>
        </c:ser>
        <c:dLbls>
          <c:showLegendKey val="0"/>
          <c:showVal val="0"/>
          <c:showCatName val="0"/>
          <c:showSerName val="0"/>
          <c:showPercent val="0"/>
          <c:showBubbleSize val="0"/>
        </c:dLbls>
        <c:axId val="361445248"/>
        <c:axId val="361446784"/>
      </c:scatterChart>
      <c:scatterChart>
        <c:scatterStyle val="smoothMarker"/>
        <c:varyColors val="0"/>
        <c:ser>
          <c:idx val="1"/>
          <c:order val="1"/>
          <c:tx>
            <c:v>LS MOSFET</c:v>
          </c:tx>
          <c:spPr>
            <a:ln>
              <a:solidFill>
                <a:schemeClr val="tx2">
                  <a:lumMod val="75000"/>
                </a:schemeClr>
              </a:solidFill>
              <a:prstDash val="dashDot"/>
            </a:ln>
          </c:spPr>
          <c:marker>
            <c:symbol val="none"/>
          </c:marker>
          <c:xVal>
            <c:numRef>
              <c:f>Eff_vs_IOUT!$S$7:$S$157</c:f>
              <c:numCache>
                <c:formatCode>General</c:formatCode>
                <c:ptCount val="151"/>
                <c:pt idx="0">
                  <c:v>0</c:v>
                </c:pt>
                <c:pt idx="1">
                  <c:v>2.777777777777778E-2</c:v>
                </c:pt>
                <c:pt idx="2">
                  <c:v>5.5555555555555559E-2</c:v>
                </c:pt>
                <c:pt idx="3">
                  <c:v>8.3333333333333343E-2</c:v>
                </c:pt>
                <c:pt idx="4">
                  <c:v>0.11111111111111112</c:v>
                </c:pt>
                <c:pt idx="5">
                  <c:v>0.1388888888888889</c:v>
                </c:pt>
                <c:pt idx="6">
                  <c:v>0.16666666666666669</c:v>
                </c:pt>
                <c:pt idx="7">
                  <c:v>0.19444444444444445</c:v>
                </c:pt>
                <c:pt idx="8">
                  <c:v>0.22222222222222224</c:v>
                </c:pt>
                <c:pt idx="9">
                  <c:v>0.25</c:v>
                </c:pt>
                <c:pt idx="10">
                  <c:v>0.27777777777777779</c:v>
                </c:pt>
                <c:pt idx="11">
                  <c:v>0.30555555555555558</c:v>
                </c:pt>
                <c:pt idx="12">
                  <c:v>0.33333333333333337</c:v>
                </c:pt>
                <c:pt idx="13">
                  <c:v>0.36111111111111116</c:v>
                </c:pt>
                <c:pt idx="14">
                  <c:v>0.3888888888888889</c:v>
                </c:pt>
                <c:pt idx="15">
                  <c:v>0.41666666666666669</c:v>
                </c:pt>
                <c:pt idx="16">
                  <c:v>0.44444444444444448</c:v>
                </c:pt>
                <c:pt idx="17">
                  <c:v>0.47222222222222227</c:v>
                </c:pt>
                <c:pt idx="18">
                  <c:v>0.5</c:v>
                </c:pt>
                <c:pt idx="19">
                  <c:v>0.52777777777777779</c:v>
                </c:pt>
                <c:pt idx="20">
                  <c:v>0.55555555555555558</c:v>
                </c:pt>
                <c:pt idx="21">
                  <c:v>0.58333333333333337</c:v>
                </c:pt>
                <c:pt idx="22">
                  <c:v>0.61111111111111116</c:v>
                </c:pt>
                <c:pt idx="23">
                  <c:v>0.63888888888888895</c:v>
                </c:pt>
                <c:pt idx="24">
                  <c:v>0.66666666666666674</c:v>
                </c:pt>
                <c:pt idx="25">
                  <c:v>0.69444444444444453</c:v>
                </c:pt>
                <c:pt idx="26">
                  <c:v>0.72222222222222232</c:v>
                </c:pt>
                <c:pt idx="27">
                  <c:v>0.75</c:v>
                </c:pt>
                <c:pt idx="28">
                  <c:v>0.77777777777777779</c:v>
                </c:pt>
                <c:pt idx="29">
                  <c:v>0.80555555555555558</c:v>
                </c:pt>
                <c:pt idx="30">
                  <c:v>0.83333333333333337</c:v>
                </c:pt>
                <c:pt idx="31">
                  <c:v>0.86111111111111116</c:v>
                </c:pt>
                <c:pt idx="32">
                  <c:v>0.88888888888888895</c:v>
                </c:pt>
                <c:pt idx="33">
                  <c:v>0.91666666666666674</c:v>
                </c:pt>
                <c:pt idx="34">
                  <c:v>0.94444444444444453</c:v>
                </c:pt>
                <c:pt idx="35">
                  <c:v>0.97222222222222232</c:v>
                </c:pt>
                <c:pt idx="36">
                  <c:v>1</c:v>
                </c:pt>
                <c:pt idx="37">
                  <c:v>1.0277777777777779</c:v>
                </c:pt>
                <c:pt idx="38">
                  <c:v>1.0555555555555556</c:v>
                </c:pt>
                <c:pt idx="39">
                  <c:v>1.0833333333333335</c:v>
                </c:pt>
                <c:pt idx="40">
                  <c:v>1.1111111111111112</c:v>
                </c:pt>
                <c:pt idx="41">
                  <c:v>1.1388888888888891</c:v>
                </c:pt>
                <c:pt idx="42">
                  <c:v>1.1666666666666667</c:v>
                </c:pt>
                <c:pt idx="43">
                  <c:v>1.1944444444444444</c:v>
                </c:pt>
                <c:pt idx="44">
                  <c:v>1.2222222222222223</c:v>
                </c:pt>
                <c:pt idx="45">
                  <c:v>1.25</c:v>
                </c:pt>
                <c:pt idx="46">
                  <c:v>1.2777777777777779</c:v>
                </c:pt>
                <c:pt idx="47">
                  <c:v>1.3055555555555556</c:v>
                </c:pt>
                <c:pt idx="48">
                  <c:v>1.3333333333333335</c:v>
                </c:pt>
                <c:pt idx="49">
                  <c:v>1.3611111111111112</c:v>
                </c:pt>
                <c:pt idx="50">
                  <c:v>1.3888888888888891</c:v>
                </c:pt>
                <c:pt idx="51">
                  <c:v>1.4166666666666667</c:v>
                </c:pt>
                <c:pt idx="52">
                  <c:v>1.4444444444444446</c:v>
                </c:pt>
                <c:pt idx="53">
                  <c:v>1.4722222222222223</c:v>
                </c:pt>
                <c:pt idx="54">
                  <c:v>1.5</c:v>
                </c:pt>
                <c:pt idx="55">
                  <c:v>1.5277777777777779</c:v>
                </c:pt>
                <c:pt idx="56">
                  <c:v>1.5555555555555556</c:v>
                </c:pt>
                <c:pt idx="57">
                  <c:v>1.5833333333333335</c:v>
                </c:pt>
                <c:pt idx="58">
                  <c:v>1.6111111111111112</c:v>
                </c:pt>
                <c:pt idx="59">
                  <c:v>1.6388888888888891</c:v>
                </c:pt>
                <c:pt idx="60">
                  <c:v>1.6666666666666667</c:v>
                </c:pt>
                <c:pt idx="61">
                  <c:v>1.6944444444444446</c:v>
                </c:pt>
                <c:pt idx="62">
                  <c:v>1.7222222222222223</c:v>
                </c:pt>
                <c:pt idx="63">
                  <c:v>1.7500000000000002</c:v>
                </c:pt>
                <c:pt idx="64">
                  <c:v>1.7777777777777779</c:v>
                </c:pt>
                <c:pt idx="65">
                  <c:v>1.8055555555555556</c:v>
                </c:pt>
                <c:pt idx="66">
                  <c:v>1.8333333333333335</c:v>
                </c:pt>
                <c:pt idx="67">
                  <c:v>1.8611111111111112</c:v>
                </c:pt>
                <c:pt idx="68">
                  <c:v>1.8888888888888891</c:v>
                </c:pt>
                <c:pt idx="69">
                  <c:v>1.9166666666666667</c:v>
                </c:pt>
                <c:pt idx="70">
                  <c:v>1.9444444444444446</c:v>
                </c:pt>
                <c:pt idx="71">
                  <c:v>1.9722222222222223</c:v>
                </c:pt>
                <c:pt idx="72">
                  <c:v>2</c:v>
                </c:pt>
                <c:pt idx="73">
                  <c:v>2.0277777777777781</c:v>
                </c:pt>
                <c:pt idx="74">
                  <c:v>2.0555555555555558</c:v>
                </c:pt>
                <c:pt idx="75">
                  <c:v>2.0833333333333335</c:v>
                </c:pt>
                <c:pt idx="76">
                  <c:v>2.1111111111111112</c:v>
                </c:pt>
                <c:pt idx="77">
                  <c:v>2.1388888888888888</c:v>
                </c:pt>
                <c:pt idx="78">
                  <c:v>2.166666666666667</c:v>
                </c:pt>
                <c:pt idx="79">
                  <c:v>2.1944444444444446</c:v>
                </c:pt>
                <c:pt idx="80">
                  <c:v>2.2222222222222223</c:v>
                </c:pt>
                <c:pt idx="81">
                  <c:v>2.25</c:v>
                </c:pt>
                <c:pt idx="82">
                  <c:v>2.2777777777777781</c:v>
                </c:pt>
                <c:pt idx="83">
                  <c:v>2.3055555555555558</c:v>
                </c:pt>
                <c:pt idx="84">
                  <c:v>2.3333333333333335</c:v>
                </c:pt>
                <c:pt idx="85">
                  <c:v>2.3611111111111112</c:v>
                </c:pt>
                <c:pt idx="86">
                  <c:v>2.3888888888888888</c:v>
                </c:pt>
                <c:pt idx="87">
                  <c:v>2.416666666666667</c:v>
                </c:pt>
                <c:pt idx="88">
                  <c:v>2.4444444444444446</c:v>
                </c:pt>
                <c:pt idx="89">
                  <c:v>2.4722222222222223</c:v>
                </c:pt>
                <c:pt idx="90">
                  <c:v>2.5</c:v>
                </c:pt>
                <c:pt idx="91">
                  <c:v>2.5277777777777781</c:v>
                </c:pt>
                <c:pt idx="92">
                  <c:v>2.5555555555555558</c:v>
                </c:pt>
                <c:pt idx="93">
                  <c:v>2.5833333333333335</c:v>
                </c:pt>
                <c:pt idx="94">
                  <c:v>2.6111111111111112</c:v>
                </c:pt>
                <c:pt idx="95">
                  <c:v>2.6388888888888893</c:v>
                </c:pt>
                <c:pt idx="96">
                  <c:v>2.666666666666667</c:v>
                </c:pt>
                <c:pt idx="97">
                  <c:v>2.6944444444444446</c:v>
                </c:pt>
                <c:pt idx="98">
                  <c:v>2.7222222222222223</c:v>
                </c:pt>
                <c:pt idx="99">
                  <c:v>2.75</c:v>
                </c:pt>
                <c:pt idx="100">
                  <c:v>2.7777777777777781</c:v>
                </c:pt>
                <c:pt idx="101">
                  <c:v>2.8055555555555558</c:v>
                </c:pt>
                <c:pt idx="102">
                  <c:v>2.8333333333333335</c:v>
                </c:pt>
                <c:pt idx="103">
                  <c:v>2.8611111111111112</c:v>
                </c:pt>
                <c:pt idx="104">
                  <c:v>2.8888888888888893</c:v>
                </c:pt>
                <c:pt idx="105">
                  <c:v>2.916666666666667</c:v>
                </c:pt>
                <c:pt idx="106">
                  <c:v>2.9444444444444446</c:v>
                </c:pt>
                <c:pt idx="107">
                  <c:v>2.9722222222222223</c:v>
                </c:pt>
                <c:pt idx="108">
                  <c:v>3</c:v>
                </c:pt>
                <c:pt idx="109">
                  <c:v>3.0277777777777781</c:v>
                </c:pt>
                <c:pt idx="110">
                  <c:v>3.0555555555555558</c:v>
                </c:pt>
                <c:pt idx="111">
                  <c:v>3.0833333333333335</c:v>
                </c:pt>
                <c:pt idx="112">
                  <c:v>3.1111111111111112</c:v>
                </c:pt>
                <c:pt idx="113">
                  <c:v>3.1388888888888893</c:v>
                </c:pt>
                <c:pt idx="114">
                  <c:v>3.166666666666667</c:v>
                </c:pt>
                <c:pt idx="115">
                  <c:v>3.1944444444444446</c:v>
                </c:pt>
                <c:pt idx="116">
                  <c:v>3.2222222222222223</c:v>
                </c:pt>
                <c:pt idx="117">
                  <c:v>3.2500000000000004</c:v>
                </c:pt>
                <c:pt idx="118">
                  <c:v>3.2777777777777781</c:v>
                </c:pt>
                <c:pt idx="119">
                  <c:v>3.3055555555555558</c:v>
                </c:pt>
                <c:pt idx="120">
                  <c:v>3.3333333333333335</c:v>
                </c:pt>
                <c:pt idx="121">
                  <c:v>3.3611111111111112</c:v>
                </c:pt>
                <c:pt idx="122">
                  <c:v>3.3888888888888893</c:v>
                </c:pt>
                <c:pt idx="123">
                  <c:v>3.416666666666667</c:v>
                </c:pt>
                <c:pt idx="124">
                  <c:v>3.4444444444444446</c:v>
                </c:pt>
                <c:pt idx="125">
                  <c:v>3.4722222222222223</c:v>
                </c:pt>
                <c:pt idx="126">
                  <c:v>3.5000000000000004</c:v>
                </c:pt>
                <c:pt idx="127">
                  <c:v>3.5277777777777781</c:v>
                </c:pt>
                <c:pt idx="128">
                  <c:v>3.5555555555555558</c:v>
                </c:pt>
                <c:pt idx="129">
                  <c:v>3.5833333333333335</c:v>
                </c:pt>
                <c:pt idx="130">
                  <c:v>3.6111111111111112</c:v>
                </c:pt>
                <c:pt idx="131">
                  <c:v>3.6388888888888893</c:v>
                </c:pt>
                <c:pt idx="132">
                  <c:v>3.666666666666667</c:v>
                </c:pt>
                <c:pt idx="133">
                  <c:v>3.6944444444444446</c:v>
                </c:pt>
                <c:pt idx="134">
                  <c:v>3.7222222222222223</c:v>
                </c:pt>
                <c:pt idx="135">
                  <c:v>3.7500000000000004</c:v>
                </c:pt>
                <c:pt idx="136">
                  <c:v>3.7777777777777781</c:v>
                </c:pt>
                <c:pt idx="137">
                  <c:v>3.8055555555555558</c:v>
                </c:pt>
                <c:pt idx="138">
                  <c:v>3.8333333333333335</c:v>
                </c:pt>
                <c:pt idx="139">
                  <c:v>3.8611111111111112</c:v>
                </c:pt>
                <c:pt idx="140">
                  <c:v>3.8888888888888893</c:v>
                </c:pt>
                <c:pt idx="141">
                  <c:v>3.916666666666667</c:v>
                </c:pt>
                <c:pt idx="142">
                  <c:v>3.9444444444444446</c:v>
                </c:pt>
                <c:pt idx="143">
                  <c:v>3.9722222222222223</c:v>
                </c:pt>
                <c:pt idx="144">
                  <c:v>4</c:v>
                </c:pt>
                <c:pt idx="145">
                  <c:v>4.0277777777777777</c:v>
                </c:pt>
                <c:pt idx="146">
                  <c:v>4.0555555555555562</c:v>
                </c:pt>
                <c:pt idx="147">
                  <c:v>4.0833333333333339</c:v>
                </c:pt>
                <c:pt idx="148">
                  <c:v>4.1111111111111116</c:v>
                </c:pt>
                <c:pt idx="149">
                  <c:v>4.1388888888888893</c:v>
                </c:pt>
                <c:pt idx="150">
                  <c:v>4.166666666666667</c:v>
                </c:pt>
              </c:numCache>
            </c:numRef>
          </c:xVal>
          <c:yVal>
            <c:numRef>
              <c:f>Eff_vs_IOUT!$AI$7:$AI$157</c:f>
              <c:numCache>
                <c:formatCode>General</c:formatCode>
                <c:ptCount val="151"/>
                <c:pt idx="0">
                  <c:v>0</c:v>
                </c:pt>
                <c:pt idx="1">
                  <c:v>7.8575621734463044E-3</c:v>
                </c:pt>
                <c:pt idx="2">
                  <c:v>1.5857956532581666E-2</c:v>
                </c:pt>
                <c:pt idx="3">
                  <c:v>2.3951333285119343E-2</c:v>
                </c:pt>
                <c:pt idx="4">
                  <c:v>3.2119903493453034E-2</c:v>
                </c:pt>
                <c:pt idx="5">
                  <c:v>4.0353386133979541E-2</c:v>
                </c:pt>
                <c:pt idx="6">
                  <c:v>4.8644844377947347E-2</c:v>
                </c:pt>
                <c:pt idx="7">
                  <c:v>5.6989185722910889E-2</c:v>
                </c:pt>
                <c:pt idx="8">
                  <c:v>6.5382464472418494E-2</c:v>
                </c:pt>
                <c:pt idx="9">
                  <c:v>7.3821506159521891E-2</c:v>
                </c:pt>
                <c:pt idx="10">
                  <c:v>8.2303684650837067E-2</c:v>
                </c:pt>
                <c:pt idx="11">
                  <c:v>9.0826780273578975E-2</c:v>
                </c:pt>
                <c:pt idx="12">
                  <c:v>9.9388884598602525E-2</c:v>
                </c:pt>
                <c:pt idx="13">
                  <c:v>0.10798833381924104</c:v>
                </c:pt>
                <c:pt idx="14">
                  <c:v>0.11662366054366502</c:v>
                </c:pt>
                <c:pt idx="15">
                  <c:v>0.12529355792948571</c:v>
                </c:pt>
                <c:pt idx="16">
                  <c:v>0.13399685237115463</c:v>
                </c:pt>
                <c:pt idx="17">
                  <c:v>0.14273248228303842</c:v>
                </c:pt>
                <c:pt idx="18">
                  <c:v>0.15149948133264823</c:v>
                </c:pt>
                <c:pt idx="19">
                  <c:v>0.16030317841485167</c:v>
                </c:pt>
                <c:pt idx="20">
                  <c:v>0.16916528162089131</c:v>
                </c:pt>
                <c:pt idx="21">
                  <c:v>0.17808774147988021</c:v>
                </c:pt>
                <c:pt idx="22">
                  <c:v>0.18707055799181835</c:v>
                </c:pt>
                <c:pt idx="23">
                  <c:v>0.19611373115670569</c:v>
                </c:pt>
                <c:pt idx="24">
                  <c:v>0.20521726097454229</c:v>
                </c:pt>
                <c:pt idx="25">
                  <c:v>0.21438114744532821</c:v>
                </c:pt>
                <c:pt idx="26">
                  <c:v>0.22360539056906331</c:v>
                </c:pt>
                <c:pt idx="27">
                  <c:v>0.23288999034574764</c:v>
                </c:pt>
                <c:pt idx="28">
                  <c:v>0.24223494677538127</c:v>
                </c:pt>
                <c:pt idx="29">
                  <c:v>0.25164025985796407</c:v>
                </c:pt>
                <c:pt idx="30">
                  <c:v>0.26110592959349621</c:v>
                </c:pt>
                <c:pt idx="31">
                  <c:v>0.27063195598197753</c:v>
                </c:pt>
                <c:pt idx="32">
                  <c:v>0.28021833902340815</c:v>
                </c:pt>
                <c:pt idx="33">
                  <c:v>0.28986507871778799</c:v>
                </c:pt>
                <c:pt idx="34">
                  <c:v>0.29957217506511702</c:v>
                </c:pt>
                <c:pt idx="35">
                  <c:v>0.30933962806539539</c:v>
                </c:pt>
                <c:pt idx="36">
                  <c:v>0.31916743771862294</c:v>
                </c:pt>
                <c:pt idx="37">
                  <c:v>0.32905560402479983</c:v>
                </c:pt>
                <c:pt idx="38">
                  <c:v>0.33900412698392579</c:v>
                </c:pt>
                <c:pt idx="39">
                  <c:v>0.3490130065960011</c:v>
                </c:pt>
                <c:pt idx="40">
                  <c:v>0.35908224286102564</c:v>
                </c:pt>
                <c:pt idx="41">
                  <c:v>0.36921183577899941</c:v>
                </c:pt>
                <c:pt idx="42">
                  <c:v>0.37940178534992253</c:v>
                </c:pt>
                <c:pt idx="43">
                  <c:v>0.38965209157379477</c:v>
                </c:pt>
                <c:pt idx="44">
                  <c:v>0.39996275445061635</c:v>
                </c:pt>
                <c:pt idx="45">
                  <c:v>0.41033377398038706</c:v>
                </c:pt>
                <c:pt idx="46">
                  <c:v>0.42076515016310712</c:v>
                </c:pt>
                <c:pt idx="47">
                  <c:v>0.4312568829987764</c:v>
                </c:pt>
                <c:pt idx="48">
                  <c:v>0.44180897248739481</c:v>
                </c:pt>
                <c:pt idx="49">
                  <c:v>0.45242141862896273</c:v>
                </c:pt>
                <c:pt idx="50">
                  <c:v>0.46309422142347978</c:v>
                </c:pt>
                <c:pt idx="51">
                  <c:v>0.47382738087094584</c:v>
                </c:pt>
                <c:pt idx="52">
                  <c:v>0.48462089697136146</c:v>
                </c:pt>
                <c:pt idx="53">
                  <c:v>0.49547476972472626</c:v>
                </c:pt>
                <c:pt idx="54">
                  <c:v>0.50638899913104019</c:v>
                </c:pt>
                <c:pt idx="55">
                  <c:v>0.51736358519030334</c:v>
                </c:pt>
                <c:pt idx="56">
                  <c:v>0.52839852790251585</c:v>
                </c:pt>
                <c:pt idx="57">
                  <c:v>0.53949382726767758</c:v>
                </c:pt>
                <c:pt idx="58">
                  <c:v>0.55064948328578855</c:v>
                </c:pt>
                <c:pt idx="59">
                  <c:v>0.56186549595684876</c:v>
                </c:pt>
                <c:pt idx="60">
                  <c:v>0.5731418652808582</c:v>
                </c:pt>
                <c:pt idx="61">
                  <c:v>0.58447859125781698</c:v>
                </c:pt>
                <c:pt idx="62">
                  <c:v>0.59587567388772489</c:v>
                </c:pt>
                <c:pt idx="63">
                  <c:v>0.60733311317058225</c:v>
                </c:pt>
                <c:pt idx="64">
                  <c:v>0.61885090910638862</c:v>
                </c:pt>
                <c:pt idx="65">
                  <c:v>0.63042906169514423</c:v>
                </c:pt>
                <c:pt idx="66">
                  <c:v>0.64206757093684919</c:v>
                </c:pt>
                <c:pt idx="67">
                  <c:v>0.65376643683150337</c:v>
                </c:pt>
                <c:pt idx="68">
                  <c:v>0.66552565937910679</c:v>
                </c:pt>
                <c:pt idx="69">
                  <c:v>0.67734523857965934</c:v>
                </c:pt>
                <c:pt idx="70">
                  <c:v>0.68922517443316134</c:v>
                </c:pt>
                <c:pt idx="71">
                  <c:v>0.70116546693961257</c:v>
                </c:pt>
                <c:pt idx="72">
                  <c:v>0.71316611609901281</c:v>
                </c:pt>
                <c:pt idx="73">
                  <c:v>0.72522712191136263</c:v>
                </c:pt>
                <c:pt idx="74">
                  <c:v>0.73734848437666156</c:v>
                </c:pt>
                <c:pt idx="75">
                  <c:v>0.7495302034949094</c:v>
                </c:pt>
                <c:pt idx="76">
                  <c:v>0.76177227926610702</c:v>
                </c:pt>
                <c:pt idx="77">
                  <c:v>0.77407471169025355</c:v>
                </c:pt>
                <c:pt idx="78">
                  <c:v>0.78643750076734964</c:v>
                </c:pt>
                <c:pt idx="79">
                  <c:v>0.79886064649739463</c:v>
                </c:pt>
                <c:pt idx="80">
                  <c:v>0.81134414888038908</c:v>
                </c:pt>
                <c:pt idx="81">
                  <c:v>0.82388800791633265</c:v>
                </c:pt>
                <c:pt idx="82">
                  <c:v>0.83649222360522546</c:v>
                </c:pt>
                <c:pt idx="83">
                  <c:v>0.84915679594706761</c:v>
                </c:pt>
                <c:pt idx="84">
                  <c:v>0.861881724941859</c:v>
                </c:pt>
                <c:pt idx="85">
                  <c:v>0.87466701058959961</c:v>
                </c:pt>
                <c:pt idx="86">
                  <c:v>0.88751265289028936</c:v>
                </c:pt>
                <c:pt idx="87">
                  <c:v>0.90041865184392866</c:v>
                </c:pt>
                <c:pt idx="88">
                  <c:v>0.91338500745051709</c:v>
                </c:pt>
                <c:pt idx="89">
                  <c:v>0.92641171971005432</c:v>
                </c:pt>
                <c:pt idx="90">
                  <c:v>0.93949878862254121</c:v>
                </c:pt>
                <c:pt idx="91">
                  <c:v>0.95264621418797757</c:v>
                </c:pt>
                <c:pt idx="92">
                  <c:v>0.96585399640636271</c:v>
                </c:pt>
                <c:pt idx="93">
                  <c:v>0.97912213527769731</c:v>
                </c:pt>
                <c:pt idx="94">
                  <c:v>0.99245063080198104</c:v>
                </c:pt>
                <c:pt idx="95">
                  <c:v>1.0058394829792143</c:v>
                </c:pt>
                <c:pt idx="96">
                  <c:v>1.0192886918093964</c:v>
                </c:pt>
                <c:pt idx="97">
                  <c:v>1.0327982572925281</c:v>
                </c:pt>
                <c:pt idx="98">
                  <c:v>1.046368179428609</c:v>
                </c:pt>
                <c:pt idx="99">
                  <c:v>1.0599984582176387</c:v>
                </c:pt>
                <c:pt idx="100">
                  <c:v>1.0736890936596184</c:v>
                </c:pt>
                <c:pt idx="101">
                  <c:v>1.0874400857545468</c:v>
                </c:pt>
                <c:pt idx="102">
                  <c:v>1.1012514345024242</c:v>
                </c:pt>
                <c:pt idx="103">
                  <c:v>1.1151231399032515</c:v>
                </c:pt>
                <c:pt idx="104">
                  <c:v>1.1290552019570277</c:v>
                </c:pt>
                <c:pt idx="105">
                  <c:v>1.143047620663753</c:v>
                </c:pt>
                <c:pt idx="106">
                  <c:v>1.1571003960234281</c:v>
                </c:pt>
                <c:pt idx="107">
                  <c:v>1.1712135280360523</c:v>
                </c:pt>
                <c:pt idx="108">
                  <c:v>1.1853870167016252</c:v>
                </c:pt>
                <c:pt idx="109">
                  <c:v>1.1996208620201476</c:v>
                </c:pt>
                <c:pt idx="110">
                  <c:v>1.2139150639916196</c:v>
                </c:pt>
                <c:pt idx="111">
                  <c:v>1.2282696226160403</c:v>
                </c:pt>
                <c:pt idx="112">
                  <c:v>1.2426845378934108</c:v>
                </c:pt>
                <c:pt idx="113">
                  <c:v>1.2571598098237302</c:v>
                </c:pt>
                <c:pt idx="114">
                  <c:v>1.2716954384069987</c:v>
                </c:pt>
                <c:pt idx="115">
                  <c:v>1.286291423643217</c:v>
                </c:pt>
                <c:pt idx="116">
                  <c:v>1.3009477655323838</c:v>
                </c:pt>
                <c:pt idx="117">
                  <c:v>1.3156644640745006</c:v>
                </c:pt>
                <c:pt idx="118">
                  <c:v>1.330441519269566</c:v>
                </c:pt>
                <c:pt idx="119">
                  <c:v>1.3452789311175815</c:v>
                </c:pt>
                <c:pt idx="120">
                  <c:v>1.3601766996185456</c:v>
                </c:pt>
                <c:pt idx="121">
                  <c:v>1.3751348247724589</c:v>
                </c:pt>
                <c:pt idx="122">
                  <c:v>1.3901533065793217</c:v>
                </c:pt>
                <c:pt idx="123">
                  <c:v>1.4052321450391334</c:v>
                </c:pt>
                <c:pt idx="124">
                  <c:v>1.4203713401518945</c:v>
                </c:pt>
                <c:pt idx="125">
                  <c:v>1.4355708919176049</c:v>
                </c:pt>
                <c:pt idx="126">
                  <c:v>1.4508308003362651</c:v>
                </c:pt>
                <c:pt idx="127">
                  <c:v>1.466151065407874</c:v>
                </c:pt>
                <c:pt idx="128">
                  <c:v>1.4815316871324318</c:v>
                </c:pt>
                <c:pt idx="129">
                  <c:v>1.4969726655099387</c:v>
                </c:pt>
                <c:pt idx="130">
                  <c:v>1.5124740005403958</c:v>
                </c:pt>
                <c:pt idx="131">
                  <c:v>1.5280356922238016</c:v>
                </c:pt>
                <c:pt idx="132">
                  <c:v>1.5436577405601573</c:v>
                </c:pt>
                <c:pt idx="133">
                  <c:v>1.5593401455494613</c:v>
                </c:pt>
                <c:pt idx="134">
                  <c:v>1.575082907191715</c:v>
                </c:pt>
                <c:pt idx="135">
                  <c:v>1.5908860254869182</c:v>
                </c:pt>
                <c:pt idx="136">
                  <c:v>1.6067495004350696</c:v>
                </c:pt>
                <c:pt idx="137">
                  <c:v>1.6226733320361713</c:v>
                </c:pt>
                <c:pt idx="138">
                  <c:v>1.6386575202902214</c:v>
                </c:pt>
                <c:pt idx="139">
                  <c:v>1.6547020651972222</c:v>
                </c:pt>
                <c:pt idx="140">
                  <c:v>1.6708069667571708</c:v>
                </c:pt>
                <c:pt idx="141">
                  <c:v>1.6869722249700692</c:v>
                </c:pt>
                <c:pt idx="142">
                  <c:v>1.7031978398359167</c:v>
                </c:pt>
                <c:pt idx="143">
                  <c:v>1.7194838113547135</c:v>
                </c:pt>
                <c:pt idx="144">
                  <c:v>1.7358301395264593</c:v>
                </c:pt>
                <c:pt idx="145">
                  <c:v>1.7522368243511548</c:v>
                </c:pt>
                <c:pt idx="146">
                  <c:v>1.7687038658288001</c:v>
                </c:pt>
                <c:pt idx="147">
                  <c:v>1.7852312639593937</c:v>
                </c:pt>
                <c:pt idx="148">
                  <c:v>1.801819018742937</c:v>
                </c:pt>
                <c:pt idx="149">
                  <c:v>1.8184671301794291</c:v>
                </c:pt>
                <c:pt idx="150">
                  <c:v>1.83517559826887</c:v>
                </c:pt>
              </c:numCache>
            </c:numRef>
          </c:yVal>
          <c:smooth val="1"/>
          <c:extLst>
            <c:ext xmlns:c16="http://schemas.microsoft.com/office/drawing/2014/chart" uri="{C3380CC4-5D6E-409C-BE32-E72D297353CC}">
              <c16:uniqueId val="{00000001-901A-4CE4-83F4-75906C9CC573}"/>
            </c:ext>
          </c:extLst>
        </c:ser>
        <c:ser>
          <c:idx val="2"/>
          <c:order val="2"/>
          <c:tx>
            <c:v>HS MOSFET</c:v>
          </c:tx>
          <c:spPr>
            <a:ln>
              <a:solidFill>
                <a:schemeClr val="bg2">
                  <a:lumMod val="50000"/>
                </a:schemeClr>
              </a:solidFill>
              <a:prstDash val="sysDash"/>
            </a:ln>
          </c:spPr>
          <c:marker>
            <c:symbol val="none"/>
          </c:marker>
          <c:xVal>
            <c:numRef>
              <c:f>Eff_vs_IOUT!$S$7:$S$157</c:f>
              <c:numCache>
                <c:formatCode>General</c:formatCode>
                <c:ptCount val="151"/>
                <c:pt idx="0">
                  <c:v>0</c:v>
                </c:pt>
                <c:pt idx="1">
                  <c:v>2.777777777777778E-2</c:v>
                </c:pt>
                <c:pt idx="2">
                  <c:v>5.5555555555555559E-2</c:v>
                </c:pt>
                <c:pt idx="3">
                  <c:v>8.3333333333333343E-2</c:v>
                </c:pt>
                <c:pt idx="4">
                  <c:v>0.11111111111111112</c:v>
                </c:pt>
                <c:pt idx="5">
                  <c:v>0.1388888888888889</c:v>
                </c:pt>
                <c:pt idx="6">
                  <c:v>0.16666666666666669</c:v>
                </c:pt>
                <c:pt idx="7">
                  <c:v>0.19444444444444445</c:v>
                </c:pt>
                <c:pt idx="8">
                  <c:v>0.22222222222222224</c:v>
                </c:pt>
                <c:pt idx="9">
                  <c:v>0.25</c:v>
                </c:pt>
                <c:pt idx="10">
                  <c:v>0.27777777777777779</c:v>
                </c:pt>
                <c:pt idx="11">
                  <c:v>0.30555555555555558</c:v>
                </c:pt>
                <c:pt idx="12">
                  <c:v>0.33333333333333337</c:v>
                </c:pt>
                <c:pt idx="13">
                  <c:v>0.36111111111111116</c:v>
                </c:pt>
                <c:pt idx="14">
                  <c:v>0.3888888888888889</c:v>
                </c:pt>
                <c:pt idx="15">
                  <c:v>0.41666666666666669</c:v>
                </c:pt>
                <c:pt idx="16">
                  <c:v>0.44444444444444448</c:v>
                </c:pt>
                <c:pt idx="17">
                  <c:v>0.47222222222222227</c:v>
                </c:pt>
                <c:pt idx="18">
                  <c:v>0.5</c:v>
                </c:pt>
                <c:pt idx="19">
                  <c:v>0.52777777777777779</c:v>
                </c:pt>
                <c:pt idx="20">
                  <c:v>0.55555555555555558</c:v>
                </c:pt>
                <c:pt idx="21">
                  <c:v>0.58333333333333337</c:v>
                </c:pt>
                <c:pt idx="22">
                  <c:v>0.61111111111111116</c:v>
                </c:pt>
                <c:pt idx="23">
                  <c:v>0.63888888888888895</c:v>
                </c:pt>
                <c:pt idx="24">
                  <c:v>0.66666666666666674</c:v>
                </c:pt>
                <c:pt idx="25">
                  <c:v>0.69444444444444453</c:v>
                </c:pt>
                <c:pt idx="26">
                  <c:v>0.72222222222222232</c:v>
                </c:pt>
                <c:pt idx="27">
                  <c:v>0.75</c:v>
                </c:pt>
                <c:pt idx="28">
                  <c:v>0.77777777777777779</c:v>
                </c:pt>
                <c:pt idx="29">
                  <c:v>0.80555555555555558</c:v>
                </c:pt>
                <c:pt idx="30">
                  <c:v>0.83333333333333337</c:v>
                </c:pt>
                <c:pt idx="31">
                  <c:v>0.86111111111111116</c:v>
                </c:pt>
                <c:pt idx="32">
                  <c:v>0.88888888888888895</c:v>
                </c:pt>
                <c:pt idx="33">
                  <c:v>0.91666666666666674</c:v>
                </c:pt>
                <c:pt idx="34">
                  <c:v>0.94444444444444453</c:v>
                </c:pt>
                <c:pt idx="35">
                  <c:v>0.97222222222222232</c:v>
                </c:pt>
                <c:pt idx="36">
                  <c:v>1</c:v>
                </c:pt>
                <c:pt idx="37">
                  <c:v>1.0277777777777779</c:v>
                </c:pt>
                <c:pt idx="38">
                  <c:v>1.0555555555555556</c:v>
                </c:pt>
                <c:pt idx="39">
                  <c:v>1.0833333333333335</c:v>
                </c:pt>
                <c:pt idx="40">
                  <c:v>1.1111111111111112</c:v>
                </c:pt>
                <c:pt idx="41">
                  <c:v>1.1388888888888891</c:v>
                </c:pt>
                <c:pt idx="42">
                  <c:v>1.1666666666666667</c:v>
                </c:pt>
                <c:pt idx="43">
                  <c:v>1.1944444444444444</c:v>
                </c:pt>
                <c:pt idx="44">
                  <c:v>1.2222222222222223</c:v>
                </c:pt>
                <c:pt idx="45">
                  <c:v>1.25</c:v>
                </c:pt>
                <c:pt idx="46">
                  <c:v>1.2777777777777779</c:v>
                </c:pt>
                <c:pt idx="47">
                  <c:v>1.3055555555555556</c:v>
                </c:pt>
                <c:pt idx="48">
                  <c:v>1.3333333333333335</c:v>
                </c:pt>
                <c:pt idx="49">
                  <c:v>1.3611111111111112</c:v>
                </c:pt>
                <c:pt idx="50">
                  <c:v>1.3888888888888891</c:v>
                </c:pt>
                <c:pt idx="51">
                  <c:v>1.4166666666666667</c:v>
                </c:pt>
                <c:pt idx="52">
                  <c:v>1.4444444444444446</c:v>
                </c:pt>
                <c:pt idx="53">
                  <c:v>1.4722222222222223</c:v>
                </c:pt>
                <c:pt idx="54">
                  <c:v>1.5</c:v>
                </c:pt>
                <c:pt idx="55">
                  <c:v>1.5277777777777779</c:v>
                </c:pt>
                <c:pt idx="56">
                  <c:v>1.5555555555555556</c:v>
                </c:pt>
                <c:pt idx="57">
                  <c:v>1.5833333333333335</c:v>
                </c:pt>
                <c:pt idx="58">
                  <c:v>1.6111111111111112</c:v>
                </c:pt>
                <c:pt idx="59">
                  <c:v>1.6388888888888891</c:v>
                </c:pt>
                <c:pt idx="60">
                  <c:v>1.6666666666666667</c:v>
                </c:pt>
                <c:pt idx="61">
                  <c:v>1.6944444444444446</c:v>
                </c:pt>
                <c:pt idx="62">
                  <c:v>1.7222222222222223</c:v>
                </c:pt>
                <c:pt idx="63">
                  <c:v>1.7500000000000002</c:v>
                </c:pt>
                <c:pt idx="64">
                  <c:v>1.7777777777777779</c:v>
                </c:pt>
                <c:pt idx="65">
                  <c:v>1.8055555555555556</c:v>
                </c:pt>
                <c:pt idx="66">
                  <c:v>1.8333333333333335</c:v>
                </c:pt>
                <c:pt idx="67">
                  <c:v>1.8611111111111112</c:v>
                </c:pt>
                <c:pt idx="68">
                  <c:v>1.8888888888888891</c:v>
                </c:pt>
                <c:pt idx="69">
                  <c:v>1.9166666666666667</c:v>
                </c:pt>
                <c:pt idx="70">
                  <c:v>1.9444444444444446</c:v>
                </c:pt>
                <c:pt idx="71">
                  <c:v>1.9722222222222223</c:v>
                </c:pt>
                <c:pt idx="72">
                  <c:v>2</c:v>
                </c:pt>
                <c:pt idx="73">
                  <c:v>2.0277777777777781</c:v>
                </c:pt>
                <c:pt idx="74">
                  <c:v>2.0555555555555558</c:v>
                </c:pt>
                <c:pt idx="75">
                  <c:v>2.0833333333333335</c:v>
                </c:pt>
                <c:pt idx="76">
                  <c:v>2.1111111111111112</c:v>
                </c:pt>
                <c:pt idx="77">
                  <c:v>2.1388888888888888</c:v>
                </c:pt>
                <c:pt idx="78">
                  <c:v>2.166666666666667</c:v>
                </c:pt>
                <c:pt idx="79">
                  <c:v>2.1944444444444446</c:v>
                </c:pt>
                <c:pt idx="80">
                  <c:v>2.2222222222222223</c:v>
                </c:pt>
                <c:pt idx="81">
                  <c:v>2.25</c:v>
                </c:pt>
                <c:pt idx="82">
                  <c:v>2.2777777777777781</c:v>
                </c:pt>
                <c:pt idx="83">
                  <c:v>2.3055555555555558</c:v>
                </c:pt>
                <c:pt idx="84">
                  <c:v>2.3333333333333335</c:v>
                </c:pt>
                <c:pt idx="85">
                  <c:v>2.3611111111111112</c:v>
                </c:pt>
                <c:pt idx="86">
                  <c:v>2.3888888888888888</c:v>
                </c:pt>
                <c:pt idx="87">
                  <c:v>2.416666666666667</c:v>
                </c:pt>
                <c:pt idx="88">
                  <c:v>2.4444444444444446</c:v>
                </c:pt>
                <c:pt idx="89">
                  <c:v>2.4722222222222223</c:v>
                </c:pt>
                <c:pt idx="90">
                  <c:v>2.5</c:v>
                </c:pt>
                <c:pt idx="91">
                  <c:v>2.5277777777777781</c:v>
                </c:pt>
                <c:pt idx="92">
                  <c:v>2.5555555555555558</c:v>
                </c:pt>
                <c:pt idx="93">
                  <c:v>2.5833333333333335</c:v>
                </c:pt>
                <c:pt idx="94">
                  <c:v>2.6111111111111112</c:v>
                </c:pt>
                <c:pt idx="95">
                  <c:v>2.6388888888888893</c:v>
                </c:pt>
                <c:pt idx="96">
                  <c:v>2.666666666666667</c:v>
                </c:pt>
                <c:pt idx="97">
                  <c:v>2.6944444444444446</c:v>
                </c:pt>
                <c:pt idx="98">
                  <c:v>2.7222222222222223</c:v>
                </c:pt>
                <c:pt idx="99">
                  <c:v>2.75</c:v>
                </c:pt>
                <c:pt idx="100">
                  <c:v>2.7777777777777781</c:v>
                </c:pt>
                <c:pt idx="101">
                  <c:v>2.8055555555555558</c:v>
                </c:pt>
                <c:pt idx="102">
                  <c:v>2.8333333333333335</c:v>
                </c:pt>
                <c:pt idx="103">
                  <c:v>2.8611111111111112</c:v>
                </c:pt>
                <c:pt idx="104">
                  <c:v>2.8888888888888893</c:v>
                </c:pt>
                <c:pt idx="105">
                  <c:v>2.916666666666667</c:v>
                </c:pt>
                <c:pt idx="106">
                  <c:v>2.9444444444444446</c:v>
                </c:pt>
                <c:pt idx="107">
                  <c:v>2.9722222222222223</c:v>
                </c:pt>
                <c:pt idx="108">
                  <c:v>3</c:v>
                </c:pt>
                <c:pt idx="109">
                  <c:v>3.0277777777777781</c:v>
                </c:pt>
                <c:pt idx="110">
                  <c:v>3.0555555555555558</c:v>
                </c:pt>
                <c:pt idx="111">
                  <c:v>3.0833333333333335</c:v>
                </c:pt>
                <c:pt idx="112">
                  <c:v>3.1111111111111112</c:v>
                </c:pt>
                <c:pt idx="113">
                  <c:v>3.1388888888888893</c:v>
                </c:pt>
                <c:pt idx="114">
                  <c:v>3.166666666666667</c:v>
                </c:pt>
                <c:pt idx="115">
                  <c:v>3.1944444444444446</c:v>
                </c:pt>
                <c:pt idx="116">
                  <c:v>3.2222222222222223</c:v>
                </c:pt>
                <c:pt idx="117">
                  <c:v>3.2500000000000004</c:v>
                </c:pt>
                <c:pt idx="118">
                  <c:v>3.2777777777777781</c:v>
                </c:pt>
                <c:pt idx="119">
                  <c:v>3.3055555555555558</c:v>
                </c:pt>
                <c:pt idx="120">
                  <c:v>3.3333333333333335</c:v>
                </c:pt>
                <c:pt idx="121">
                  <c:v>3.3611111111111112</c:v>
                </c:pt>
                <c:pt idx="122">
                  <c:v>3.3888888888888893</c:v>
                </c:pt>
                <c:pt idx="123">
                  <c:v>3.416666666666667</c:v>
                </c:pt>
                <c:pt idx="124">
                  <c:v>3.4444444444444446</c:v>
                </c:pt>
                <c:pt idx="125">
                  <c:v>3.4722222222222223</c:v>
                </c:pt>
                <c:pt idx="126">
                  <c:v>3.5000000000000004</c:v>
                </c:pt>
                <c:pt idx="127">
                  <c:v>3.5277777777777781</c:v>
                </c:pt>
                <c:pt idx="128">
                  <c:v>3.5555555555555558</c:v>
                </c:pt>
                <c:pt idx="129">
                  <c:v>3.5833333333333335</c:v>
                </c:pt>
                <c:pt idx="130">
                  <c:v>3.6111111111111112</c:v>
                </c:pt>
                <c:pt idx="131">
                  <c:v>3.6388888888888893</c:v>
                </c:pt>
                <c:pt idx="132">
                  <c:v>3.666666666666667</c:v>
                </c:pt>
                <c:pt idx="133">
                  <c:v>3.6944444444444446</c:v>
                </c:pt>
                <c:pt idx="134">
                  <c:v>3.7222222222222223</c:v>
                </c:pt>
                <c:pt idx="135">
                  <c:v>3.7500000000000004</c:v>
                </c:pt>
                <c:pt idx="136">
                  <c:v>3.7777777777777781</c:v>
                </c:pt>
                <c:pt idx="137">
                  <c:v>3.8055555555555558</c:v>
                </c:pt>
                <c:pt idx="138">
                  <c:v>3.8333333333333335</c:v>
                </c:pt>
                <c:pt idx="139">
                  <c:v>3.8611111111111112</c:v>
                </c:pt>
                <c:pt idx="140">
                  <c:v>3.8888888888888893</c:v>
                </c:pt>
                <c:pt idx="141">
                  <c:v>3.916666666666667</c:v>
                </c:pt>
                <c:pt idx="142">
                  <c:v>3.9444444444444446</c:v>
                </c:pt>
                <c:pt idx="143">
                  <c:v>3.9722222222222223</c:v>
                </c:pt>
                <c:pt idx="144">
                  <c:v>4</c:v>
                </c:pt>
                <c:pt idx="145">
                  <c:v>4.0277777777777777</c:v>
                </c:pt>
                <c:pt idx="146">
                  <c:v>4.0555555555555562</c:v>
                </c:pt>
                <c:pt idx="147">
                  <c:v>4.0833333333333339</c:v>
                </c:pt>
                <c:pt idx="148">
                  <c:v>4.1111111111111116</c:v>
                </c:pt>
                <c:pt idx="149">
                  <c:v>4.1388888888888893</c:v>
                </c:pt>
                <c:pt idx="150">
                  <c:v>4.166666666666667</c:v>
                </c:pt>
              </c:numCache>
            </c:numRef>
          </c:xVal>
          <c:yVal>
            <c:numRef>
              <c:f>Eff_vs_IOUT!$AO$7:$AO$157</c:f>
              <c:numCache>
                <c:formatCode>General</c:formatCode>
                <c:ptCount val="151"/>
                <c:pt idx="0">
                  <c:v>0</c:v>
                </c:pt>
                <c:pt idx="1">
                  <c:v>0.36466841132179767</c:v>
                </c:pt>
                <c:pt idx="2">
                  <c:v>0.36670866397969143</c:v>
                </c:pt>
                <c:pt idx="3">
                  <c:v>0.36837400386826918</c:v>
                </c:pt>
                <c:pt idx="4">
                  <c:v>0.36986151196329631</c:v>
                </c:pt>
                <c:pt idx="5">
                  <c:v>0.37124549154446895</c:v>
                </c:pt>
                <c:pt idx="6">
                  <c:v>0.37256305140091461</c:v>
                </c:pt>
                <c:pt idx="7">
                  <c:v>0.37383565283073544</c:v>
                </c:pt>
                <c:pt idx="8">
                  <c:v>0.37507690246726538</c:v>
                </c:pt>
                <c:pt idx="9">
                  <c:v>0.37629599124419699</c:v>
                </c:pt>
                <c:pt idx="10">
                  <c:v>0.3774994221304151</c:v>
                </c:pt>
                <c:pt idx="11">
                  <c:v>0.37869196204962446</c:v>
                </c:pt>
                <c:pt idx="12">
                  <c:v>0.37987720404885095</c:v>
                </c:pt>
                <c:pt idx="13">
                  <c:v>0.38105791780988324</c:v>
                </c:pt>
                <c:pt idx="14">
                  <c:v>0.38223627794980014</c:v>
                </c:pt>
                <c:pt idx="15">
                  <c:v>0.38341401816419785</c:v>
                </c:pt>
                <c:pt idx="16">
                  <c:v>0.38459253848420077</c:v>
                </c:pt>
                <c:pt idx="17">
                  <c:v>0.38577298184572861</c:v>
                </c:pt>
                <c:pt idx="18">
                  <c:v>0.38695628997060477</c:v>
                </c:pt>
                <c:pt idx="19">
                  <c:v>0.388149830683931</c:v>
                </c:pt>
                <c:pt idx="20">
                  <c:v>0.38937748500491864</c:v>
                </c:pt>
                <c:pt idx="21">
                  <c:v>0.39064135331767585</c:v>
                </c:pt>
                <c:pt idx="22">
                  <c:v>0.39194143562220257</c:v>
                </c:pt>
                <c:pt idx="23">
                  <c:v>0.39327773191849891</c:v>
                </c:pt>
                <c:pt idx="24">
                  <c:v>0.39465024220656475</c:v>
                </c:pt>
                <c:pt idx="25">
                  <c:v>0.39605896648640015</c:v>
                </c:pt>
                <c:pt idx="26">
                  <c:v>0.39750390475800507</c:v>
                </c:pt>
                <c:pt idx="27">
                  <c:v>0.3989850570213796</c:v>
                </c:pt>
                <c:pt idx="28">
                  <c:v>0.40050242327652358</c:v>
                </c:pt>
                <c:pt idx="29">
                  <c:v>0.40205600352343718</c:v>
                </c:pt>
                <c:pt idx="30">
                  <c:v>0.40364579776212028</c:v>
                </c:pt>
                <c:pt idx="31">
                  <c:v>0.40527180599257295</c:v>
                </c:pt>
                <c:pt idx="32">
                  <c:v>0.40693402821479524</c:v>
                </c:pt>
                <c:pt idx="33">
                  <c:v>0.40863246442878698</c:v>
                </c:pt>
                <c:pt idx="34">
                  <c:v>0.41036711463454828</c:v>
                </c:pt>
                <c:pt idx="35">
                  <c:v>0.41213797883207914</c:v>
                </c:pt>
                <c:pt idx="36">
                  <c:v>0.41394505702137957</c:v>
                </c:pt>
                <c:pt idx="37">
                  <c:v>0.4157883492024495</c:v>
                </c:pt>
                <c:pt idx="38">
                  <c:v>0.41766785537528905</c:v>
                </c:pt>
                <c:pt idx="39">
                  <c:v>0.41958357553989806</c:v>
                </c:pt>
                <c:pt idx="40">
                  <c:v>0.42153550969627673</c:v>
                </c:pt>
                <c:pt idx="41">
                  <c:v>0.42352365784442481</c:v>
                </c:pt>
                <c:pt idx="42">
                  <c:v>0.42554801998434255</c:v>
                </c:pt>
                <c:pt idx="43">
                  <c:v>0.42760859611602975</c:v>
                </c:pt>
                <c:pt idx="44">
                  <c:v>0.42970538623948656</c:v>
                </c:pt>
                <c:pt idx="45">
                  <c:v>0.43183839035471289</c:v>
                </c:pt>
                <c:pt idx="46">
                  <c:v>0.43400760846170877</c:v>
                </c:pt>
                <c:pt idx="47">
                  <c:v>0.43621304056047422</c:v>
                </c:pt>
                <c:pt idx="48">
                  <c:v>0.43845468665100917</c:v>
                </c:pt>
                <c:pt idx="49">
                  <c:v>0.44073254673331375</c:v>
                </c:pt>
                <c:pt idx="50">
                  <c:v>0.44304662080738783</c:v>
                </c:pt>
                <c:pt idx="51">
                  <c:v>0.44539690887323136</c:v>
                </c:pt>
                <c:pt idx="52">
                  <c:v>0.44778341093084456</c:v>
                </c:pt>
                <c:pt idx="53">
                  <c:v>0.45020612698022733</c:v>
                </c:pt>
                <c:pt idx="54">
                  <c:v>0.4526650570213796</c:v>
                </c:pt>
                <c:pt idx="55">
                  <c:v>0.45516020105430133</c:v>
                </c:pt>
                <c:pt idx="56">
                  <c:v>0.45769155907899278</c:v>
                </c:pt>
                <c:pt idx="57">
                  <c:v>0.46025913109545363</c:v>
                </c:pt>
                <c:pt idx="58">
                  <c:v>0.4628629171036841</c:v>
                </c:pt>
                <c:pt idx="59">
                  <c:v>0.46550291710368408</c:v>
                </c:pt>
                <c:pt idx="60">
                  <c:v>0.46817913109545367</c:v>
                </c:pt>
                <c:pt idx="61">
                  <c:v>0.47089155907899277</c:v>
                </c:pt>
                <c:pt idx="62">
                  <c:v>0.47364020105430138</c:v>
                </c:pt>
                <c:pt idx="63">
                  <c:v>0.47642505702137961</c:v>
                </c:pt>
                <c:pt idx="64">
                  <c:v>0.47924612698022734</c:v>
                </c:pt>
                <c:pt idx="65">
                  <c:v>0.48210341093084458</c:v>
                </c:pt>
                <c:pt idx="66">
                  <c:v>0.48499690887323144</c:v>
                </c:pt>
                <c:pt idx="67">
                  <c:v>0.4879266208073878</c:v>
                </c:pt>
                <c:pt idx="68">
                  <c:v>0.49089254673331373</c:v>
                </c:pt>
                <c:pt idx="69">
                  <c:v>0.49389468665100922</c:v>
                </c:pt>
                <c:pt idx="70">
                  <c:v>0.49693304056047422</c:v>
                </c:pt>
                <c:pt idx="71">
                  <c:v>0.50000760846170877</c:v>
                </c:pt>
                <c:pt idx="72">
                  <c:v>0.50311839035471284</c:v>
                </c:pt>
                <c:pt idx="73">
                  <c:v>0.50626538623948658</c:v>
                </c:pt>
                <c:pt idx="74">
                  <c:v>0.50944859611602988</c:v>
                </c:pt>
                <c:pt idx="75">
                  <c:v>0.51266801998434253</c:v>
                </c:pt>
                <c:pt idx="76">
                  <c:v>0.51592365784442484</c:v>
                </c:pt>
                <c:pt idx="77">
                  <c:v>0.51921550969627672</c:v>
                </c:pt>
                <c:pt idx="78">
                  <c:v>0.52254357553989816</c:v>
                </c:pt>
                <c:pt idx="79">
                  <c:v>0.52590785537528906</c:v>
                </c:pt>
                <c:pt idx="80">
                  <c:v>0.52930834920244951</c:v>
                </c:pt>
                <c:pt idx="81">
                  <c:v>0.53274505702137953</c:v>
                </c:pt>
                <c:pt idx="82">
                  <c:v>0.53621797883207911</c:v>
                </c:pt>
                <c:pt idx="83">
                  <c:v>0.53972711463454837</c:v>
                </c:pt>
                <c:pt idx="84">
                  <c:v>0.54327246442878696</c:v>
                </c:pt>
                <c:pt idx="85">
                  <c:v>0.54685402821479523</c:v>
                </c:pt>
                <c:pt idx="86">
                  <c:v>0.55047180599257295</c:v>
                </c:pt>
                <c:pt idx="87">
                  <c:v>0.55412579776212045</c:v>
                </c:pt>
                <c:pt idx="88">
                  <c:v>0.5578160035234373</c:v>
                </c:pt>
                <c:pt idx="89">
                  <c:v>0.56154242327652359</c:v>
                </c:pt>
                <c:pt idx="90">
                  <c:v>0.56530505702137956</c:v>
                </c:pt>
                <c:pt idx="91">
                  <c:v>0.5691039047580051</c:v>
                </c:pt>
                <c:pt idx="92">
                  <c:v>0.5729389664864003</c:v>
                </c:pt>
                <c:pt idx="93">
                  <c:v>0.57681024220656485</c:v>
                </c:pt>
                <c:pt idx="94">
                  <c:v>0.58071773191849896</c:v>
                </c:pt>
                <c:pt idx="95">
                  <c:v>0.58466143562220274</c:v>
                </c:pt>
                <c:pt idx="96">
                  <c:v>0.58864135331767597</c:v>
                </c:pt>
                <c:pt idx="97">
                  <c:v>0.59265748500491877</c:v>
                </c:pt>
                <c:pt idx="98">
                  <c:v>0.59670983068393113</c:v>
                </c:pt>
                <c:pt idx="99">
                  <c:v>0.60079839035471294</c:v>
                </c:pt>
                <c:pt idx="100">
                  <c:v>0.60492316401726454</c:v>
                </c:pt>
                <c:pt idx="101">
                  <c:v>0.60908415167158536</c:v>
                </c:pt>
                <c:pt idx="102">
                  <c:v>0.61328135331767586</c:v>
                </c:pt>
                <c:pt idx="103">
                  <c:v>0.61751476895553603</c:v>
                </c:pt>
                <c:pt idx="104">
                  <c:v>0.62178439858516565</c:v>
                </c:pt>
                <c:pt idx="105">
                  <c:v>0.62609024220656473</c:v>
                </c:pt>
                <c:pt idx="106">
                  <c:v>0.63043229981973359</c:v>
                </c:pt>
                <c:pt idx="107">
                  <c:v>0.6348105714246719</c:v>
                </c:pt>
                <c:pt idx="108">
                  <c:v>0.63922505702137955</c:v>
                </c:pt>
                <c:pt idx="109">
                  <c:v>0.64367575660985699</c:v>
                </c:pt>
                <c:pt idx="110">
                  <c:v>0.64816267019010387</c:v>
                </c:pt>
                <c:pt idx="111">
                  <c:v>0.65268579776212032</c:v>
                </c:pt>
                <c:pt idx="112">
                  <c:v>0.65724513932590645</c:v>
                </c:pt>
                <c:pt idx="113">
                  <c:v>0.66184069488146191</c:v>
                </c:pt>
                <c:pt idx="114">
                  <c:v>0.66647246442878694</c:v>
                </c:pt>
                <c:pt idx="115">
                  <c:v>0.67114044796788175</c:v>
                </c:pt>
                <c:pt idx="116">
                  <c:v>0.6758446454987459</c:v>
                </c:pt>
                <c:pt idx="117">
                  <c:v>0.68058505702137961</c:v>
                </c:pt>
                <c:pt idx="118">
                  <c:v>0.685361682535783</c:v>
                </c:pt>
                <c:pt idx="119">
                  <c:v>0.69017452204195595</c:v>
                </c:pt>
                <c:pt idx="120">
                  <c:v>0.69502357553989824</c:v>
                </c:pt>
                <c:pt idx="121">
                  <c:v>0.69990884302960998</c:v>
                </c:pt>
                <c:pt idx="122">
                  <c:v>0.70483032451109162</c:v>
                </c:pt>
                <c:pt idx="123">
                  <c:v>0.7097880199843426</c:v>
                </c:pt>
                <c:pt idx="124">
                  <c:v>0.71478192944936303</c:v>
                </c:pt>
                <c:pt idx="125">
                  <c:v>0.71981205290615324</c:v>
                </c:pt>
                <c:pt idx="126">
                  <c:v>0.72487839035471324</c:v>
                </c:pt>
                <c:pt idx="127">
                  <c:v>0.72998094179504236</c:v>
                </c:pt>
                <c:pt idx="128">
                  <c:v>0.73511970722714082</c:v>
                </c:pt>
                <c:pt idx="129">
                  <c:v>0.74029468665100917</c:v>
                </c:pt>
                <c:pt idx="130">
                  <c:v>0.74550588006664709</c:v>
                </c:pt>
                <c:pt idx="131">
                  <c:v>0.75075328747405434</c:v>
                </c:pt>
                <c:pt idx="132">
                  <c:v>0.75603690887323161</c:v>
                </c:pt>
                <c:pt idx="133">
                  <c:v>0.7613567442641781</c:v>
                </c:pt>
                <c:pt idx="134">
                  <c:v>0.76671279364689404</c:v>
                </c:pt>
                <c:pt idx="135">
                  <c:v>0.77210505702137966</c:v>
                </c:pt>
                <c:pt idx="136">
                  <c:v>0.77753353438763473</c:v>
                </c:pt>
                <c:pt idx="137">
                  <c:v>0.78299822574565958</c:v>
                </c:pt>
                <c:pt idx="138">
                  <c:v>0.78849913109545366</c:v>
                </c:pt>
                <c:pt idx="139">
                  <c:v>0.79403625043701775</c:v>
                </c:pt>
                <c:pt idx="140">
                  <c:v>0.79960958377035074</c:v>
                </c:pt>
                <c:pt idx="141">
                  <c:v>0.80521913109545373</c:v>
                </c:pt>
                <c:pt idx="142">
                  <c:v>0.81086489241232618</c:v>
                </c:pt>
                <c:pt idx="143">
                  <c:v>0.81654686772096807</c:v>
                </c:pt>
                <c:pt idx="144">
                  <c:v>0.82226505702137942</c:v>
                </c:pt>
                <c:pt idx="145">
                  <c:v>0.82801946031356066</c:v>
                </c:pt>
                <c:pt idx="146">
                  <c:v>0.83381007759751158</c:v>
                </c:pt>
                <c:pt idx="147">
                  <c:v>0.83963690887323161</c:v>
                </c:pt>
                <c:pt idx="148">
                  <c:v>0.84549995414072154</c:v>
                </c:pt>
                <c:pt idx="149">
                  <c:v>0.85139921339998048</c:v>
                </c:pt>
                <c:pt idx="150">
                  <c:v>0.85733468665100943</c:v>
                </c:pt>
              </c:numCache>
            </c:numRef>
          </c:yVal>
          <c:smooth val="1"/>
          <c:extLst>
            <c:ext xmlns:c16="http://schemas.microsoft.com/office/drawing/2014/chart" uri="{C3380CC4-5D6E-409C-BE32-E72D297353CC}">
              <c16:uniqueId val="{00000002-901A-4CE4-83F4-75906C9CC573}"/>
            </c:ext>
          </c:extLst>
        </c:ser>
        <c:ser>
          <c:idx val="3"/>
          <c:order val="3"/>
          <c:tx>
            <c:v>RCS</c:v>
          </c:tx>
          <c:spPr>
            <a:ln>
              <a:solidFill>
                <a:schemeClr val="accent5">
                  <a:lumMod val="75000"/>
                </a:schemeClr>
              </a:solidFill>
              <a:prstDash val="lgDashDotDot"/>
            </a:ln>
          </c:spPr>
          <c:marker>
            <c:symbol val="none"/>
          </c:marker>
          <c:xVal>
            <c:numRef>
              <c:f>Eff_vs_IOUT!$S$7:$S$157</c:f>
              <c:numCache>
                <c:formatCode>General</c:formatCode>
                <c:ptCount val="151"/>
                <c:pt idx="0">
                  <c:v>0</c:v>
                </c:pt>
                <c:pt idx="1">
                  <c:v>2.777777777777778E-2</c:v>
                </c:pt>
                <c:pt idx="2">
                  <c:v>5.5555555555555559E-2</c:v>
                </c:pt>
                <c:pt idx="3">
                  <c:v>8.3333333333333343E-2</c:v>
                </c:pt>
                <c:pt idx="4">
                  <c:v>0.11111111111111112</c:v>
                </c:pt>
                <c:pt idx="5">
                  <c:v>0.1388888888888889</c:v>
                </c:pt>
                <c:pt idx="6">
                  <c:v>0.16666666666666669</c:v>
                </c:pt>
                <c:pt idx="7">
                  <c:v>0.19444444444444445</c:v>
                </c:pt>
                <c:pt idx="8">
                  <c:v>0.22222222222222224</c:v>
                </c:pt>
                <c:pt idx="9">
                  <c:v>0.25</c:v>
                </c:pt>
                <c:pt idx="10">
                  <c:v>0.27777777777777779</c:v>
                </c:pt>
                <c:pt idx="11">
                  <c:v>0.30555555555555558</c:v>
                </c:pt>
                <c:pt idx="12">
                  <c:v>0.33333333333333337</c:v>
                </c:pt>
                <c:pt idx="13">
                  <c:v>0.36111111111111116</c:v>
                </c:pt>
                <c:pt idx="14">
                  <c:v>0.3888888888888889</c:v>
                </c:pt>
                <c:pt idx="15">
                  <c:v>0.41666666666666669</c:v>
                </c:pt>
                <c:pt idx="16">
                  <c:v>0.44444444444444448</c:v>
                </c:pt>
                <c:pt idx="17">
                  <c:v>0.47222222222222227</c:v>
                </c:pt>
                <c:pt idx="18">
                  <c:v>0.5</c:v>
                </c:pt>
                <c:pt idx="19">
                  <c:v>0.52777777777777779</c:v>
                </c:pt>
                <c:pt idx="20">
                  <c:v>0.55555555555555558</c:v>
                </c:pt>
                <c:pt idx="21">
                  <c:v>0.58333333333333337</c:v>
                </c:pt>
                <c:pt idx="22">
                  <c:v>0.61111111111111116</c:v>
                </c:pt>
                <c:pt idx="23">
                  <c:v>0.63888888888888895</c:v>
                </c:pt>
                <c:pt idx="24">
                  <c:v>0.66666666666666674</c:v>
                </c:pt>
                <c:pt idx="25">
                  <c:v>0.69444444444444453</c:v>
                </c:pt>
                <c:pt idx="26">
                  <c:v>0.72222222222222232</c:v>
                </c:pt>
                <c:pt idx="27">
                  <c:v>0.75</c:v>
                </c:pt>
                <c:pt idx="28">
                  <c:v>0.77777777777777779</c:v>
                </c:pt>
                <c:pt idx="29">
                  <c:v>0.80555555555555558</c:v>
                </c:pt>
                <c:pt idx="30">
                  <c:v>0.83333333333333337</c:v>
                </c:pt>
                <c:pt idx="31">
                  <c:v>0.86111111111111116</c:v>
                </c:pt>
                <c:pt idx="32">
                  <c:v>0.88888888888888895</c:v>
                </c:pt>
                <c:pt idx="33">
                  <c:v>0.91666666666666674</c:v>
                </c:pt>
                <c:pt idx="34">
                  <c:v>0.94444444444444453</c:v>
                </c:pt>
                <c:pt idx="35">
                  <c:v>0.97222222222222232</c:v>
                </c:pt>
                <c:pt idx="36">
                  <c:v>1</c:v>
                </c:pt>
                <c:pt idx="37">
                  <c:v>1.0277777777777779</c:v>
                </c:pt>
                <c:pt idx="38">
                  <c:v>1.0555555555555556</c:v>
                </c:pt>
                <c:pt idx="39">
                  <c:v>1.0833333333333335</c:v>
                </c:pt>
                <c:pt idx="40">
                  <c:v>1.1111111111111112</c:v>
                </c:pt>
                <c:pt idx="41">
                  <c:v>1.1388888888888891</c:v>
                </c:pt>
                <c:pt idx="42">
                  <c:v>1.1666666666666667</c:v>
                </c:pt>
                <c:pt idx="43">
                  <c:v>1.1944444444444444</c:v>
                </c:pt>
                <c:pt idx="44">
                  <c:v>1.2222222222222223</c:v>
                </c:pt>
                <c:pt idx="45">
                  <c:v>1.25</c:v>
                </c:pt>
                <c:pt idx="46">
                  <c:v>1.2777777777777779</c:v>
                </c:pt>
                <c:pt idx="47">
                  <c:v>1.3055555555555556</c:v>
                </c:pt>
                <c:pt idx="48">
                  <c:v>1.3333333333333335</c:v>
                </c:pt>
                <c:pt idx="49">
                  <c:v>1.3611111111111112</c:v>
                </c:pt>
                <c:pt idx="50">
                  <c:v>1.3888888888888891</c:v>
                </c:pt>
                <c:pt idx="51">
                  <c:v>1.4166666666666667</c:v>
                </c:pt>
                <c:pt idx="52">
                  <c:v>1.4444444444444446</c:v>
                </c:pt>
                <c:pt idx="53">
                  <c:v>1.4722222222222223</c:v>
                </c:pt>
                <c:pt idx="54">
                  <c:v>1.5</c:v>
                </c:pt>
                <c:pt idx="55">
                  <c:v>1.5277777777777779</c:v>
                </c:pt>
                <c:pt idx="56">
                  <c:v>1.5555555555555556</c:v>
                </c:pt>
                <c:pt idx="57">
                  <c:v>1.5833333333333335</c:v>
                </c:pt>
                <c:pt idx="58">
                  <c:v>1.6111111111111112</c:v>
                </c:pt>
                <c:pt idx="59">
                  <c:v>1.6388888888888891</c:v>
                </c:pt>
                <c:pt idx="60">
                  <c:v>1.6666666666666667</c:v>
                </c:pt>
                <c:pt idx="61">
                  <c:v>1.6944444444444446</c:v>
                </c:pt>
                <c:pt idx="62">
                  <c:v>1.7222222222222223</c:v>
                </c:pt>
                <c:pt idx="63">
                  <c:v>1.7500000000000002</c:v>
                </c:pt>
                <c:pt idx="64">
                  <c:v>1.7777777777777779</c:v>
                </c:pt>
                <c:pt idx="65">
                  <c:v>1.8055555555555556</c:v>
                </c:pt>
                <c:pt idx="66">
                  <c:v>1.8333333333333335</c:v>
                </c:pt>
                <c:pt idx="67">
                  <c:v>1.8611111111111112</c:v>
                </c:pt>
                <c:pt idx="68">
                  <c:v>1.8888888888888891</c:v>
                </c:pt>
                <c:pt idx="69">
                  <c:v>1.9166666666666667</c:v>
                </c:pt>
                <c:pt idx="70">
                  <c:v>1.9444444444444446</c:v>
                </c:pt>
                <c:pt idx="71">
                  <c:v>1.9722222222222223</c:v>
                </c:pt>
                <c:pt idx="72">
                  <c:v>2</c:v>
                </c:pt>
                <c:pt idx="73">
                  <c:v>2.0277777777777781</c:v>
                </c:pt>
                <c:pt idx="74">
                  <c:v>2.0555555555555558</c:v>
                </c:pt>
                <c:pt idx="75">
                  <c:v>2.0833333333333335</c:v>
                </c:pt>
                <c:pt idx="76">
                  <c:v>2.1111111111111112</c:v>
                </c:pt>
                <c:pt idx="77">
                  <c:v>2.1388888888888888</c:v>
                </c:pt>
                <c:pt idx="78">
                  <c:v>2.166666666666667</c:v>
                </c:pt>
                <c:pt idx="79">
                  <c:v>2.1944444444444446</c:v>
                </c:pt>
                <c:pt idx="80">
                  <c:v>2.2222222222222223</c:v>
                </c:pt>
                <c:pt idx="81">
                  <c:v>2.25</c:v>
                </c:pt>
                <c:pt idx="82">
                  <c:v>2.2777777777777781</c:v>
                </c:pt>
                <c:pt idx="83">
                  <c:v>2.3055555555555558</c:v>
                </c:pt>
                <c:pt idx="84">
                  <c:v>2.3333333333333335</c:v>
                </c:pt>
                <c:pt idx="85">
                  <c:v>2.3611111111111112</c:v>
                </c:pt>
                <c:pt idx="86">
                  <c:v>2.3888888888888888</c:v>
                </c:pt>
                <c:pt idx="87">
                  <c:v>2.416666666666667</c:v>
                </c:pt>
                <c:pt idx="88">
                  <c:v>2.4444444444444446</c:v>
                </c:pt>
                <c:pt idx="89">
                  <c:v>2.4722222222222223</c:v>
                </c:pt>
                <c:pt idx="90">
                  <c:v>2.5</c:v>
                </c:pt>
                <c:pt idx="91">
                  <c:v>2.5277777777777781</c:v>
                </c:pt>
                <c:pt idx="92">
                  <c:v>2.5555555555555558</c:v>
                </c:pt>
                <c:pt idx="93">
                  <c:v>2.5833333333333335</c:v>
                </c:pt>
                <c:pt idx="94">
                  <c:v>2.6111111111111112</c:v>
                </c:pt>
                <c:pt idx="95">
                  <c:v>2.6388888888888893</c:v>
                </c:pt>
                <c:pt idx="96">
                  <c:v>2.666666666666667</c:v>
                </c:pt>
                <c:pt idx="97">
                  <c:v>2.6944444444444446</c:v>
                </c:pt>
                <c:pt idx="98">
                  <c:v>2.7222222222222223</c:v>
                </c:pt>
                <c:pt idx="99">
                  <c:v>2.75</c:v>
                </c:pt>
                <c:pt idx="100">
                  <c:v>2.7777777777777781</c:v>
                </c:pt>
                <c:pt idx="101">
                  <c:v>2.8055555555555558</c:v>
                </c:pt>
                <c:pt idx="102">
                  <c:v>2.8333333333333335</c:v>
                </c:pt>
                <c:pt idx="103">
                  <c:v>2.8611111111111112</c:v>
                </c:pt>
                <c:pt idx="104">
                  <c:v>2.8888888888888893</c:v>
                </c:pt>
                <c:pt idx="105">
                  <c:v>2.916666666666667</c:v>
                </c:pt>
                <c:pt idx="106">
                  <c:v>2.9444444444444446</c:v>
                </c:pt>
                <c:pt idx="107">
                  <c:v>2.9722222222222223</c:v>
                </c:pt>
                <c:pt idx="108">
                  <c:v>3</c:v>
                </c:pt>
                <c:pt idx="109">
                  <c:v>3.0277777777777781</c:v>
                </c:pt>
                <c:pt idx="110">
                  <c:v>3.0555555555555558</c:v>
                </c:pt>
                <c:pt idx="111">
                  <c:v>3.0833333333333335</c:v>
                </c:pt>
                <c:pt idx="112">
                  <c:v>3.1111111111111112</c:v>
                </c:pt>
                <c:pt idx="113">
                  <c:v>3.1388888888888893</c:v>
                </c:pt>
                <c:pt idx="114">
                  <c:v>3.166666666666667</c:v>
                </c:pt>
                <c:pt idx="115">
                  <c:v>3.1944444444444446</c:v>
                </c:pt>
                <c:pt idx="116">
                  <c:v>3.2222222222222223</c:v>
                </c:pt>
                <c:pt idx="117">
                  <c:v>3.2500000000000004</c:v>
                </c:pt>
                <c:pt idx="118">
                  <c:v>3.2777777777777781</c:v>
                </c:pt>
                <c:pt idx="119">
                  <c:v>3.3055555555555558</c:v>
                </c:pt>
                <c:pt idx="120">
                  <c:v>3.3333333333333335</c:v>
                </c:pt>
                <c:pt idx="121">
                  <c:v>3.3611111111111112</c:v>
                </c:pt>
                <c:pt idx="122">
                  <c:v>3.3888888888888893</c:v>
                </c:pt>
                <c:pt idx="123">
                  <c:v>3.416666666666667</c:v>
                </c:pt>
                <c:pt idx="124">
                  <c:v>3.4444444444444446</c:v>
                </c:pt>
                <c:pt idx="125">
                  <c:v>3.4722222222222223</c:v>
                </c:pt>
                <c:pt idx="126">
                  <c:v>3.5000000000000004</c:v>
                </c:pt>
                <c:pt idx="127">
                  <c:v>3.5277777777777781</c:v>
                </c:pt>
                <c:pt idx="128">
                  <c:v>3.5555555555555558</c:v>
                </c:pt>
                <c:pt idx="129">
                  <c:v>3.5833333333333335</c:v>
                </c:pt>
                <c:pt idx="130">
                  <c:v>3.6111111111111112</c:v>
                </c:pt>
                <c:pt idx="131">
                  <c:v>3.6388888888888893</c:v>
                </c:pt>
                <c:pt idx="132">
                  <c:v>3.666666666666667</c:v>
                </c:pt>
                <c:pt idx="133">
                  <c:v>3.6944444444444446</c:v>
                </c:pt>
                <c:pt idx="134">
                  <c:v>3.7222222222222223</c:v>
                </c:pt>
                <c:pt idx="135">
                  <c:v>3.7500000000000004</c:v>
                </c:pt>
                <c:pt idx="136">
                  <c:v>3.7777777777777781</c:v>
                </c:pt>
                <c:pt idx="137">
                  <c:v>3.8055555555555558</c:v>
                </c:pt>
                <c:pt idx="138">
                  <c:v>3.8333333333333335</c:v>
                </c:pt>
                <c:pt idx="139">
                  <c:v>3.8611111111111112</c:v>
                </c:pt>
                <c:pt idx="140">
                  <c:v>3.8888888888888893</c:v>
                </c:pt>
                <c:pt idx="141">
                  <c:v>3.916666666666667</c:v>
                </c:pt>
                <c:pt idx="142">
                  <c:v>3.9444444444444446</c:v>
                </c:pt>
                <c:pt idx="143">
                  <c:v>3.9722222222222223</c:v>
                </c:pt>
                <c:pt idx="144">
                  <c:v>4</c:v>
                </c:pt>
                <c:pt idx="145">
                  <c:v>4.0277777777777777</c:v>
                </c:pt>
                <c:pt idx="146">
                  <c:v>4.0555555555555562</c:v>
                </c:pt>
                <c:pt idx="147">
                  <c:v>4.0833333333333339</c:v>
                </c:pt>
                <c:pt idx="148">
                  <c:v>4.1111111111111116</c:v>
                </c:pt>
                <c:pt idx="149">
                  <c:v>4.1388888888888893</c:v>
                </c:pt>
                <c:pt idx="150">
                  <c:v>4.166666666666667</c:v>
                </c:pt>
              </c:numCache>
            </c:numRef>
          </c:xVal>
          <c:yVal>
            <c:numRef>
              <c:f>Eff_vs_IOUT!$AP$7:$AP$157</c:f>
              <c:numCache>
                <c:formatCode>General</c:formatCode>
                <c:ptCount val="151"/>
                <c:pt idx="0">
                  <c:v>0</c:v>
                </c:pt>
                <c:pt idx="1">
                  <c:v>9.404383631833809E-5</c:v>
                </c:pt>
                <c:pt idx="2">
                  <c:v>2.659961375579782E-4</c:v>
                </c:pt>
                <c:pt idx="3">
                  <c:v>4.8866610792615793E-4</c:v>
                </c:pt>
                <c:pt idx="4">
                  <c:v>7.5235069054670472E-4</c:v>
                </c:pt>
                <c:pt idx="5">
                  <c:v>1.0514420543633375E-3</c:v>
                </c:pt>
                <c:pt idx="6">
                  <c:v>1.3821564746024952E-3</c:v>
                </c:pt>
                <c:pt idx="7">
                  <c:v>1.7417162226575074E-3</c:v>
                </c:pt>
                <c:pt idx="8">
                  <c:v>2.127969100463826E-3</c:v>
                </c:pt>
                <c:pt idx="9">
                  <c:v>2.5391835805951279E-3</c:v>
                </c:pt>
                <c:pt idx="10">
                  <c:v>2.9739272266601216E-3</c:v>
                </c:pt>
                <c:pt idx="11">
                  <c:v>3.4309893080487789E-3</c:v>
                </c:pt>
                <c:pt idx="12">
                  <c:v>3.9093288634092643E-3</c:v>
                </c:pt>
                <c:pt idx="13">
                  <c:v>4.4080383618324368E-3</c:v>
                </c:pt>
                <c:pt idx="14">
                  <c:v>4.9263174077749643E-3</c:v>
                </c:pt>
                <c:pt idx="15">
                  <c:v>5.4634531781156907E-3</c:v>
                </c:pt>
                <c:pt idx="16">
                  <c:v>6.0188055243736377E-3</c:v>
                </c:pt>
                <c:pt idx="17">
                  <c:v>6.5917953998397005E-3</c:v>
                </c:pt>
                <c:pt idx="18">
                  <c:v>7.1818957140654125E-3</c:v>
                </c:pt>
                <c:pt idx="19">
                  <c:v>7.7920131369785357E-3</c:v>
                </c:pt>
                <c:pt idx="20">
                  <c:v>8.4339884456205126E-3</c:v>
                </c:pt>
                <c:pt idx="21">
                  <c:v>9.108885564962076E-3</c:v>
                </c:pt>
                <c:pt idx="22">
                  <c:v>9.8167044950032301E-3</c:v>
                </c:pt>
                <c:pt idx="23">
                  <c:v>1.0557445235743972E-2</c:v>
                </c:pt>
                <c:pt idx="24">
                  <c:v>1.1331107787184297E-2</c:v>
                </c:pt>
                <c:pt idx="25">
                  <c:v>1.2137692149324215E-2</c:v>
                </c:pt>
                <c:pt idx="26">
                  <c:v>1.2977198322163722E-2</c:v>
                </c:pt>
                <c:pt idx="27">
                  <c:v>1.3849626305702818E-2</c:v>
                </c:pt>
                <c:pt idx="28">
                  <c:v>1.4754976099941502E-2</c:v>
                </c:pt>
                <c:pt idx="29">
                  <c:v>1.569324770487977E-2</c:v>
                </c:pt>
                <c:pt idx="30">
                  <c:v>1.6664441120517636E-2</c:v>
                </c:pt>
                <c:pt idx="31">
                  <c:v>1.7668556346855074E-2</c:v>
                </c:pt>
                <c:pt idx="32">
                  <c:v>1.8705593383892116E-2</c:v>
                </c:pt>
                <c:pt idx="33">
                  <c:v>1.9775552231628742E-2</c:v>
                </c:pt>
                <c:pt idx="34">
                  <c:v>2.0878432890064962E-2</c:v>
                </c:pt>
                <c:pt idx="35">
                  <c:v>2.2014235359200766E-2</c:v>
                </c:pt>
                <c:pt idx="36">
                  <c:v>2.318295963903615E-2</c:v>
                </c:pt>
                <c:pt idx="37">
                  <c:v>2.4384605729571147E-2</c:v>
                </c:pt>
                <c:pt idx="38">
                  <c:v>2.5619173630805698E-2</c:v>
                </c:pt>
                <c:pt idx="39">
                  <c:v>2.6886663342739862E-2</c:v>
                </c:pt>
                <c:pt idx="40">
                  <c:v>2.8187074865373602E-2</c:v>
                </c:pt>
                <c:pt idx="41">
                  <c:v>2.9520408198706938E-2</c:v>
                </c:pt>
                <c:pt idx="42">
                  <c:v>3.0886663342739852E-2</c:v>
                </c:pt>
                <c:pt idx="43">
                  <c:v>3.2285840297472362E-2</c:v>
                </c:pt>
                <c:pt idx="44">
                  <c:v>3.3717939062904469E-2</c:v>
                </c:pt>
                <c:pt idx="45">
                  <c:v>3.518295963903615E-2</c:v>
                </c:pt>
                <c:pt idx="46">
                  <c:v>3.6680902025867428E-2</c:v>
                </c:pt>
                <c:pt idx="47">
                  <c:v>3.8211766223398301E-2</c:v>
                </c:pt>
                <c:pt idx="48">
                  <c:v>3.9775552231628743E-2</c:v>
                </c:pt>
                <c:pt idx="49">
                  <c:v>4.1372260050558794E-2</c:v>
                </c:pt>
                <c:pt idx="50">
                  <c:v>4.3001889680188414E-2</c:v>
                </c:pt>
                <c:pt idx="51">
                  <c:v>4.4664441120517623E-2</c:v>
                </c:pt>
                <c:pt idx="52">
                  <c:v>4.6359914371546448E-2</c:v>
                </c:pt>
                <c:pt idx="53">
                  <c:v>4.8088309433274835E-2</c:v>
                </c:pt>
                <c:pt idx="54">
                  <c:v>4.9849626305702818E-2</c:v>
                </c:pt>
                <c:pt idx="55">
                  <c:v>5.1643864988830404E-2</c:v>
                </c:pt>
                <c:pt idx="56">
                  <c:v>5.3471025482657579E-2</c:v>
                </c:pt>
                <c:pt idx="57">
                  <c:v>5.5331107787184294E-2</c:v>
                </c:pt>
                <c:pt idx="58">
                  <c:v>5.7224111902410654E-2</c:v>
                </c:pt>
                <c:pt idx="59">
                  <c:v>5.9150037828336569E-2</c:v>
                </c:pt>
                <c:pt idx="60">
                  <c:v>6.1108885564962086E-2</c:v>
                </c:pt>
                <c:pt idx="61">
                  <c:v>6.3100655112287185E-2</c:v>
                </c:pt>
                <c:pt idx="62">
                  <c:v>6.5125346470311887E-2</c:v>
                </c:pt>
                <c:pt idx="63">
                  <c:v>6.7182959639036199E-2</c:v>
                </c:pt>
                <c:pt idx="64">
                  <c:v>6.9273494618460024E-2</c:v>
                </c:pt>
                <c:pt idx="65">
                  <c:v>7.1396951408583487E-2</c:v>
                </c:pt>
                <c:pt idx="66">
                  <c:v>7.3553330009406517E-2</c:v>
                </c:pt>
                <c:pt idx="67">
                  <c:v>7.5742630420929186E-2</c:v>
                </c:pt>
                <c:pt idx="68">
                  <c:v>7.7964852643151394E-2</c:v>
                </c:pt>
                <c:pt idx="69">
                  <c:v>8.0219996676073185E-2</c:v>
                </c:pt>
                <c:pt idx="70">
                  <c:v>8.2508062519694614E-2</c:v>
                </c:pt>
                <c:pt idx="71">
                  <c:v>8.4829050174015597E-2</c:v>
                </c:pt>
                <c:pt idx="72">
                  <c:v>8.7182959639036134E-2</c:v>
                </c:pt>
                <c:pt idx="73">
                  <c:v>8.956979091475635E-2</c:v>
                </c:pt>
                <c:pt idx="74">
                  <c:v>9.1989544001176107E-2</c:v>
                </c:pt>
                <c:pt idx="75">
                  <c:v>9.4442218898295405E-2</c:v>
                </c:pt>
                <c:pt idx="76">
                  <c:v>9.6927815606114354E-2</c:v>
                </c:pt>
                <c:pt idx="77">
                  <c:v>9.9446334124632871E-2</c:v>
                </c:pt>
                <c:pt idx="78">
                  <c:v>0.10199777445385098</c:v>
                </c:pt>
                <c:pt idx="79">
                  <c:v>0.10458213659376868</c:v>
                </c:pt>
                <c:pt idx="80">
                  <c:v>0.10719942054438597</c:v>
                </c:pt>
                <c:pt idx="81">
                  <c:v>0.10984962630570282</c:v>
                </c:pt>
                <c:pt idx="82">
                  <c:v>0.11253275387771929</c:v>
                </c:pt>
                <c:pt idx="83">
                  <c:v>0.11524880326043538</c:v>
                </c:pt>
                <c:pt idx="84">
                  <c:v>0.11799777445385096</c:v>
                </c:pt>
                <c:pt idx="85">
                  <c:v>0.12077966745796621</c:v>
                </c:pt>
                <c:pt idx="86">
                  <c:v>0.12359448227278098</c:v>
                </c:pt>
                <c:pt idx="87">
                  <c:v>0.12644221889829543</c:v>
                </c:pt>
                <c:pt idx="88">
                  <c:v>0.12932287733450945</c:v>
                </c:pt>
                <c:pt idx="89">
                  <c:v>0.13223645758142299</c:v>
                </c:pt>
                <c:pt idx="90">
                  <c:v>0.1351829596390362</c:v>
                </c:pt>
                <c:pt idx="91">
                  <c:v>0.13816238350734891</c:v>
                </c:pt>
                <c:pt idx="92">
                  <c:v>0.14117472918636129</c:v>
                </c:pt>
                <c:pt idx="93">
                  <c:v>0.14421999667607321</c:v>
                </c:pt>
                <c:pt idx="94">
                  <c:v>0.14729818597648475</c:v>
                </c:pt>
                <c:pt idx="95">
                  <c:v>0.15040929708759584</c:v>
                </c:pt>
                <c:pt idx="96">
                  <c:v>0.15355333000940652</c:v>
                </c:pt>
                <c:pt idx="97">
                  <c:v>0.15673028474191686</c:v>
                </c:pt>
                <c:pt idx="98">
                  <c:v>0.15994016128512673</c:v>
                </c:pt>
                <c:pt idx="99">
                  <c:v>0.16318295963903615</c:v>
                </c:pt>
                <c:pt idx="100">
                  <c:v>0.16645867980364523</c:v>
                </c:pt>
                <c:pt idx="101">
                  <c:v>0.1697673217789539</c:v>
                </c:pt>
                <c:pt idx="102">
                  <c:v>0.17310888556496207</c:v>
                </c:pt>
                <c:pt idx="103">
                  <c:v>0.17648337116166993</c:v>
                </c:pt>
                <c:pt idx="104">
                  <c:v>0.17989077856907737</c:v>
                </c:pt>
                <c:pt idx="105">
                  <c:v>0.18333110778718428</c:v>
                </c:pt>
                <c:pt idx="106">
                  <c:v>0.18680435881599089</c:v>
                </c:pt>
                <c:pt idx="107">
                  <c:v>0.19031053165549713</c:v>
                </c:pt>
                <c:pt idx="108">
                  <c:v>0.19384962630570279</c:v>
                </c:pt>
                <c:pt idx="109">
                  <c:v>0.1974216427666082</c:v>
                </c:pt>
                <c:pt idx="110">
                  <c:v>0.20102658103821319</c:v>
                </c:pt>
                <c:pt idx="111">
                  <c:v>0.20466444112051757</c:v>
                </c:pt>
                <c:pt idx="112">
                  <c:v>0.20833522301352184</c:v>
                </c:pt>
                <c:pt idx="113">
                  <c:v>0.21203892671722549</c:v>
                </c:pt>
                <c:pt idx="114">
                  <c:v>0.2157755522316287</c:v>
                </c:pt>
                <c:pt idx="115">
                  <c:v>0.21954509955673165</c:v>
                </c:pt>
                <c:pt idx="116">
                  <c:v>0.22334756869253414</c:v>
                </c:pt>
                <c:pt idx="117">
                  <c:v>0.22718295963903623</c:v>
                </c:pt>
                <c:pt idx="118">
                  <c:v>0.23105127239623782</c:v>
                </c:pt>
                <c:pt idx="119">
                  <c:v>0.23495250696413914</c:v>
                </c:pt>
                <c:pt idx="120">
                  <c:v>0.23888666334273992</c:v>
                </c:pt>
                <c:pt idx="121">
                  <c:v>0.24285374153204028</c:v>
                </c:pt>
                <c:pt idx="122">
                  <c:v>0.24685374153204032</c:v>
                </c:pt>
                <c:pt idx="123">
                  <c:v>0.25088666334273985</c:v>
                </c:pt>
                <c:pt idx="124">
                  <c:v>0.25495250696413896</c:v>
                </c:pt>
                <c:pt idx="125">
                  <c:v>0.25905127239623787</c:v>
                </c:pt>
                <c:pt idx="126">
                  <c:v>0.26318295963903632</c:v>
                </c:pt>
                <c:pt idx="127">
                  <c:v>0.26734756869253412</c:v>
                </c:pt>
                <c:pt idx="128">
                  <c:v>0.27154509955673162</c:v>
                </c:pt>
                <c:pt idx="129">
                  <c:v>0.27577555223162864</c:v>
                </c:pt>
                <c:pt idx="130">
                  <c:v>0.28003892671722541</c:v>
                </c:pt>
                <c:pt idx="131">
                  <c:v>0.28433522301352177</c:v>
                </c:pt>
                <c:pt idx="132">
                  <c:v>0.2886644411205177</c:v>
                </c:pt>
                <c:pt idx="133">
                  <c:v>0.29302658103821316</c:v>
                </c:pt>
                <c:pt idx="134">
                  <c:v>0.29742164276660826</c:v>
                </c:pt>
                <c:pt idx="135">
                  <c:v>0.30184962630570283</c:v>
                </c:pt>
                <c:pt idx="136">
                  <c:v>0.3063105316554971</c:v>
                </c:pt>
                <c:pt idx="137">
                  <c:v>0.310804358815991</c:v>
                </c:pt>
                <c:pt idx="138">
                  <c:v>0.31533110778718421</c:v>
                </c:pt>
                <c:pt idx="139">
                  <c:v>0.31989077856907738</c:v>
                </c:pt>
                <c:pt idx="140">
                  <c:v>0.32448337116166992</c:v>
                </c:pt>
                <c:pt idx="141">
                  <c:v>0.32910888556496204</c:v>
                </c:pt>
                <c:pt idx="142">
                  <c:v>0.33376732177895385</c:v>
                </c:pt>
                <c:pt idx="143">
                  <c:v>0.33845867980364525</c:v>
                </c:pt>
                <c:pt idx="144">
                  <c:v>0.34318295963903611</c:v>
                </c:pt>
                <c:pt idx="145">
                  <c:v>0.34794016128512667</c:v>
                </c:pt>
                <c:pt idx="146">
                  <c:v>0.35273028474191692</c:v>
                </c:pt>
                <c:pt idx="147">
                  <c:v>0.3575533300094067</c:v>
                </c:pt>
                <c:pt idx="148">
                  <c:v>0.36240929708759601</c:v>
                </c:pt>
                <c:pt idx="149">
                  <c:v>0.36729818597648484</c:v>
                </c:pt>
                <c:pt idx="150">
                  <c:v>0.37221999667607319</c:v>
                </c:pt>
              </c:numCache>
            </c:numRef>
          </c:yVal>
          <c:smooth val="1"/>
          <c:extLst>
            <c:ext xmlns:c16="http://schemas.microsoft.com/office/drawing/2014/chart" uri="{C3380CC4-5D6E-409C-BE32-E72D297353CC}">
              <c16:uniqueId val="{00000003-901A-4CE4-83F4-75906C9CC573}"/>
            </c:ext>
          </c:extLst>
        </c:ser>
        <c:dLbls>
          <c:showLegendKey val="0"/>
          <c:showVal val="0"/>
          <c:showCatName val="0"/>
          <c:showSerName val="0"/>
          <c:showPercent val="0"/>
          <c:showBubbleSize val="0"/>
        </c:dLbls>
        <c:axId val="361467264"/>
        <c:axId val="361465344"/>
      </c:scatterChart>
      <c:valAx>
        <c:axId val="361445248"/>
        <c:scaling>
          <c:orientation val="minMax"/>
        </c:scaling>
        <c:delete val="0"/>
        <c:axPos val="b"/>
        <c:majorGridlines/>
        <c:numFmt formatCode="General" sourceLinked="1"/>
        <c:majorTickMark val="out"/>
        <c:minorTickMark val="none"/>
        <c:tickLblPos val="nextTo"/>
        <c:crossAx val="361446784"/>
        <c:crosses val="autoZero"/>
        <c:crossBetween val="midCat"/>
      </c:valAx>
      <c:valAx>
        <c:axId val="361446784"/>
        <c:scaling>
          <c:orientation val="minMax"/>
          <c:max val="100"/>
          <c:min val="60"/>
        </c:scaling>
        <c:delete val="0"/>
        <c:axPos val="l"/>
        <c:majorGridlines/>
        <c:title>
          <c:tx>
            <c:rich>
              <a:bodyPr rot="-5400000" vert="horz"/>
              <a:lstStyle/>
              <a:p>
                <a:pPr>
                  <a:defRPr sz="1400"/>
                </a:pPr>
                <a:r>
                  <a:rPr lang="en-US" sz="1400"/>
                  <a:t>Efficiency</a:t>
                </a:r>
                <a:r>
                  <a:rPr lang="en-US" sz="1400" baseline="0"/>
                  <a:t> (%)</a:t>
                </a:r>
                <a:endParaRPr lang="en-US" sz="1400"/>
              </a:p>
            </c:rich>
          </c:tx>
          <c:overlay val="0"/>
        </c:title>
        <c:numFmt formatCode="General" sourceLinked="1"/>
        <c:majorTickMark val="out"/>
        <c:minorTickMark val="none"/>
        <c:tickLblPos val="nextTo"/>
        <c:crossAx val="361445248"/>
        <c:crosses val="autoZero"/>
        <c:crossBetween val="midCat"/>
      </c:valAx>
      <c:valAx>
        <c:axId val="361465344"/>
        <c:scaling>
          <c:orientation val="minMax"/>
        </c:scaling>
        <c:delete val="0"/>
        <c:axPos val="r"/>
        <c:title>
          <c:tx>
            <c:rich>
              <a:bodyPr rot="-5400000" vert="horz"/>
              <a:lstStyle/>
              <a:p>
                <a:pPr>
                  <a:defRPr sz="1400"/>
                </a:pPr>
                <a:r>
                  <a:rPr lang="en-US" sz="1400"/>
                  <a:t>Losses</a:t>
                </a:r>
                <a:r>
                  <a:rPr lang="en-US" sz="1400" baseline="0"/>
                  <a:t> (W)</a:t>
                </a:r>
                <a:endParaRPr lang="en-US" sz="1400"/>
              </a:p>
            </c:rich>
          </c:tx>
          <c:overlay val="0"/>
        </c:title>
        <c:numFmt formatCode="General" sourceLinked="1"/>
        <c:majorTickMark val="out"/>
        <c:minorTickMark val="none"/>
        <c:tickLblPos val="nextTo"/>
        <c:crossAx val="361467264"/>
        <c:crosses val="max"/>
        <c:crossBetween val="midCat"/>
      </c:valAx>
      <c:valAx>
        <c:axId val="361467264"/>
        <c:scaling>
          <c:orientation val="minMax"/>
        </c:scaling>
        <c:delete val="1"/>
        <c:axPos val="b"/>
        <c:title>
          <c:tx>
            <c:rich>
              <a:bodyPr/>
              <a:lstStyle/>
              <a:p>
                <a:pPr>
                  <a:defRPr/>
                </a:pPr>
                <a:r>
                  <a:rPr lang="en-US"/>
                  <a:t>Loac</a:t>
                </a:r>
                <a:r>
                  <a:rPr lang="en-US" baseline="0"/>
                  <a:t> Current (A)</a:t>
                </a:r>
                <a:endParaRPr lang="en-US"/>
              </a:p>
            </c:rich>
          </c:tx>
          <c:overlay val="0"/>
        </c:title>
        <c:numFmt formatCode="General" sourceLinked="1"/>
        <c:majorTickMark val="out"/>
        <c:minorTickMark val="none"/>
        <c:tickLblPos val="nextTo"/>
        <c:crossAx val="361465344"/>
        <c:crosses val="autoZero"/>
        <c:crossBetween val="midCat"/>
      </c:valAx>
    </c:plotArea>
    <c:legend>
      <c:legendPos val="r"/>
      <c:layout>
        <c:manualLayout>
          <c:xMode val="edge"/>
          <c:yMode val="edge"/>
          <c:x val="0.51894403926190358"/>
          <c:y val="6.4862204724409449E-3"/>
          <c:w val="0.39609572935704079"/>
          <c:h val="0.12183653099700564"/>
        </c:manualLayout>
      </c:layout>
      <c:overlay val="1"/>
    </c:legend>
    <c:plotVisOnly val="1"/>
    <c:dispBlanksAs val="gap"/>
    <c:showDLblsOverMax val="0"/>
  </c:chart>
  <c:spPr>
    <a:ln>
      <a:noFill/>
    </a:ln>
  </c:sp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CCM Plant Transfer</a:t>
            </a:r>
            <a:r>
              <a:rPr lang="en-US" baseline="0"/>
              <a:t> Function</a:t>
            </a:r>
            <a:endParaRPr lang="en-US"/>
          </a:p>
        </c:rich>
      </c:tx>
      <c:overlay val="0"/>
    </c:title>
    <c:autoTitleDeleted val="0"/>
    <c:plotArea>
      <c:layout/>
      <c:scatterChart>
        <c:scatterStyle val="smoothMarker"/>
        <c:varyColors val="0"/>
        <c:ser>
          <c:idx val="0"/>
          <c:order val="0"/>
          <c:tx>
            <c:v>Gain(dB)</c:v>
          </c:tx>
          <c:marker>
            <c:symbol val="none"/>
          </c:marker>
          <c:xVal>
            <c:numRef>
              <c:f>Loop_Modeling!$O$19:$O$560</c:f>
              <c:numCache>
                <c:formatCode>0.00</c:formatCode>
                <c:ptCount val="542"/>
                <c:pt idx="0">
                  <c:v>10.232929922807543</c:v>
                </c:pt>
                <c:pt idx="1">
                  <c:v>10.471285480509</c:v>
                </c:pt>
                <c:pt idx="2">
                  <c:v>10.715193052376069</c:v>
                </c:pt>
                <c:pt idx="3">
                  <c:v>10.964781961431854</c:v>
                </c:pt>
                <c:pt idx="4">
                  <c:v>11.220184543019636</c:v>
                </c:pt>
                <c:pt idx="5">
                  <c:v>11.481536214968834</c:v>
                </c:pt>
                <c:pt idx="6">
                  <c:v>11.748975549395301</c:v>
                </c:pt>
                <c:pt idx="7">
                  <c:v>12.022644346174133</c:v>
                </c:pt>
                <c:pt idx="8">
                  <c:v>12.302687708123818</c:v>
                </c:pt>
                <c:pt idx="9">
                  <c:v>12.58925411794168</c:v>
                </c:pt>
                <c:pt idx="10">
                  <c:v>12.882495516931346</c:v>
                </c:pt>
                <c:pt idx="11">
                  <c:v>13.182567385564075</c:v>
                </c:pt>
                <c:pt idx="12">
                  <c:v>13.489628825916535</c:v>
                </c:pt>
                <c:pt idx="13">
                  <c:v>13.803842646028857</c:v>
                </c:pt>
                <c:pt idx="14">
                  <c:v>14.125375446227544</c:v>
                </c:pt>
                <c:pt idx="15">
                  <c:v>14.454397707459275</c:v>
                </c:pt>
                <c:pt idx="16">
                  <c:v>14.791083881682074</c:v>
                </c:pt>
                <c:pt idx="17">
                  <c:v>15.135612484362087</c:v>
                </c:pt>
                <c:pt idx="18">
                  <c:v>15.488166189124817</c:v>
                </c:pt>
                <c:pt idx="19">
                  <c:v>15.848931924611136</c:v>
                </c:pt>
                <c:pt idx="20">
                  <c:v>16.218100973589298</c:v>
                </c:pt>
                <c:pt idx="21">
                  <c:v>16.595869074375614</c:v>
                </c:pt>
                <c:pt idx="22">
                  <c:v>16.982436524617448</c:v>
                </c:pt>
                <c:pt idx="23">
                  <c:v>17.378008287493756</c:v>
                </c:pt>
                <c:pt idx="24">
                  <c:v>17.782794100389236</c:v>
                </c:pt>
                <c:pt idx="25">
                  <c:v>18.197008586099841</c:v>
                </c:pt>
                <c:pt idx="26">
                  <c:v>18.62087136662868</c:v>
                </c:pt>
                <c:pt idx="27">
                  <c:v>19.054607179632477</c:v>
                </c:pt>
                <c:pt idx="28">
                  <c:v>19.498445997580465</c:v>
                </c:pt>
                <c:pt idx="29">
                  <c:v>19.952623149688804</c:v>
                </c:pt>
                <c:pt idx="30">
                  <c:v>20.4173794466953</c:v>
                </c:pt>
                <c:pt idx="31">
                  <c:v>20.8929613085404</c:v>
                </c:pt>
                <c:pt idx="32">
                  <c:v>21.379620895022335</c:v>
                </c:pt>
                <c:pt idx="33">
                  <c:v>21.877616239495538</c:v>
                </c:pt>
                <c:pt idx="34">
                  <c:v>22.387211385683404</c:v>
                </c:pt>
                <c:pt idx="35">
                  <c:v>22.908676527677727</c:v>
                </c:pt>
                <c:pt idx="36">
                  <c:v>23.442288153199236</c:v>
                </c:pt>
                <c:pt idx="37">
                  <c:v>23.988329190194907</c:v>
                </c:pt>
                <c:pt idx="38">
                  <c:v>24.547089156850316</c:v>
                </c:pt>
                <c:pt idx="39">
                  <c:v>25.118864315095799</c:v>
                </c:pt>
                <c:pt idx="40">
                  <c:v>25.703957827688647</c:v>
                </c:pt>
                <c:pt idx="41">
                  <c:v>26.302679918953825</c:v>
                </c:pt>
                <c:pt idx="42">
                  <c:v>26.915348039269158</c:v>
                </c:pt>
                <c:pt idx="43">
                  <c:v>27.542287033381665</c:v>
                </c:pt>
                <c:pt idx="44">
                  <c:v>28.183829312644548</c:v>
                </c:pt>
                <c:pt idx="45">
                  <c:v>28.840315031266066</c:v>
                </c:pt>
                <c:pt idx="46">
                  <c:v>29.512092266663863</c:v>
                </c:pt>
                <c:pt idx="47">
                  <c:v>30.199517204020164</c:v>
                </c:pt>
                <c:pt idx="48">
                  <c:v>30.902954325135919</c:v>
                </c:pt>
                <c:pt idx="49">
                  <c:v>31.622776601683803</c:v>
                </c:pt>
                <c:pt idx="50">
                  <c:v>32.359365692962832</c:v>
                </c:pt>
                <c:pt idx="51">
                  <c:v>33.113112148259127</c:v>
                </c:pt>
                <c:pt idx="52">
                  <c:v>33.884415613920268</c:v>
                </c:pt>
                <c:pt idx="53">
                  <c:v>34.67368504525318</c:v>
                </c:pt>
                <c:pt idx="54">
                  <c:v>35.481338923357555</c:v>
                </c:pt>
                <c:pt idx="55">
                  <c:v>36.307805477010156</c:v>
                </c:pt>
                <c:pt idx="56">
                  <c:v>37.15352290971726</c:v>
                </c:pt>
                <c:pt idx="57">
                  <c:v>38.018939632056139</c:v>
                </c:pt>
                <c:pt idx="58">
                  <c:v>38.904514499428053</c:v>
                </c:pt>
                <c:pt idx="59">
                  <c:v>39.810717055349755</c:v>
                </c:pt>
                <c:pt idx="60">
                  <c:v>40.738027780411279</c:v>
                </c:pt>
                <c:pt idx="61">
                  <c:v>41.686938347033561</c:v>
                </c:pt>
                <c:pt idx="62">
                  <c:v>42.657951880159267</c:v>
                </c:pt>
                <c:pt idx="63">
                  <c:v>43.651583224016633</c:v>
                </c:pt>
                <c:pt idx="64">
                  <c:v>44.668359215096324</c:v>
                </c:pt>
                <c:pt idx="65">
                  <c:v>45.70881896148753</c:v>
                </c:pt>
                <c:pt idx="66">
                  <c:v>46.773514128719818</c:v>
                </c:pt>
                <c:pt idx="67">
                  <c:v>47.863009232263877</c:v>
                </c:pt>
                <c:pt idx="68">
                  <c:v>48.977881936844632</c:v>
                </c:pt>
                <c:pt idx="69">
                  <c:v>50.118723362727238</c:v>
                </c:pt>
                <c:pt idx="70">
                  <c:v>51.28613839913649</c:v>
                </c:pt>
                <c:pt idx="71">
                  <c:v>52.480746024977286</c:v>
                </c:pt>
                <c:pt idx="72">
                  <c:v>53.703179637025293</c:v>
                </c:pt>
                <c:pt idx="73">
                  <c:v>54.95408738576247</c:v>
                </c:pt>
                <c:pt idx="74">
                  <c:v>56.234132519034915</c:v>
                </c:pt>
                <c:pt idx="75">
                  <c:v>57.543993733715695</c:v>
                </c:pt>
                <c:pt idx="76">
                  <c:v>58.884365535558949</c:v>
                </c:pt>
                <c:pt idx="77">
                  <c:v>60.255958607435822</c:v>
                </c:pt>
                <c:pt idx="78">
                  <c:v>61.659500186148257</c:v>
                </c:pt>
                <c:pt idx="79">
                  <c:v>63.095734448019364</c:v>
                </c:pt>
                <c:pt idx="80">
                  <c:v>64.565422903465588</c:v>
                </c:pt>
                <c:pt idx="81">
                  <c:v>66.069344800759623</c:v>
                </c:pt>
                <c:pt idx="82">
                  <c:v>67.60829753919819</c:v>
                </c:pt>
                <c:pt idx="83">
                  <c:v>69.183097091893657</c:v>
                </c:pt>
                <c:pt idx="84">
                  <c:v>70.794578438413865</c:v>
                </c:pt>
                <c:pt idx="85">
                  <c:v>72.443596007499011</c:v>
                </c:pt>
                <c:pt idx="86">
                  <c:v>74.131024130091816</c:v>
                </c:pt>
                <c:pt idx="87">
                  <c:v>75.857757502918361</c:v>
                </c:pt>
                <c:pt idx="88">
                  <c:v>77.624711662869217</c:v>
                </c:pt>
                <c:pt idx="89">
                  <c:v>79.432823472428197</c:v>
                </c:pt>
                <c:pt idx="90">
                  <c:v>81.283051616409963</c:v>
                </c:pt>
                <c:pt idx="91">
                  <c:v>83.176377110267126</c:v>
                </c:pt>
                <c:pt idx="92">
                  <c:v>85.113803820237734</c:v>
                </c:pt>
                <c:pt idx="93">
                  <c:v>87.096358995608071</c:v>
                </c:pt>
                <c:pt idx="94">
                  <c:v>89.125093813374562</c:v>
                </c:pt>
                <c:pt idx="95">
                  <c:v>91.201083935590972</c:v>
                </c:pt>
                <c:pt idx="96">
                  <c:v>93.325430079699174</c:v>
                </c:pt>
                <c:pt idx="97">
                  <c:v>95.499258602143655</c:v>
                </c:pt>
                <c:pt idx="98">
                  <c:v>97.723722095581124</c:v>
                </c:pt>
                <c:pt idx="99">
                  <c:v>100</c:v>
                </c:pt>
                <c:pt idx="100">
                  <c:v>102.32929922807544</c:v>
                </c:pt>
                <c:pt idx="101">
                  <c:v>104.71285480508998</c:v>
                </c:pt>
                <c:pt idx="102">
                  <c:v>107.15193052376065</c:v>
                </c:pt>
                <c:pt idx="103">
                  <c:v>109.64781961431861</c:v>
                </c:pt>
                <c:pt idx="104">
                  <c:v>112.20184543019634</c:v>
                </c:pt>
                <c:pt idx="105">
                  <c:v>114.81536214968835</c:v>
                </c:pt>
                <c:pt idx="106">
                  <c:v>117.48975549395293</c:v>
                </c:pt>
                <c:pt idx="107">
                  <c:v>120.22644346174135</c:v>
                </c:pt>
                <c:pt idx="108">
                  <c:v>123.02687708123821</c:v>
                </c:pt>
                <c:pt idx="109">
                  <c:v>125.89254117941677</c:v>
                </c:pt>
                <c:pt idx="110">
                  <c:v>128.82495516931343</c:v>
                </c:pt>
                <c:pt idx="111">
                  <c:v>131.82567385564084</c:v>
                </c:pt>
                <c:pt idx="112">
                  <c:v>134.89628825916537</c:v>
                </c:pt>
                <c:pt idx="113">
                  <c:v>138.0384264602886</c:v>
                </c:pt>
                <c:pt idx="114">
                  <c:v>141.25375446227542</c:v>
                </c:pt>
                <c:pt idx="115">
                  <c:v>144.54397707459285</c:v>
                </c:pt>
                <c:pt idx="116">
                  <c:v>147.91083881682084</c:v>
                </c:pt>
                <c:pt idx="117">
                  <c:v>151.3561248436209</c:v>
                </c:pt>
                <c:pt idx="118">
                  <c:v>154.8816618912482</c:v>
                </c:pt>
                <c:pt idx="119">
                  <c:v>158.48931924611153</c:v>
                </c:pt>
                <c:pt idx="120">
                  <c:v>162.18100973589304</c:v>
                </c:pt>
                <c:pt idx="121">
                  <c:v>165.95869074375622</c:v>
                </c:pt>
                <c:pt idx="122">
                  <c:v>169.82436524617444</c:v>
                </c:pt>
                <c:pt idx="123">
                  <c:v>173.78008287493768</c:v>
                </c:pt>
                <c:pt idx="124">
                  <c:v>177.82794100389242</c:v>
                </c:pt>
                <c:pt idx="125">
                  <c:v>181.9700858609983</c:v>
                </c:pt>
                <c:pt idx="126">
                  <c:v>186.20871366628685</c:v>
                </c:pt>
                <c:pt idx="127">
                  <c:v>190.54607179632498</c:v>
                </c:pt>
                <c:pt idx="128">
                  <c:v>194.98445997580458</c:v>
                </c:pt>
                <c:pt idx="129">
                  <c:v>199.52623149688802</c:v>
                </c:pt>
                <c:pt idx="130">
                  <c:v>204.17379446695315</c:v>
                </c:pt>
                <c:pt idx="131">
                  <c:v>208.92961308540396</c:v>
                </c:pt>
                <c:pt idx="132">
                  <c:v>213.79620895022339</c:v>
                </c:pt>
                <c:pt idx="133">
                  <c:v>218.77616239495524</c:v>
                </c:pt>
                <c:pt idx="134">
                  <c:v>223.87211385683412</c:v>
                </c:pt>
                <c:pt idx="135">
                  <c:v>229.08676527677744</c:v>
                </c:pt>
                <c:pt idx="136">
                  <c:v>234.42288153199232</c:v>
                </c:pt>
                <c:pt idx="137">
                  <c:v>239.88329190194912</c:v>
                </c:pt>
                <c:pt idx="138">
                  <c:v>245.4708915685033</c:v>
                </c:pt>
                <c:pt idx="139">
                  <c:v>251.18864315095806</c:v>
                </c:pt>
                <c:pt idx="140">
                  <c:v>257.03957827688663</c:v>
                </c:pt>
                <c:pt idx="141">
                  <c:v>263.02679918953817</c:v>
                </c:pt>
                <c:pt idx="142">
                  <c:v>269.15348039269179</c:v>
                </c:pt>
                <c:pt idx="143">
                  <c:v>275.42287033381683</c:v>
                </c:pt>
                <c:pt idx="144">
                  <c:v>281.83829312644554</c:v>
                </c:pt>
                <c:pt idx="145">
                  <c:v>288.40315031266073</c:v>
                </c:pt>
                <c:pt idx="146">
                  <c:v>295.12092266663871</c:v>
                </c:pt>
                <c:pt idx="147">
                  <c:v>301.99517204020168</c:v>
                </c:pt>
                <c:pt idx="148">
                  <c:v>309.02954325135937</c:v>
                </c:pt>
                <c:pt idx="149">
                  <c:v>316.22776601683825</c:v>
                </c:pt>
                <c:pt idx="150">
                  <c:v>323.59365692962825</c:v>
                </c:pt>
                <c:pt idx="151">
                  <c:v>331.13112148259137</c:v>
                </c:pt>
                <c:pt idx="152">
                  <c:v>338.84415613920277</c:v>
                </c:pt>
                <c:pt idx="153">
                  <c:v>346.73685045253183</c:v>
                </c:pt>
                <c:pt idx="154">
                  <c:v>354.81338923357566</c:v>
                </c:pt>
                <c:pt idx="155">
                  <c:v>363.07805477010152</c:v>
                </c:pt>
                <c:pt idx="156">
                  <c:v>371.53522909717265</c:v>
                </c:pt>
                <c:pt idx="157">
                  <c:v>380.18939632056163</c:v>
                </c:pt>
                <c:pt idx="158">
                  <c:v>389.04514499428063</c:v>
                </c:pt>
                <c:pt idx="159">
                  <c:v>398.10717055349761</c:v>
                </c:pt>
                <c:pt idx="160">
                  <c:v>407.38027780411272</c:v>
                </c:pt>
                <c:pt idx="161">
                  <c:v>416.86938347033572</c:v>
                </c:pt>
                <c:pt idx="162">
                  <c:v>426.57951880159294</c:v>
                </c:pt>
                <c:pt idx="163">
                  <c:v>436.51583224016622</c:v>
                </c:pt>
                <c:pt idx="164">
                  <c:v>446.68359215096331</c:v>
                </c:pt>
                <c:pt idx="165">
                  <c:v>457.0881896148756</c:v>
                </c:pt>
                <c:pt idx="166">
                  <c:v>467.7351412871983</c:v>
                </c:pt>
                <c:pt idx="167">
                  <c:v>478.63009232263886</c:v>
                </c:pt>
                <c:pt idx="168">
                  <c:v>489.77881936844625</c:v>
                </c:pt>
                <c:pt idx="169">
                  <c:v>501.18723362727269</c:v>
                </c:pt>
                <c:pt idx="170">
                  <c:v>512.86138399136519</c:v>
                </c:pt>
                <c:pt idx="171">
                  <c:v>524.80746024977248</c:v>
                </c:pt>
                <c:pt idx="172">
                  <c:v>537.03179637025301</c:v>
                </c:pt>
                <c:pt idx="173">
                  <c:v>549.54087385762534</c:v>
                </c:pt>
                <c:pt idx="174">
                  <c:v>562.34132519034927</c:v>
                </c:pt>
                <c:pt idx="175">
                  <c:v>575.43993733715706</c:v>
                </c:pt>
                <c:pt idx="176">
                  <c:v>588.84365535558959</c:v>
                </c:pt>
                <c:pt idx="177">
                  <c:v>602.55958607435832</c:v>
                </c:pt>
                <c:pt idx="178">
                  <c:v>616.59500186148273</c:v>
                </c:pt>
                <c:pt idx="179">
                  <c:v>630.95734448019323</c:v>
                </c:pt>
                <c:pt idx="180">
                  <c:v>645.65422903465594</c:v>
                </c:pt>
                <c:pt idx="181">
                  <c:v>660.69344800759643</c:v>
                </c:pt>
                <c:pt idx="182">
                  <c:v>676.08297539198213</c:v>
                </c:pt>
                <c:pt idx="183">
                  <c:v>691.83097091893671</c:v>
                </c:pt>
                <c:pt idx="184">
                  <c:v>707.94578438413873</c:v>
                </c:pt>
                <c:pt idx="185">
                  <c:v>724.43596007499025</c:v>
                </c:pt>
                <c:pt idx="186">
                  <c:v>741.31024130091828</c:v>
                </c:pt>
                <c:pt idx="187">
                  <c:v>758.57757502918378</c:v>
                </c:pt>
                <c:pt idx="188">
                  <c:v>776.24711662869231</c:v>
                </c:pt>
                <c:pt idx="189">
                  <c:v>794.32823472428208</c:v>
                </c:pt>
                <c:pt idx="190">
                  <c:v>812.83051616409978</c:v>
                </c:pt>
                <c:pt idx="191">
                  <c:v>831.7637711026714</c:v>
                </c:pt>
                <c:pt idx="192">
                  <c:v>851.13803820237763</c:v>
                </c:pt>
                <c:pt idx="193">
                  <c:v>870.96358995608091</c:v>
                </c:pt>
                <c:pt idx="194">
                  <c:v>891.25093813374656</c:v>
                </c:pt>
                <c:pt idx="195">
                  <c:v>912.01083935590987</c:v>
                </c:pt>
                <c:pt idx="196">
                  <c:v>933.25430079699106</c:v>
                </c:pt>
                <c:pt idx="197">
                  <c:v>954.99258602143675</c:v>
                </c:pt>
                <c:pt idx="198">
                  <c:v>977.23722095581138</c:v>
                </c:pt>
                <c:pt idx="199">
                  <c:v>1000</c:v>
                </c:pt>
                <c:pt idx="200">
                  <c:v>1023.2929922807547</c:v>
                </c:pt>
                <c:pt idx="201">
                  <c:v>1047.1285480509</c:v>
                </c:pt>
                <c:pt idx="202">
                  <c:v>1071.5193052376069</c:v>
                </c:pt>
                <c:pt idx="203">
                  <c:v>1096.4781961431863</c:v>
                </c:pt>
                <c:pt idx="204">
                  <c:v>1122.0184543019636</c:v>
                </c:pt>
                <c:pt idx="205">
                  <c:v>1148.1536214968839</c:v>
                </c:pt>
                <c:pt idx="206">
                  <c:v>1174.8975549395295</c:v>
                </c:pt>
                <c:pt idx="207">
                  <c:v>1202.2644346174138</c:v>
                </c:pt>
                <c:pt idx="208">
                  <c:v>1230.2687708123824</c:v>
                </c:pt>
                <c:pt idx="209">
                  <c:v>1258.925411794168</c:v>
                </c:pt>
                <c:pt idx="210">
                  <c:v>1288.2495516931347</c:v>
                </c:pt>
                <c:pt idx="211">
                  <c:v>1318.2567385564089</c:v>
                </c:pt>
                <c:pt idx="212">
                  <c:v>1348.9628825916541</c:v>
                </c:pt>
                <c:pt idx="213">
                  <c:v>1380.3842646028863</c:v>
                </c:pt>
                <c:pt idx="214">
                  <c:v>1412.5375446227545</c:v>
                </c:pt>
                <c:pt idx="215">
                  <c:v>1445.4397707459289</c:v>
                </c:pt>
                <c:pt idx="216">
                  <c:v>1479.1083881682086</c:v>
                </c:pt>
                <c:pt idx="217">
                  <c:v>1513.5612484362093</c:v>
                </c:pt>
                <c:pt idx="218">
                  <c:v>1548.8166189124822</c:v>
                </c:pt>
                <c:pt idx="219">
                  <c:v>1584.8931924611156</c:v>
                </c:pt>
                <c:pt idx="220">
                  <c:v>1621.8100973589308</c:v>
                </c:pt>
                <c:pt idx="221">
                  <c:v>1659.5869074375626</c:v>
                </c:pt>
                <c:pt idx="222">
                  <c:v>1698.2436524617447</c:v>
                </c:pt>
                <c:pt idx="223">
                  <c:v>1737.8008287493772</c:v>
                </c:pt>
                <c:pt idx="224">
                  <c:v>1778.2794100389244</c:v>
                </c:pt>
                <c:pt idx="225">
                  <c:v>1819.7008586099832</c:v>
                </c:pt>
                <c:pt idx="226">
                  <c:v>1862.0871366628687</c:v>
                </c:pt>
                <c:pt idx="227">
                  <c:v>1905.4607179632501</c:v>
                </c:pt>
                <c:pt idx="228">
                  <c:v>1949.8445997580463</c:v>
                </c:pt>
                <c:pt idx="229">
                  <c:v>1995.2623149688804</c:v>
                </c:pt>
                <c:pt idx="230">
                  <c:v>2041.7379446695318</c:v>
                </c:pt>
                <c:pt idx="231">
                  <c:v>2089.2961308540398</c:v>
                </c:pt>
                <c:pt idx="232">
                  <c:v>2137.9620895022344</c:v>
                </c:pt>
                <c:pt idx="233">
                  <c:v>2187.7616239495528</c:v>
                </c:pt>
                <c:pt idx="234">
                  <c:v>2238.7211385683418</c:v>
                </c:pt>
                <c:pt idx="235">
                  <c:v>2290.8676527677749</c:v>
                </c:pt>
                <c:pt idx="236">
                  <c:v>2344.2288153199238</c:v>
                </c:pt>
                <c:pt idx="237">
                  <c:v>2398.8329190194918</c:v>
                </c:pt>
                <c:pt idx="238">
                  <c:v>2454.7089156850338</c:v>
                </c:pt>
                <c:pt idx="239">
                  <c:v>2511.8864315095811</c:v>
                </c:pt>
                <c:pt idx="240">
                  <c:v>2570.3957827688669</c:v>
                </c:pt>
                <c:pt idx="241">
                  <c:v>2630.2679918953822</c:v>
                </c:pt>
                <c:pt idx="242">
                  <c:v>2691.5348039269184</c:v>
                </c:pt>
                <c:pt idx="243">
                  <c:v>2754.228703338169</c:v>
                </c:pt>
                <c:pt idx="244">
                  <c:v>2818.3829312644561</c:v>
                </c:pt>
                <c:pt idx="245">
                  <c:v>2884.0315031266077</c:v>
                </c:pt>
                <c:pt idx="246">
                  <c:v>2951.2092266663876</c:v>
                </c:pt>
                <c:pt idx="247">
                  <c:v>3019.9517204020176</c:v>
                </c:pt>
                <c:pt idx="248">
                  <c:v>3090.295432513592</c:v>
                </c:pt>
                <c:pt idx="249">
                  <c:v>3162.2776601683804</c:v>
                </c:pt>
                <c:pt idx="250">
                  <c:v>3235.9365692962833</c:v>
                </c:pt>
                <c:pt idx="251">
                  <c:v>3311.3112148259115</c:v>
                </c:pt>
                <c:pt idx="252">
                  <c:v>3388.4415613920314</c:v>
                </c:pt>
                <c:pt idx="253">
                  <c:v>3467.3685045253224</c:v>
                </c:pt>
                <c:pt idx="254">
                  <c:v>3548.1338923357539</c:v>
                </c:pt>
                <c:pt idx="255">
                  <c:v>3630.7805477010188</c:v>
                </c:pt>
                <c:pt idx="256">
                  <c:v>3715.352290971724</c:v>
                </c:pt>
                <c:pt idx="257">
                  <c:v>3801.8939632056172</c:v>
                </c:pt>
                <c:pt idx="258">
                  <c:v>3890.451449942811</c:v>
                </c:pt>
                <c:pt idx="259">
                  <c:v>3981.0717055349769</c:v>
                </c:pt>
                <c:pt idx="260">
                  <c:v>4073.8027780411317</c:v>
                </c:pt>
                <c:pt idx="261">
                  <c:v>4168.6938347033583</c:v>
                </c:pt>
                <c:pt idx="262">
                  <c:v>4265.7951880159299</c:v>
                </c:pt>
                <c:pt idx="263">
                  <c:v>4365.1583224016631</c:v>
                </c:pt>
                <c:pt idx="264">
                  <c:v>4466.8359215096343</c:v>
                </c:pt>
                <c:pt idx="265">
                  <c:v>4570.8818961487532</c:v>
                </c:pt>
                <c:pt idx="266">
                  <c:v>4677.3514128719844</c:v>
                </c:pt>
                <c:pt idx="267">
                  <c:v>4786.3009232263848</c:v>
                </c:pt>
                <c:pt idx="268">
                  <c:v>4897.7881936844633</c:v>
                </c:pt>
                <c:pt idx="269">
                  <c:v>5011.8723362727324</c:v>
                </c:pt>
                <c:pt idx="270">
                  <c:v>5128.6138399136489</c:v>
                </c:pt>
                <c:pt idx="271">
                  <c:v>5248.0746024977261</c:v>
                </c:pt>
                <c:pt idx="272">
                  <c:v>5370.3179637025269</c:v>
                </c:pt>
                <c:pt idx="273">
                  <c:v>5495.4087385762541</c:v>
                </c:pt>
                <c:pt idx="274">
                  <c:v>5623.4132519034993</c:v>
                </c:pt>
                <c:pt idx="275">
                  <c:v>5754.399373371567</c:v>
                </c:pt>
                <c:pt idx="276">
                  <c:v>5888.4365535558973</c:v>
                </c:pt>
                <c:pt idx="277">
                  <c:v>6025.595860743585</c:v>
                </c:pt>
                <c:pt idx="278">
                  <c:v>6165.9500186148289</c:v>
                </c:pt>
                <c:pt idx="279">
                  <c:v>6309.5734448019384</c:v>
                </c:pt>
                <c:pt idx="280">
                  <c:v>6456.5422903465615</c:v>
                </c:pt>
                <c:pt idx="281">
                  <c:v>6606.9344800759654</c:v>
                </c:pt>
                <c:pt idx="282">
                  <c:v>6760.8297539198229</c:v>
                </c:pt>
                <c:pt idx="283">
                  <c:v>6918.3097091893687</c:v>
                </c:pt>
                <c:pt idx="284">
                  <c:v>7079.4578438413828</c:v>
                </c:pt>
                <c:pt idx="285">
                  <c:v>7244.3596007499036</c:v>
                </c:pt>
                <c:pt idx="286">
                  <c:v>7413.1024130091773</c:v>
                </c:pt>
                <c:pt idx="287">
                  <c:v>7585.7757502918394</c:v>
                </c:pt>
                <c:pt idx="288">
                  <c:v>7762.4711662869322</c:v>
                </c:pt>
                <c:pt idx="289">
                  <c:v>7943.2823472428154</c:v>
                </c:pt>
                <c:pt idx="290">
                  <c:v>8128.3051616410066</c:v>
                </c:pt>
                <c:pt idx="291">
                  <c:v>8317.6377110267094</c:v>
                </c:pt>
                <c:pt idx="292">
                  <c:v>8511.3803820237772</c:v>
                </c:pt>
                <c:pt idx="293">
                  <c:v>8709.6358995608189</c:v>
                </c:pt>
                <c:pt idx="294">
                  <c:v>8912.5093813374679</c:v>
                </c:pt>
                <c:pt idx="295">
                  <c:v>9120.1083935591087</c:v>
                </c:pt>
                <c:pt idx="296">
                  <c:v>9332.5430079699217</c:v>
                </c:pt>
                <c:pt idx="297">
                  <c:v>9549.9258602143691</c:v>
                </c:pt>
                <c:pt idx="298">
                  <c:v>9772.3722095581161</c:v>
                </c:pt>
                <c:pt idx="299">
                  <c:v>10000</c:v>
                </c:pt>
                <c:pt idx="300">
                  <c:v>10232.929922807549</c:v>
                </c:pt>
                <c:pt idx="301">
                  <c:v>10471.285480509003</c:v>
                </c:pt>
                <c:pt idx="302">
                  <c:v>10715.193052376071</c:v>
                </c:pt>
                <c:pt idx="303">
                  <c:v>10964.781961431856</c:v>
                </c:pt>
                <c:pt idx="304">
                  <c:v>11220.184543019639</c:v>
                </c:pt>
                <c:pt idx="305">
                  <c:v>11481.536214968832</c:v>
                </c:pt>
                <c:pt idx="306">
                  <c:v>11748.975549395318</c:v>
                </c:pt>
                <c:pt idx="307">
                  <c:v>12022.644346174151</c:v>
                </c:pt>
                <c:pt idx="308">
                  <c:v>12302.687708123816</c:v>
                </c:pt>
                <c:pt idx="309">
                  <c:v>12589.254117941671</c:v>
                </c:pt>
                <c:pt idx="310">
                  <c:v>12882.49551693136</c:v>
                </c:pt>
                <c:pt idx="311">
                  <c:v>13182.567385564091</c:v>
                </c:pt>
                <c:pt idx="312">
                  <c:v>13489.628825916556</c:v>
                </c:pt>
                <c:pt idx="313">
                  <c:v>13803.842646028841</c:v>
                </c:pt>
                <c:pt idx="314">
                  <c:v>14125.375446227561</c:v>
                </c:pt>
                <c:pt idx="315">
                  <c:v>14454.397707459291</c:v>
                </c:pt>
                <c:pt idx="316">
                  <c:v>14791.083881682089</c:v>
                </c:pt>
                <c:pt idx="317">
                  <c:v>15135.612484362096</c:v>
                </c:pt>
                <c:pt idx="318">
                  <c:v>15488.166189124853</c:v>
                </c:pt>
                <c:pt idx="319">
                  <c:v>15848.931924611146</c:v>
                </c:pt>
                <c:pt idx="320">
                  <c:v>16218.100973589309</c:v>
                </c:pt>
                <c:pt idx="321">
                  <c:v>16595.869074375616</c:v>
                </c:pt>
                <c:pt idx="322">
                  <c:v>16982.436524617482</c:v>
                </c:pt>
                <c:pt idx="323">
                  <c:v>17378.008287493791</c:v>
                </c:pt>
                <c:pt idx="324">
                  <c:v>17782.794100389234</c:v>
                </c:pt>
                <c:pt idx="325">
                  <c:v>18197.008586099837</c:v>
                </c:pt>
                <c:pt idx="326">
                  <c:v>18620.871366628675</c:v>
                </c:pt>
                <c:pt idx="327">
                  <c:v>19054.607179632505</c:v>
                </c:pt>
                <c:pt idx="328">
                  <c:v>19498.445997580486</c:v>
                </c:pt>
                <c:pt idx="329">
                  <c:v>19952.623149688792</c:v>
                </c:pt>
                <c:pt idx="330">
                  <c:v>20417.379446695286</c:v>
                </c:pt>
                <c:pt idx="331">
                  <c:v>20892.961308540423</c:v>
                </c:pt>
                <c:pt idx="332">
                  <c:v>21379.620895022348</c:v>
                </c:pt>
                <c:pt idx="333">
                  <c:v>21877.61623949555</c:v>
                </c:pt>
                <c:pt idx="334">
                  <c:v>22387.211385683382</c:v>
                </c:pt>
                <c:pt idx="335">
                  <c:v>22908.676527677751</c:v>
                </c:pt>
                <c:pt idx="336">
                  <c:v>23442.288153199243</c:v>
                </c:pt>
                <c:pt idx="337">
                  <c:v>23988.329190194923</c:v>
                </c:pt>
                <c:pt idx="338">
                  <c:v>24547.089156850321</c:v>
                </c:pt>
                <c:pt idx="339">
                  <c:v>25118.86431509586</c:v>
                </c:pt>
                <c:pt idx="340">
                  <c:v>25703.95782768865</c:v>
                </c:pt>
                <c:pt idx="341">
                  <c:v>26302.679918953829</c:v>
                </c:pt>
                <c:pt idx="342">
                  <c:v>26915.348039269167</c:v>
                </c:pt>
                <c:pt idx="343">
                  <c:v>27542.287033381719</c:v>
                </c:pt>
                <c:pt idx="344">
                  <c:v>28183.829312644593</c:v>
                </c:pt>
                <c:pt idx="345">
                  <c:v>28840.315031266062</c:v>
                </c:pt>
                <c:pt idx="346">
                  <c:v>29512.092266663854</c:v>
                </c:pt>
                <c:pt idx="347">
                  <c:v>30199.517204020212</c:v>
                </c:pt>
                <c:pt idx="348">
                  <c:v>30902.954325135954</c:v>
                </c:pt>
                <c:pt idx="349">
                  <c:v>31622.77660168384</c:v>
                </c:pt>
                <c:pt idx="350">
                  <c:v>32359.365692962871</c:v>
                </c:pt>
                <c:pt idx="351">
                  <c:v>33113.11214825909</c:v>
                </c:pt>
                <c:pt idx="352">
                  <c:v>33884.41561392029</c:v>
                </c:pt>
                <c:pt idx="353">
                  <c:v>34673.685045253202</c:v>
                </c:pt>
                <c:pt idx="354">
                  <c:v>35481.33892335758</c:v>
                </c:pt>
                <c:pt idx="355">
                  <c:v>36307.805477010232</c:v>
                </c:pt>
                <c:pt idx="356">
                  <c:v>37153.522909717351</c:v>
                </c:pt>
                <c:pt idx="357">
                  <c:v>38018.939632056143</c:v>
                </c:pt>
                <c:pt idx="358">
                  <c:v>38904.514499428085</c:v>
                </c:pt>
                <c:pt idx="359">
                  <c:v>39810.717055349742</c:v>
                </c:pt>
                <c:pt idx="360">
                  <c:v>40738.027780411358</c:v>
                </c:pt>
                <c:pt idx="361">
                  <c:v>41686.938347033625</c:v>
                </c:pt>
                <c:pt idx="362">
                  <c:v>42657.951880159271</c:v>
                </c:pt>
                <c:pt idx="363">
                  <c:v>43651.583224016598</c:v>
                </c:pt>
                <c:pt idx="364">
                  <c:v>44668.359215096389</c:v>
                </c:pt>
                <c:pt idx="365">
                  <c:v>45708.818961487581</c:v>
                </c:pt>
                <c:pt idx="366">
                  <c:v>46773.514128719893</c:v>
                </c:pt>
                <c:pt idx="367">
                  <c:v>47863.009232263823</c:v>
                </c:pt>
                <c:pt idx="368">
                  <c:v>48977.881936844598</c:v>
                </c:pt>
                <c:pt idx="369">
                  <c:v>50118.723362727294</c:v>
                </c:pt>
                <c:pt idx="370">
                  <c:v>51286.138399136544</c:v>
                </c:pt>
                <c:pt idx="371">
                  <c:v>52480.746024977314</c:v>
                </c:pt>
                <c:pt idx="372">
                  <c:v>53703.179637025423</c:v>
                </c:pt>
                <c:pt idx="373">
                  <c:v>54954.087385762505</c:v>
                </c:pt>
                <c:pt idx="374">
                  <c:v>56234.132519034953</c:v>
                </c:pt>
                <c:pt idx="375">
                  <c:v>57543.993733715732</c:v>
                </c:pt>
                <c:pt idx="376">
                  <c:v>58884.365535558936</c:v>
                </c:pt>
                <c:pt idx="377">
                  <c:v>60255.95860743591</c:v>
                </c:pt>
                <c:pt idx="378">
                  <c:v>61659.500186148245</c:v>
                </c:pt>
                <c:pt idx="379">
                  <c:v>63095.734448019342</c:v>
                </c:pt>
                <c:pt idx="380">
                  <c:v>64565.422903465682</c:v>
                </c:pt>
                <c:pt idx="381">
                  <c:v>66069.344800759733</c:v>
                </c:pt>
                <c:pt idx="382">
                  <c:v>67608.297539198305</c:v>
                </c:pt>
                <c:pt idx="383">
                  <c:v>69183.097091893651</c:v>
                </c:pt>
                <c:pt idx="384">
                  <c:v>70794.578438413781</c:v>
                </c:pt>
                <c:pt idx="385">
                  <c:v>72443.596007499116</c:v>
                </c:pt>
                <c:pt idx="386">
                  <c:v>74131.024130091857</c:v>
                </c:pt>
                <c:pt idx="387">
                  <c:v>75857.757502918481</c:v>
                </c:pt>
                <c:pt idx="388">
                  <c:v>77624.711662869129</c:v>
                </c:pt>
                <c:pt idx="389">
                  <c:v>79432.823472428237</c:v>
                </c:pt>
                <c:pt idx="390">
                  <c:v>81283.051616410012</c:v>
                </c:pt>
                <c:pt idx="391">
                  <c:v>83176.377110267174</c:v>
                </c:pt>
                <c:pt idx="392">
                  <c:v>85113.803820237721</c:v>
                </c:pt>
                <c:pt idx="393">
                  <c:v>87096.358995608127</c:v>
                </c:pt>
                <c:pt idx="394">
                  <c:v>89125.093813374609</c:v>
                </c:pt>
                <c:pt idx="395">
                  <c:v>91201.083935591028</c:v>
                </c:pt>
                <c:pt idx="396">
                  <c:v>93325.430079699145</c:v>
                </c:pt>
                <c:pt idx="397">
                  <c:v>95499.258602143804</c:v>
                </c:pt>
                <c:pt idx="398">
                  <c:v>97723.722095581266</c:v>
                </c:pt>
                <c:pt idx="399">
                  <c:v>100000</c:v>
                </c:pt>
                <c:pt idx="400">
                  <c:v>102329.29922807543</c:v>
                </c:pt>
                <c:pt idx="401">
                  <c:v>104712.85480508996</c:v>
                </c:pt>
                <c:pt idx="402">
                  <c:v>107151.93052376082</c:v>
                </c:pt>
                <c:pt idx="403">
                  <c:v>109647.81961431868</c:v>
                </c:pt>
                <c:pt idx="404">
                  <c:v>112201.84543019651</c:v>
                </c:pt>
                <c:pt idx="405">
                  <c:v>114815.36214968823</c:v>
                </c:pt>
                <c:pt idx="406">
                  <c:v>117489.75549395311</c:v>
                </c:pt>
                <c:pt idx="407">
                  <c:v>120226.44346174144</c:v>
                </c:pt>
                <c:pt idx="408">
                  <c:v>123026.87708123829</c:v>
                </c:pt>
                <c:pt idx="409">
                  <c:v>125892.54117941685</c:v>
                </c:pt>
                <c:pt idx="410">
                  <c:v>128824.95516931375</c:v>
                </c:pt>
                <c:pt idx="411">
                  <c:v>131825.67385564081</c:v>
                </c:pt>
                <c:pt idx="412">
                  <c:v>134896.28825916545</c:v>
                </c:pt>
                <c:pt idx="413">
                  <c:v>138038.42646028858</c:v>
                </c:pt>
                <c:pt idx="414">
                  <c:v>141253.75446227577</c:v>
                </c:pt>
                <c:pt idx="415">
                  <c:v>144543.97707459307</c:v>
                </c:pt>
                <c:pt idx="416">
                  <c:v>147910.83881682079</c:v>
                </c:pt>
                <c:pt idx="417">
                  <c:v>151356.12484362084</c:v>
                </c:pt>
                <c:pt idx="418">
                  <c:v>154881.66189124843</c:v>
                </c:pt>
                <c:pt idx="419">
                  <c:v>158489.31924611164</c:v>
                </c:pt>
                <c:pt idx="420">
                  <c:v>162181.00973589328</c:v>
                </c:pt>
                <c:pt idx="421">
                  <c:v>165958.69074375604</c:v>
                </c:pt>
                <c:pt idx="422">
                  <c:v>169824.36524617471</c:v>
                </c:pt>
                <c:pt idx="423">
                  <c:v>173780.0828749378</c:v>
                </c:pt>
                <c:pt idx="424">
                  <c:v>177827.94100389251</c:v>
                </c:pt>
                <c:pt idx="425">
                  <c:v>181970.08586099857</c:v>
                </c:pt>
                <c:pt idx="426">
                  <c:v>186208.71366628664</c:v>
                </c:pt>
                <c:pt idx="427">
                  <c:v>190546.07179632492</c:v>
                </c:pt>
                <c:pt idx="428">
                  <c:v>194984.45997580473</c:v>
                </c:pt>
                <c:pt idx="429">
                  <c:v>199526.23149688813</c:v>
                </c:pt>
                <c:pt idx="430">
                  <c:v>204173.79446695308</c:v>
                </c:pt>
                <c:pt idx="431">
                  <c:v>208929.61308540447</c:v>
                </c:pt>
                <c:pt idx="432">
                  <c:v>213796.20895022334</c:v>
                </c:pt>
                <c:pt idx="433">
                  <c:v>218776.16239495538</c:v>
                </c:pt>
                <c:pt idx="434">
                  <c:v>223872.11385683404</c:v>
                </c:pt>
                <c:pt idx="435">
                  <c:v>229086.76527677779</c:v>
                </c:pt>
                <c:pt idx="436">
                  <c:v>234422.88153199267</c:v>
                </c:pt>
                <c:pt idx="437">
                  <c:v>239883.29190194907</c:v>
                </c:pt>
                <c:pt idx="438">
                  <c:v>245470.89156850305</c:v>
                </c:pt>
                <c:pt idx="439">
                  <c:v>251188.64315095844</c:v>
                </c:pt>
                <c:pt idx="440">
                  <c:v>257039.57827688678</c:v>
                </c:pt>
                <c:pt idx="441">
                  <c:v>263026.79918953858</c:v>
                </c:pt>
                <c:pt idx="442">
                  <c:v>269153.48039269145</c:v>
                </c:pt>
                <c:pt idx="443">
                  <c:v>275422.87033381703</c:v>
                </c:pt>
                <c:pt idx="444">
                  <c:v>281838.29312644573</c:v>
                </c:pt>
                <c:pt idx="445">
                  <c:v>288403.1503126609</c:v>
                </c:pt>
                <c:pt idx="446">
                  <c:v>295120.92266663886</c:v>
                </c:pt>
                <c:pt idx="447">
                  <c:v>301995.17204020242</c:v>
                </c:pt>
                <c:pt idx="448">
                  <c:v>309029.54325135931</c:v>
                </c:pt>
                <c:pt idx="449">
                  <c:v>316227.7660168382</c:v>
                </c:pt>
                <c:pt idx="450">
                  <c:v>323593.65692962846</c:v>
                </c:pt>
                <c:pt idx="451">
                  <c:v>331131.12148259126</c:v>
                </c:pt>
                <c:pt idx="452">
                  <c:v>338844.15613920329</c:v>
                </c:pt>
                <c:pt idx="453">
                  <c:v>346736.85045253241</c:v>
                </c:pt>
                <c:pt idx="454">
                  <c:v>354813.38923357555</c:v>
                </c:pt>
                <c:pt idx="455">
                  <c:v>363078.05477010203</c:v>
                </c:pt>
                <c:pt idx="456">
                  <c:v>371535.2290971732</c:v>
                </c:pt>
                <c:pt idx="457">
                  <c:v>380189.39632056188</c:v>
                </c:pt>
                <c:pt idx="458">
                  <c:v>389045.14499428123</c:v>
                </c:pt>
                <c:pt idx="459">
                  <c:v>398107.17055349716</c:v>
                </c:pt>
                <c:pt idx="460">
                  <c:v>407380.27780411334</c:v>
                </c:pt>
                <c:pt idx="461">
                  <c:v>416869.38347033598</c:v>
                </c:pt>
                <c:pt idx="462">
                  <c:v>426579.51880159322</c:v>
                </c:pt>
                <c:pt idx="463">
                  <c:v>436515.83224016649</c:v>
                </c:pt>
                <c:pt idx="464">
                  <c:v>446683.59215096442</c:v>
                </c:pt>
                <c:pt idx="465">
                  <c:v>457088.18961487547</c:v>
                </c:pt>
                <c:pt idx="466">
                  <c:v>467735.14128719864</c:v>
                </c:pt>
                <c:pt idx="467">
                  <c:v>478630.09232263872</c:v>
                </c:pt>
                <c:pt idx="468">
                  <c:v>489778.81936844654</c:v>
                </c:pt>
                <c:pt idx="469">
                  <c:v>501187.23362727347</c:v>
                </c:pt>
                <c:pt idx="470">
                  <c:v>512861.38399136515</c:v>
                </c:pt>
                <c:pt idx="471">
                  <c:v>524807.46024977288</c:v>
                </c:pt>
                <c:pt idx="472">
                  <c:v>537031.7963702539</c:v>
                </c:pt>
                <c:pt idx="473">
                  <c:v>549540.87385762564</c:v>
                </c:pt>
                <c:pt idx="474">
                  <c:v>562341.32519035018</c:v>
                </c:pt>
                <c:pt idx="475">
                  <c:v>575439.93733715697</c:v>
                </c:pt>
                <c:pt idx="476">
                  <c:v>588843.65535558888</c:v>
                </c:pt>
                <c:pt idx="477">
                  <c:v>602559.58607435878</c:v>
                </c:pt>
                <c:pt idx="478">
                  <c:v>616595.00186148309</c:v>
                </c:pt>
                <c:pt idx="479">
                  <c:v>630957.34448019415</c:v>
                </c:pt>
                <c:pt idx="480">
                  <c:v>645654.22903465747</c:v>
                </c:pt>
                <c:pt idx="481">
                  <c:v>660693.44800759677</c:v>
                </c:pt>
                <c:pt idx="482">
                  <c:v>676082.97539198259</c:v>
                </c:pt>
                <c:pt idx="483">
                  <c:v>691830.97091893724</c:v>
                </c:pt>
                <c:pt idx="484">
                  <c:v>707945.78438413853</c:v>
                </c:pt>
                <c:pt idx="485">
                  <c:v>724435.96007499192</c:v>
                </c:pt>
                <c:pt idx="486">
                  <c:v>741310.24130091805</c:v>
                </c:pt>
                <c:pt idx="487">
                  <c:v>758577.57502918423</c:v>
                </c:pt>
                <c:pt idx="488">
                  <c:v>776247.11662869214</c:v>
                </c:pt>
                <c:pt idx="489">
                  <c:v>794328.23472428333</c:v>
                </c:pt>
                <c:pt idx="490">
                  <c:v>812830.51616410096</c:v>
                </c:pt>
                <c:pt idx="491">
                  <c:v>831763.77110267128</c:v>
                </c:pt>
                <c:pt idx="492">
                  <c:v>851138.03820237669</c:v>
                </c:pt>
                <c:pt idx="493">
                  <c:v>870963.58995608077</c:v>
                </c:pt>
                <c:pt idx="494">
                  <c:v>891250.93813374708</c:v>
                </c:pt>
                <c:pt idx="495">
                  <c:v>912010.83935591124</c:v>
                </c:pt>
                <c:pt idx="496">
                  <c:v>933254.30079699249</c:v>
                </c:pt>
                <c:pt idx="497">
                  <c:v>954992.58602143743</c:v>
                </c:pt>
                <c:pt idx="498">
                  <c:v>977237.22095581202</c:v>
                </c:pt>
                <c:pt idx="499">
                  <c:v>1000000</c:v>
                </c:pt>
                <c:pt idx="500">
                  <c:v>1023292.9922807553</c:v>
                </c:pt>
                <c:pt idx="501">
                  <c:v>1047128.5480509007</c:v>
                </c:pt>
                <c:pt idx="502">
                  <c:v>1071519.3052376076</c:v>
                </c:pt>
                <c:pt idx="503">
                  <c:v>1096478.196143186</c:v>
                </c:pt>
                <c:pt idx="504">
                  <c:v>1122018.4543019643</c:v>
                </c:pt>
                <c:pt idx="505">
                  <c:v>1148153.6214968837</c:v>
                </c:pt>
                <c:pt idx="506">
                  <c:v>1174897.5549395324</c:v>
                </c:pt>
                <c:pt idx="507">
                  <c:v>1202264.4346174158</c:v>
                </c:pt>
                <c:pt idx="508">
                  <c:v>1230268.770812382</c:v>
                </c:pt>
                <c:pt idx="509">
                  <c:v>1258925.4117941677</c:v>
                </c:pt>
                <c:pt idx="510">
                  <c:v>1288249.5516931366</c:v>
                </c:pt>
                <c:pt idx="511">
                  <c:v>1318256.7385564097</c:v>
                </c:pt>
                <c:pt idx="512">
                  <c:v>1348962.8825916562</c:v>
                </c:pt>
                <c:pt idx="513">
                  <c:v>1380384.2646028849</c:v>
                </c:pt>
                <c:pt idx="514">
                  <c:v>1412537.5446227565</c:v>
                </c:pt>
                <c:pt idx="515">
                  <c:v>1445439.7707459298</c:v>
                </c:pt>
                <c:pt idx="516">
                  <c:v>1479108.3881682095</c:v>
                </c:pt>
                <c:pt idx="517">
                  <c:v>1513561.2484362102</c:v>
                </c:pt>
                <c:pt idx="518">
                  <c:v>1548816.6189124861</c:v>
                </c:pt>
                <c:pt idx="519">
                  <c:v>1584893.1924611153</c:v>
                </c:pt>
                <c:pt idx="520">
                  <c:v>1621810.0973589318</c:v>
                </c:pt>
                <c:pt idx="521">
                  <c:v>1659586.9074375622</c:v>
                </c:pt>
                <c:pt idx="522">
                  <c:v>1698243.6524617488</c:v>
                </c:pt>
                <c:pt idx="523">
                  <c:v>1737800.8287493798</c:v>
                </c:pt>
                <c:pt idx="524">
                  <c:v>1778279.4100389241</c:v>
                </c:pt>
                <c:pt idx="525">
                  <c:v>1819700.8586099846</c:v>
                </c:pt>
                <c:pt idx="526">
                  <c:v>1862087.1366628683</c:v>
                </c:pt>
                <c:pt idx="527">
                  <c:v>1905460.7179632513</c:v>
                </c:pt>
                <c:pt idx="528">
                  <c:v>1949844.5997580495</c:v>
                </c:pt>
                <c:pt idx="529">
                  <c:v>1995262.31496888</c:v>
                </c:pt>
                <c:pt idx="530">
                  <c:v>2041737.9446695296</c:v>
                </c:pt>
                <c:pt idx="531">
                  <c:v>2089296.1308540432</c:v>
                </c:pt>
                <c:pt idx="532">
                  <c:v>2137962.0895022359</c:v>
                </c:pt>
                <c:pt idx="533">
                  <c:v>2187761.6239495561</c:v>
                </c:pt>
                <c:pt idx="534">
                  <c:v>2238721.1385683389</c:v>
                </c:pt>
                <c:pt idx="535">
                  <c:v>2290867.6527677765</c:v>
                </c:pt>
                <c:pt idx="536">
                  <c:v>2344228.8153199251</c:v>
                </c:pt>
                <c:pt idx="537">
                  <c:v>2398832.9190194933</c:v>
                </c:pt>
                <c:pt idx="538">
                  <c:v>2454708.915685033</c:v>
                </c:pt>
                <c:pt idx="539">
                  <c:v>2511886.431509587</c:v>
                </c:pt>
                <c:pt idx="540">
                  <c:v>2570395.782768866</c:v>
                </c:pt>
                <c:pt idx="541">
                  <c:v>2630267.9918953842</c:v>
                </c:pt>
              </c:numCache>
            </c:numRef>
          </c:xVal>
          <c:yVal>
            <c:numRef>
              <c:f>Loop_Modeling!$AD$19:$AD$560</c:f>
              <c:numCache>
                <c:formatCode>0.000</c:formatCode>
                <c:ptCount val="542"/>
                <c:pt idx="0">
                  <c:v>28.910968319748605</c:v>
                </c:pt>
                <c:pt idx="1">
                  <c:v>28.910764385665033</c:v>
                </c:pt>
                <c:pt idx="2">
                  <c:v>28.910550850729972</c:v>
                </c:pt>
                <c:pt idx="3">
                  <c:v>28.910327263458477</c:v>
                </c:pt>
                <c:pt idx="4">
                  <c:v>28.91009315118318</c:v>
                </c:pt>
                <c:pt idx="5">
                  <c:v>28.909848019064881</c:v>
                </c:pt>
                <c:pt idx="6">
                  <c:v>28.909591349058044</c:v>
                </c:pt>
                <c:pt idx="7">
                  <c:v>28.909322598827771</c:v>
                </c:pt>
                <c:pt idx="8">
                  <c:v>28.909041200617271</c:v>
                </c:pt>
                <c:pt idx="9">
                  <c:v>28.908746560063094</c:v>
                </c:pt>
                <c:pt idx="10">
                  <c:v>28.908438054955603</c:v>
                </c:pt>
                <c:pt idx="11">
                  <c:v>28.908115033942565</c:v>
                </c:pt>
                <c:pt idx="12">
                  <c:v>28.907776815173101</c:v>
                </c:pt>
                <c:pt idx="13">
                  <c:v>28.907422684879336</c:v>
                </c:pt>
                <c:pt idx="14">
                  <c:v>28.907051895893346</c:v>
                </c:pt>
                <c:pt idx="15">
                  <c:v>28.906663666095671</c:v>
                </c:pt>
                <c:pt idx="16">
                  <c:v>28.906257176793588</c:v>
                </c:pt>
                <c:pt idx="17">
                  <c:v>28.90583157102467</c:v>
                </c:pt>
                <c:pt idx="18">
                  <c:v>28.905385951783565</c:v>
                </c:pt>
                <c:pt idx="19">
                  <c:v>28.904919380167925</c:v>
                </c:pt>
                <c:pt idx="20">
                  <c:v>28.904430873439839</c:v>
                </c:pt>
                <c:pt idx="21">
                  <c:v>28.903919402999826</c:v>
                </c:pt>
                <c:pt idx="22">
                  <c:v>28.903383892269012</c:v>
                </c:pt>
                <c:pt idx="23">
                  <c:v>28.902823214475241</c:v>
                </c:pt>
                <c:pt idx="24">
                  <c:v>28.902236190340211</c:v>
                </c:pt>
                <c:pt idx="25">
                  <c:v>28.901621585661648</c:v>
                </c:pt>
                <c:pt idx="26">
                  <c:v>28.900978108787886</c:v>
                </c:pt>
                <c:pt idx="27">
                  <c:v>28.900304407978634</c:v>
                </c:pt>
                <c:pt idx="28">
                  <c:v>28.899599068648513</c:v>
                </c:pt>
                <c:pt idx="29">
                  <c:v>28.89886061048766</c:v>
                </c:pt>
                <c:pt idx="30">
                  <c:v>28.898087484454123</c:v>
                </c:pt>
                <c:pt idx="31">
                  <c:v>28.897278069633622</c:v>
                </c:pt>
                <c:pt idx="32">
                  <c:v>28.896430669960576</c:v>
                </c:pt>
                <c:pt idx="33">
                  <c:v>28.895543510794543</c:v>
                </c:pt>
                <c:pt idx="34">
                  <c:v>28.894614735347158</c:v>
                </c:pt>
                <c:pt idx="35">
                  <c:v>28.893642400952487</c:v>
                </c:pt>
                <c:pt idx="36">
                  <c:v>28.892624475175221</c:v>
                </c:pt>
                <c:pt idx="37">
                  <c:v>28.891558831750672</c:v>
                </c:pt>
                <c:pt idx="38">
                  <c:v>28.890443246348752</c:v>
                </c:pt>
                <c:pt idx="39">
                  <c:v>28.889275392156595</c:v>
                </c:pt>
                <c:pt idx="40">
                  <c:v>28.888052835272223</c:v>
                </c:pt>
                <c:pt idx="41">
                  <c:v>28.886773029901875</c:v>
                </c:pt>
                <c:pt idx="42">
                  <c:v>28.885433313354557</c:v>
                </c:pt>
                <c:pt idx="43">
                  <c:v>28.884030900825636</c:v>
                </c:pt>
                <c:pt idx="44">
                  <c:v>28.88256287996224</c:v>
                </c:pt>
                <c:pt idx="45">
                  <c:v>28.881026205202915</c:v>
                </c:pt>
                <c:pt idx="46">
                  <c:v>28.87941769188302</c:v>
                </c:pt>
                <c:pt idx="47">
                  <c:v>28.877734010098926</c:v>
                </c:pt>
                <c:pt idx="48">
                  <c:v>28.875971678321854</c:v>
                </c:pt>
                <c:pt idx="49">
                  <c:v>28.874127056754229</c:v>
                </c:pt>
                <c:pt idx="50">
                  <c:v>28.8721963404194</c:v>
                </c:pt>
                <c:pt idx="51">
                  <c:v>28.870175551977294</c:v>
                </c:pt>
                <c:pt idx="52">
                  <c:v>28.868060534257328</c:v>
                </c:pt>
                <c:pt idx="53">
                  <c:v>28.865846942500433</c:v>
                </c:pt>
                <c:pt idx="54">
                  <c:v>28.863530236302104</c:v>
                </c:pt>
                <c:pt idx="55">
                  <c:v>28.861105671248737</c:v>
                </c:pt>
                <c:pt idx="56">
                  <c:v>28.858568290238537</c:v>
                </c:pt>
                <c:pt idx="57">
                  <c:v>28.855912914480612</c:v>
                </c:pt>
                <c:pt idx="58">
                  <c:v>28.85313413416344</c:v>
                </c:pt>
                <c:pt idx="59">
                  <c:v>28.850226298786676</c:v>
                </c:pt>
                <c:pt idx="60">
                  <c:v>28.847183507149353</c:v>
                </c:pt>
                <c:pt idx="61">
                  <c:v>28.843999596987985</c:v>
                </c:pt>
                <c:pt idx="62">
                  <c:v>28.840668134258998</c:v>
                </c:pt>
                <c:pt idx="63">
                  <c:v>28.83718240206095</c:v>
                </c:pt>
                <c:pt idx="64">
                  <c:v>28.833535389191624</c:v>
                </c:pt>
                <c:pt idx="65">
                  <c:v>28.829719778337033</c:v>
                </c:pt>
                <c:pt idx="66">
                  <c:v>28.825727933889635</c:v>
                </c:pt>
                <c:pt idx="67">
                  <c:v>28.82155188939479</c:v>
                </c:pt>
                <c:pt idx="68">
                  <c:v>28.817183334625142</c:v>
                </c:pt>
                <c:pt idx="69">
                  <c:v>28.812613602284124</c:v>
                </c:pt>
                <c:pt idx="70">
                  <c:v>28.807833654342083</c:v>
                </c:pt>
                <c:pt idx="71">
                  <c:v>28.802834068008799</c:v>
                </c:pt>
                <c:pt idx="72">
                  <c:v>28.797605021349924</c:v>
                </c:pt>
                <c:pt idx="73">
                  <c:v>28.792136278555152</c:v>
                </c:pt>
                <c:pt idx="74">
                  <c:v>28.786417174869939</c:v>
                </c:pt>
                <c:pt idx="75">
                  <c:v>28.780436601203835</c:v>
                </c:pt>
                <c:pt idx="76">
                  <c:v>28.77418298843217</c:v>
                </c:pt>
                <c:pt idx="77">
                  <c:v>28.767644291410498</c:v>
                </c:pt>
                <c:pt idx="78">
                  <c:v>28.760807972724884</c:v>
                </c:pt>
                <c:pt idx="79">
                  <c:v>28.75366098620383</c:v>
                </c:pt>
                <c:pt idx="80">
                  <c:v>28.746189760223423</c:v>
                </c:pt>
                <c:pt idx="81">
                  <c:v>28.738380180839069</c:v>
                </c:pt>
                <c:pt idx="82">
                  <c:v>28.730217574783964</c:v>
                </c:pt>
                <c:pt idx="83">
                  <c:v>28.721686692377595</c:v>
                </c:pt>
                <c:pt idx="84">
                  <c:v>28.712771690394273</c:v>
                </c:pt>
                <c:pt idx="85">
                  <c:v>28.70345611494573</c:v>
                </c:pt>
                <c:pt idx="86">
                  <c:v>28.69372288443893</c:v>
                </c:pt>
                <c:pt idx="87">
                  <c:v>28.683554272676012</c:v>
                </c:pt>
                <c:pt idx="88">
                  <c:v>28.672931892169245</c:v>
                </c:pt>
                <c:pt idx="89">
                  <c:v>28.661836677752262</c:v>
                </c:pt>
                <c:pt idx="90">
                  <c:v>28.650248870573979</c:v>
                </c:pt>
                <c:pt idx="91">
                  <c:v>28.638148002571416</c:v>
                </c:pt>
                <c:pt idx="92">
                  <c:v>28.625512881523079</c:v>
                </c:pt>
                <c:pt idx="93">
                  <c:v>28.612321576794475</c:v>
                </c:pt>
                <c:pt idx="94">
                  <c:v>28.598551405894305</c:v>
                </c:pt>
                <c:pt idx="95">
                  <c:v>28.58417892196886</c:v>
                </c:pt>
                <c:pt idx="96">
                  <c:v>28.56917990237012</c:v>
                </c:pt>
                <c:pt idx="97">
                  <c:v>28.553529338442154</c:v>
                </c:pt>
                <c:pt idx="98">
                  <c:v>28.53720142667752</c:v>
                </c:pt>
                <c:pt idx="99">
                  <c:v>28.520169561405663</c:v>
                </c:pt>
                <c:pt idx="100">
                  <c:v>28.502406329181198</c:v>
                </c:pt>
                <c:pt idx="101">
                  <c:v>28.483883505048304</c:v>
                </c:pt>
                <c:pt idx="102">
                  <c:v>28.464572050865911</c:v>
                </c:pt>
                <c:pt idx="103">
                  <c:v>28.444442115882257</c:v>
                </c:pt>
                <c:pt idx="104">
                  <c:v>28.423463039755305</c:v>
                </c:pt>
                <c:pt idx="105">
                  <c:v>28.401603358219276</c:v>
                </c:pt>
                <c:pt idx="106">
                  <c:v>28.378830811600974</c:v>
                </c:pt>
                <c:pt idx="107">
                  <c:v>28.355112356392507</c:v>
                </c:pt>
                <c:pt idx="108">
                  <c:v>28.330414180087018</c:v>
                </c:pt>
                <c:pt idx="109">
                  <c:v>28.304701719483468</c:v>
                </c:pt>
                <c:pt idx="110">
                  <c:v>28.277939682663508</c:v>
                </c:pt>
                <c:pt idx="111">
                  <c:v>28.250092074838101</c:v>
                </c:pt>
                <c:pt idx="112">
                  <c:v>28.221122228254437</c:v>
                </c:pt>
                <c:pt idx="113">
                  <c:v>28.190992836342939</c:v>
                </c:pt>
                <c:pt idx="114">
                  <c:v>28.159665992272721</c:v>
                </c:pt>
                <c:pt idx="115">
                  <c:v>28.127103232065949</c:v>
                </c:pt>
                <c:pt idx="116">
                  <c:v>28.093265582404221</c:v>
                </c:pt>
                <c:pt idx="117">
                  <c:v>28.058113613237889</c:v>
                </c:pt>
                <c:pt idx="118">
                  <c:v>28.021607495282002</c:v>
                </c:pt>
                <c:pt idx="119">
                  <c:v>27.98370706245629</c:v>
                </c:pt>
                <c:pt idx="120">
                  <c:v>27.944371879291232</c:v>
                </c:pt>
                <c:pt idx="121">
                  <c:v>27.903561313288868</c:v>
                </c:pt>
                <c:pt idx="122">
                  <c:v>27.861234612186717</c:v>
                </c:pt>
                <c:pt idx="123">
                  <c:v>27.817350986030899</c:v>
                </c:pt>
                <c:pt idx="124">
                  <c:v>27.771869693920532</c:v>
                </c:pt>
                <c:pt idx="125">
                  <c:v>27.724750135236363</c:v>
                </c:pt>
                <c:pt idx="126">
                  <c:v>27.675951945118342</c:v>
                </c:pt>
                <c:pt idx="127">
                  <c:v>27.625435093904024</c:v>
                </c:pt>
                <c:pt idx="128">
                  <c:v>27.573159990188358</c:v>
                </c:pt>
                <c:pt idx="129">
                  <c:v>27.519087587110963</c:v>
                </c:pt>
                <c:pt idx="130">
                  <c:v>27.463179491426057</c:v>
                </c:pt>
                <c:pt idx="131">
                  <c:v>27.405398074856102</c:v>
                </c:pt>
                <c:pt idx="132">
                  <c:v>27.345706587182654</c:v>
                </c:pt>
                <c:pt idx="133">
                  <c:v>27.284069270477914</c:v>
                </c:pt>
                <c:pt idx="134">
                  <c:v>27.220451473839923</c:v>
                </c:pt>
                <c:pt idx="135">
                  <c:v>27.154819767952354</c:v>
                </c:pt>
                <c:pt idx="136">
                  <c:v>27.087142058757578</c:v>
                </c:pt>
                <c:pt idx="137">
                  <c:v>27.017387699504177</c:v>
                </c:pt>
                <c:pt idx="138">
                  <c:v>26.94552760040914</c:v>
                </c:pt>
                <c:pt idx="139">
                  <c:v>26.871534335162494</c:v>
                </c:pt>
                <c:pt idx="140">
                  <c:v>26.795382243498615</c:v>
                </c:pt>
                <c:pt idx="141">
                  <c:v>26.717047529062512</c:v>
                </c:pt>
                <c:pt idx="142">
                  <c:v>26.636508351813873</c:v>
                </c:pt>
                <c:pt idx="143">
                  <c:v>26.553744914235846</c:v>
                </c:pt>
                <c:pt idx="144">
                  <c:v>26.468739540647679</c:v>
                </c:pt>
                <c:pt idx="145">
                  <c:v>26.381476748964939</c:v>
                </c:pt>
                <c:pt idx="146">
                  <c:v>26.291943314300795</c:v>
                </c:pt>
                <c:pt idx="147">
                  <c:v>26.200128323864689</c:v>
                </c:pt>
                <c:pt idx="148">
                  <c:v>26.106023222680676</c:v>
                </c:pt>
                <c:pt idx="149">
                  <c:v>26.009621849725463</c:v>
                </c:pt>
                <c:pt idx="150">
                  <c:v>25.910920464166193</c:v>
                </c:pt>
                <c:pt idx="151">
                  <c:v>25.80991776146465</c:v>
                </c:pt>
                <c:pt idx="152">
                  <c:v>25.706614879205137</c:v>
                </c:pt>
                <c:pt idx="153">
                  <c:v>25.601015392593879</c:v>
                </c:pt>
                <c:pt idx="154">
                  <c:v>25.493125299672581</c:v>
                </c:pt>
                <c:pt idx="155">
                  <c:v>25.382952996379039</c:v>
                </c:pt>
                <c:pt idx="156">
                  <c:v>25.270509241679477</c:v>
                </c:pt>
                <c:pt idx="157">
                  <c:v>25.155807113083419</c:v>
                </c:pt>
                <c:pt idx="158">
                  <c:v>25.038861952933502</c:v>
                </c:pt>
                <c:pt idx="159">
                  <c:v>24.919691305939541</c:v>
                </c:pt>
                <c:pt idx="160">
                  <c:v>24.798314848495068</c:v>
                </c:pt>
                <c:pt idx="161">
                  <c:v>24.674754310376571</c:v>
                </c:pt>
                <c:pt idx="162">
                  <c:v>24.549033389476435</c:v>
                </c:pt>
                <c:pt idx="163">
                  <c:v>24.421177660268476</c:v>
                </c:pt>
                <c:pt idx="164">
                  <c:v>24.291214476733916</c:v>
                </c:pt>
                <c:pt idx="165">
                  <c:v>24.159172870506204</c:v>
                </c:pt>
                <c:pt idx="166">
                  <c:v>24.025083445003229</c:v>
                </c:pt>
                <c:pt idx="167">
                  <c:v>23.888978266324902</c:v>
                </c:pt>
                <c:pt idx="168">
                  <c:v>23.750890751689028</c:v>
                </c:pt>
                <c:pt idx="169">
                  <c:v>23.610855556167422</c:v>
                </c:pt>
                <c:pt idx="170">
                  <c:v>23.468908458464625</c:v>
                </c:pt>
                <c:pt idx="171">
                  <c:v>23.325086246454489</c:v>
                </c:pt>
                <c:pt idx="172">
                  <c:v>23.17942660315726</c:v>
                </c:pt>
                <c:pt idx="173">
                  <c:v>23.031967993800691</c:v>
                </c:pt>
                <c:pt idx="174">
                  <c:v>22.882749554566523</c:v>
                </c:pt>
                <c:pt idx="175">
                  <c:v>22.731810983574245</c:v>
                </c:pt>
                <c:pt idx="176">
                  <c:v>22.579192434608657</c:v>
                </c:pt>
                <c:pt idx="177">
                  <c:v>22.424934414041246</c:v>
                </c:pt>
                <c:pt idx="178">
                  <c:v>22.269077681346193</c:v>
                </c:pt>
                <c:pt idx="179">
                  <c:v>22.111663153557149</c:v>
                </c:pt>
                <c:pt idx="180">
                  <c:v>21.952731813958888</c:v>
                </c:pt>
                <c:pt idx="181">
                  <c:v>21.792324625256239</c:v>
                </c:pt>
                <c:pt idx="182">
                  <c:v>21.630482447412138</c:v>
                </c:pt>
                <c:pt idx="183">
                  <c:v>21.467245960300133</c:v>
                </c:pt>
                <c:pt idx="184">
                  <c:v>21.302655591270089</c:v>
                </c:pt>
                <c:pt idx="185">
                  <c:v>21.136751447684379</c:v>
                </c:pt>
                <c:pt idx="186">
                  <c:v>20.969573254440416</c:v>
                </c:pt>
                <c:pt idx="187">
                  <c:v>20.801160296463294</c:v>
                </c:pt>
                <c:pt idx="188">
                  <c:v>20.631551366114426</c:v>
                </c:pt>
                <c:pt idx="189">
                  <c:v>20.460784715437828</c:v>
                </c:pt>
                <c:pt idx="190">
                  <c:v>20.288898013134926</c:v>
                </c:pt>
                <c:pt idx="191">
                  <c:v>20.115928306140667</c:v>
                </c:pt>
                <c:pt idx="192">
                  <c:v>19.941911985651959</c:v>
                </c:pt>
                <c:pt idx="193">
                  <c:v>19.766884757443258</c:v>
                </c:pt>
                <c:pt idx="194">
                  <c:v>19.590881616292275</c:v>
                </c:pt>
                <c:pt idx="195">
                  <c:v>19.41393682432826</c:v>
                </c:pt>
                <c:pt idx="196">
                  <c:v>19.236083893105846</c:v>
                </c:pt>
                <c:pt idx="197">
                  <c:v>19.057355569205015</c:v>
                </c:pt>
                <c:pt idx="198">
                  <c:v>18.87778382315215</c:v>
                </c:pt>
                <c:pt idx="199">
                  <c:v>18.6973998414569</c:v>
                </c:pt>
                <c:pt idx="200">
                  <c:v>18.51623402156094</c:v>
                </c:pt>
                <c:pt idx="201">
                  <c:v>18.334315969495432</c:v>
                </c:pt>
                <c:pt idx="202">
                  <c:v>18.1516745000486</c:v>
                </c:pt>
                <c:pt idx="203">
                  <c:v>17.968337639248958</c:v>
                </c:pt>
                <c:pt idx="204">
                  <c:v>17.784332628975864</c:v>
                </c:pt>
                <c:pt idx="205">
                  <c:v>17.599685933515126</c:v>
                </c:pt>
                <c:pt idx="206">
                  <c:v>17.414423247884617</c:v>
                </c:pt>
                <c:pt idx="207">
                  <c:v>17.228569507762394</c:v>
                </c:pt>
                <c:pt idx="208">
                  <c:v>17.042148900858827</c:v>
                </c:pt>
                <c:pt idx="209">
                  <c:v>16.855184879580705</c:v>
                </c:pt>
                <c:pt idx="210">
                  <c:v>16.667700174845471</c:v>
                </c:pt>
                <c:pt idx="211">
                  <c:v>16.479716810911484</c:v>
                </c:pt>
                <c:pt idx="212">
                  <c:v>16.291256121098694</c:v>
                </c:pt>
                <c:pt idx="213">
                  <c:v>16.102338764283154</c:v>
                </c:pt>
                <c:pt idx="214">
                  <c:v>15.912984742056127</c:v>
                </c:pt>
                <c:pt idx="215">
                  <c:v>15.72321341644771</c:v>
                </c:pt>
                <c:pt idx="216">
                  <c:v>15.533043528122343</c:v>
                </c:pt>
                <c:pt idx="217">
                  <c:v>15.342493214960848</c:v>
                </c:pt>
                <c:pt idx="218">
                  <c:v>15.151580030951591</c:v>
                </c:pt>
                <c:pt idx="219">
                  <c:v>14.960320965320417</c:v>
                </c:pt>
                <c:pt idx="220">
                  <c:v>14.76873246183499</c:v>
                </c:pt>
                <c:pt idx="221">
                  <c:v>14.576830438226047</c:v>
                </c:pt>
                <c:pt idx="222">
                  <c:v>14.384630305675032</c:v>
                </c:pt>
                <c:pt idx="223">
                  <c:v>14.192146988320619</c:v>
                </c:pt>
                <c:pt idx="224">
                  <c:v>13.999394942745811</c:v>
                </c:pt>
                <c:pt idx="225">
                  <c:v>13.806388177408502</c:v>
                </c:pt>
                <c:pt idx="226">
                  <c:v>13.613140271985571</c:v>
                </c:pt>
                <c:pt idx="227">
                  <c:v>13.419664396604823</c:v>
                </c:pt>
                <c:pt idx="228">
                  <c:v>13.225973330941601</c:v>
                </c:pt>
                <c:pt idx="229">
                  <c:v>13.032079483161922</c:v>
                </c:pt>
                <c:pt idx="230">
                  <c:v>12.837994908697981</c:v>
                </c:pt>
                <c:pt idx="231">
                  <c:v>12.643731328843122</c:v>
                </c:pt>
                <c:pt idx="232">
                  <c:v>12.449300149158919</c:v>
                </c:pt>
                <c:pt idx="233">
                  <c:v>12.254712477686727</c:v>
                </c:pt>
                <c:pt idx="234">
                  <c:v>12.059979142961922</c:v>
                </c:pt>
                <c:pt idx="235">
                  <c:v>11.865110711828164</c:v>
                </c:pt>
                <c:pt idx="236">
                  <c:v>11.670117507052799</c:v>
                </c:pt>
                <c:pt idx="237">
                  <c:v>11.475009624746413</c:v>
                </c:pt>
                <c:pt idx="238">
                  <c:v>11.279796951590049</c:v>
                </c:pt>
                <c:pt idx="239">
                  <c:v>11.084489181876018</c:v>
                </c:pt>
                <c:pt idx="240">
                  <c:v>10.889095834369723</c:v>
                </c:pt>
                <c:pt idx="241">
                  <c:v>10.69362626899923</c:v>
                </c:pt>
                <c:pt idx="242">
                  <c:v>10.498089703383142</c:v>
                </c:pt>
                <c:pt idx="243">
                  <c:v>10.302495229205732</c:v>
                </c:pt>
                <c:pt idx="244">
                  <c:v>10.106851828449813</c:v>
                </c:pt>
                <c:pt idx="245">
                  <c:v>9.9111683894988793</c:v>
                </c:pt>
                <c:pt idx="246">
                  <c:v>9.7154537231195821</c:v>
                </c:pt>
                <c:pt idx="247">
                  <c:v>9.5197165783364763</c:v>
                </c:pt>
                <c:pt idx="248">
                  <c:v>9.3239656582111223</c:v>
                </c:pt>
                <c:pt idx="249">
                  <c:v>9.1282096355368907</c:v>
                </c:pt>
                <c:pt idx="250">
                  <c:v>8.9324571684623031</c:v>
                </c:pt>
                <c:pt idx="251">
                  <c:v>8.7367169160535436</c:v>
                </c:pt>
                <c:pt idx="252">
                  <c:v>8.540997553808614</c:v>
                </c:pt>
                <c:pt idx="253">
                  <c:v>8.3453077891330061</c:v>
                </c:pt>
                <c:pt idx="254">
                  <c:v>8.1496563767877035</c:v>
                </c:pt>
                <c:pt idx="255">
                  <c:v>7.9540521343195456</c:v>
                </c:pt>
                <c:pt idx="256">
                  <c:v>7.7585039574824908</c:v>
                </c:pt>
                <c:pt idx="257">
                  <c:v>7.5630208356566957</c:v>
                </c:pt>
                <c:pt idx="258">
                  <c:v>7.3676118672747712</c:v>
                </c:pt>
                <c:pt idx="259">
                  <c:v>7.172286275257477</c:v>
                </c:pt>
                <c:pt idx="260">
                  <c:v>6.9770534224653193</c:v>
                </c:pt>
                <c:pt idx="261">
                  <c:v>6.781922827168354</c:v>
                </c:pt>
                <c:pt idx="262">
                  <c:v>6.5869041785335378</c:v>
                </c:pt>
                <c:pt idx="263">
                  <c:v>6.3920073521306664</c:v>
                </c:pt>
                <c:pt idx="264">
                  <c:v>6.1972424254516403</c:v>
                </c:pt>
                <c:pt idx="265">
                  <c:v>6.0026196934395362</c:v>
                </c:pt>
                <c:pt idx="266">
                  <c:v>5.8081496840173985</c:v>
                </c:pt>
                <c:pt idx="267">
                  <c:v>5.6138431736078855</c:v>
                </c:pt>
                <c:pt idx="268">
                  <c:v>5.4197112026289309</c:v>
                </c:pt>
                <c:pt idx="269">
                  <c:v>5.2257650909480899</c:v>
                </c:pt>
                <c:pt idx="270">
                  <c:v>5.0320164532764897</c:v>
                </c:pt>
                <c:pt idx="271">
                  <c:v>4.8384772144769386</c:v>
                </c:pt>
                <c:pt idx="272">
                  <c:v>4.6451596247583353</c:v>
                </c:pt>
                <c:pt idx="273">
                  <c:v>4.4520762747236828</c:v>
                </c:pt>
                <c:pt idx="274">
                  <c:v>4.259240110235142</c:v>
                </c:pt>
                <c:pt idx="275">
                  <c:v>4.0666644470524895</c:v>
                </c:pt>
                <c:pt idx="276">
                  <c:v>3.8743629851995638</c:v>
                </c:pt>
                <c:pt idx="277">
                  <c:v>3.6823498230041514</c:v>
                </c:pt>
                <c:pt idx="278">
                  <c:v>3.4906394707530626</c:v>
                </c:pt>
                <c:pt idx="279">
                  <c:v>3.2992468638973564</c:v>
                </c:pt>
                <c:pt idx="280">
                  <c:v>3.1081873757363647</c:v>
                </c:pt>
                <c:pt idx="281">
                  <c:v>2.9174768295016555</c:v>
                </c:pt>
                <c:pt idx="282">
                  <c:v>2.7271315097556914</c:v>
                </c:pt>
                <c:pt idx="283">
                  <c:v>2.537168173012315</c:v>
                </c:pt>
                <c:pt idx="284">
                  <c:v>2.3476040574785646</c:v>
                </c:pt>
                <c:pt idx="285">
                  <c:v>2.1584568918093119</c:v>
                </c:pt>
                <c:pt idx="286">
                  <c:v>1.9697449027583278</c:v>
                </c:pt>
                <c:pt idx="287">
                  <c:v>1.7814868216013011</c:v>
                </c:pt>
                <c:pt idx="288">
                  <c:v>1.5937018891980392</c:v>
                </c:pt>
                <c:pt idx="289">
                  <c:v>1.4064098595524641</c:v>
                </c:pt>
                <c:pt idx="290">
                  <c:v>1.2196310017216043</c:v>
                </c:pt>
                <c:pt idx="291">
                  <c:v>1.0333860999161146</c:v>
                </c:pt>
                <c:pt idx="292">
                  <c:v>0.84769645162741325</c:v>
                </c:pt>
                <c:pt idx="293">
                  <c:v>0.66258386360863575</c:v>
                </c:pt>
                <c:pt idx="294">
                  <c:v>0.47807064553121148</c:v>
                </c:pt>
                <c:pt idx="295">
                  <c:v>0.29417960113008729</c:v>
                </c:pt>
                <c:pt idx="296">
                  <c:v>0.11093401664792919</c:v>
                </c:pt>
                <c:pt idx="297">
                  <c:v>-7.1642353617916932E-2</c:v>
                </c:pt>
                <c:pt idx="298">
                  <c:v>-0.25352530486390484</c:v>
                </c:pt>
                <c:pt idx="299">
                  <c:v>-0.4346902026256857</c:v>
                </c:pt>
                <c:pt idx="300">
                  <c:v>-0.61511200712087033</c:v>
                </c:pt>
                <c:pt idx="301">
                  <c:v>-0.79476530128978706</c:v>
                </c:pt>
                <c:pt idx="302">
                  <c:v>-0.97362432273040911</c:v>
                </c:pt>
                <c:pt idx="303">
                  <c:v>-1.1516629997191143</c:v>
                </c:pt>
                <c:pt idx="304">
                  <c:v>-1.3288549915003187</c:v>
                </c:pt>
                <c:pt idx="305">
                  <c:v>-1.5051737330177937</c:v>
                </c:pt>
                <c:pt idx="306">
                  <c:v>-1.6805924842474158</c:v>
                </c:pt>
                <c:pt idx="307">
                  <c:v>-1.8550843842737876</c:v>
                </c:pt>
                <c:pt idx="308">
                  <c:v>-2.0286225102341646</c:v>
                </c:pt>
                <c:pt idx="309">
                  <c:v>-2.2011799412296655</c:v>
                </c:pt>
                <c:pt idx="310">
                  <c:v>-2.3727298272767423</c:v>
                </c:pt>
                <c:pt idx="311">
                  <c:v>-2.5432454633417523</c:v>
                </c:pt>
                <c:pt idx="312">
                  <c:v>-2.712700368467353</c:v>
                </c:pt>
                <c:pt idx="313">
                  <c:v>-2.881068369960845</c:v>
                </c:pt>
                <c:pt idx="314">
                  <c:v>-3.0483236925739305</c:v>
                </c:pt>
                <c:pt idx="315">
                  <c:v>-3.2144410525569702</c:v>
                </c:pt>
                <c:pt idx="316">
                  <c:v>-3.3793957564233561</c:v>
                </c:pt>
                <c:pt idx="317">
                  <c:v>-3.5431638042068618</c:v>
                </c:pt>
                <c:pt idx="318">
                  <c:v>-3.7057219969404276</c:v>
                </c:pt>
                <c:pt idx="319">
                  <c:v>-3.8670480480285336</c:v>
                </c:pt>
                <c:pt idx="320">
                  <c:v>-4.0271206981251968</c:v>
                </c:pt>
                <c:pt idx="321">
                  <c:v>-4.1859198330706171</c:v>
                </c:pt>
                <c:pt idx="322">
                  <c:v>-4.3434266043778562</c:v>
                </c:pt>
                <c:pt idx="323">
                  <c:v>-4.4996235517010073</c:v>
                </c:pt>
                <c:pt idx="324">
                  <c:v>-4.6544947266565568</c:v>
                </c:pt>
                <c:pt idx="325">
                  <c:v>-4.8080258173105994</c:v>
                </c:pt>
                <c:pt idx="326">
                  <c:v>-4.9602042725917403</c:v>
                </c:pt>
                <c:pt idx="327">
                  <c:v>-5.1110194258369104</c:v>
                </c:pt>
                <c:pt idx="328">
                  <c:v>-5.260462616630516</c:v>
                </c:pt>
                <c:pt idx="329">
                  <c:v>-5.4085273100580933</c:v>
                </c:pt>
                <c:pt idx="330">
                  <c:v>-5.5552092124595784</c:v>
                </c:pt>
                <c:pt idx="331">
                  <c:v>-5.700506382742951</c:v>
                </c:pt>
                <c:pt idx="332">
                  <c:v>-5.844419338298672</c:v>
                </c:pt>
                <c:pt idx="333">
                  <c:v>-5.9869511545489216</c:v>
                </c:pt>
                <c:pt idx="334">
                  <c:v>-6.1281075571636281</c:v>
                </c:pt>
                <c:pt idx="335">
                  <c:v>-6.2678970059895924</c:v>
                </c:pt>
                <c:pt idx="336">
                  <c:v>-6.4063307697575862</c:v>
                </c:pt>
                <c:pt idx="337">
                  <c:v>-6.5434229906682742</c:v>
                </c:pt>
                <c:pt idx="338">
                  <c:v>-6.6791907379984661</c:v>
                </c:pt>
                <c:pt idx="339">
                  <c:v>-6.8136540499246276</c:v>
                </c:pt>
                <c:pt idx="340">
                  <c:v>-6.9468359628253715</c:v>
                </c:pt>
                <c:pt idx="341">
                  <c:v>-7.0787625273985153</c:v>
                </c:pt>
                <c:pt idx="342">
                  <c:v>-7.2094628110108596</c:v>
                </c:pt>
                <c:pt idx="343">
                  <c:v>-7.3389688857922373</c:v>
                </c:pt>
                <c:pt idx="344">
                  <c:v>-7.467315802082739</c:v>
                </c:pt>
                <c:pt idx="345">
                  <c:v>-7.5945415469473554</c:v>
                </c:pt>
                <c:pt idx="346">
                  <c:v>-7.7206869875832211</c:v>
                </c:pt>
                <c:pt idx="347">
                  <c:v>-7.8457957995564627</c:v>
                </c:pt>
                <c:pt idx="348">
                  <c:v>-7.9699143799237238</c:v>
                </c:pt>
                <c:pt idx="349">
                  <c:v>-8.0930917454087883</c:v>
                </c:pt>
                <c:pt idx="350">
                  <c:v>-8.2153794159222429</c:v>
                </c:pt>
                <c:pt idx="351">
                  <c:v>-8.3368312838276477</c:v>
                </c:pt>
                <c:pt idx="352">
                  <c:v>-8.4575034694686799</c:v>
                </c:pt>
                <c:pt idx="353">
                  <c:v>-8.5774541635826349</c:v>
                </c:pt>
                <c:pt idx="354">
                  <c:v>-8.6967434573254803</c:v>
                </c:pt>
                <c:pt idx="355">
                  <c:v>-8.8154331607357346</c:v>
                </c:pt>
                <c:pt idx="356">
                  <c:v>-8.9335866105503552</c:v>
                </c:pt>
                <c:pt idx="357">
                  <c:v>-9.0512684683735944</c:v>
                </c:pt>
                <c:pt idx="358">
                  <c:v>-9.168544510269955</c:v>
                </c:pt>
                <c:pt idx="359">
                  <c:v>-9.2854814089227098</c:v>
                </c:pt>
                <c:pt idx="360">
                  <c:v>-9.402146509554294</c:v>
                </c:pt>
                <c:pt idx="361">
                  <c:v>-9.5186076008521088</c:v>
                </c:pt>
                <c:pt idx="362">
                  <c:v>-9.6349326821823631</c:v>
                </c:pt>
                <c:pt idx="363">
                  <c:v>-9.7511897284003108</c:v>
                </c:pt>
                <c:pt idx="364">
                  <c:v>-9.8674464535852451</c:v>
                </c:pt>
                <c:pt idx="365">
                  <c:v>-9.9837700750324387</c:v>
                </c:pt>
                <c:pt idx="366">
                  <c:v>-10.100227078835237</c:v>
                </c:pt>
                <c:pt idx="367">
                  <c:v>-10.216882988372291</c:v>
                </c:pt>
                <c:pt idx="368">
                  <c:v>-10.333802136998177</c:v>
                </c:pt>
                <c:pt idx="369">
                  <c:v>-10.451047446194208</c:v>
                </c:pt>
                <c:pt idx="370">
                  <c:v>-10.568680210399712</c:v>
                </c:pt>
                <c:pt idx="371">
                  <c:v>-10.686759889688487</c:v>
                </c:pt>
                <c:pt idx="372">
                  <c:v>-10.805343911391896</c:v>
                </c:pt>
                <c:pt idx="373">
                  <c:v>-10.924487481701723</c:v>
                </c:pt>
                <c:pt idx="374">
                  <c:v>-11.044243408206185</c:v>
                </c:pt>
                <c:pt idx="375">
                  <c:v>-11.164661934223775</c:v>
                </c:pt>
                <c:pt idx="376">
                  <c:v>-11.285790585708888</c:v>
                </c:pt>
                <c:pt idx="377">
                  <c:v>-11.407674031402628</c:v>
                </c:pt>
                <c:pt idx="378">
                  <c:v>-11.530353956795592</c:v>
                </c:pt>
                <c:pt idx="379">
                  <c:v>-11.653868952363652</c:v>
                </c:pt>
                <c:pt idx="380">
                  <c:v>-11.778254416423984</c:v>
                </c:pt>
                <c:pt idx="381">
                  <c:v>-11.903542472845119</c:v>
                </c:pt>
                <c:pt idx="382">
                  <c:v>-12.029761903732698</c:v>
                </c:pt>
                <c:pt idx="383">
                  <c:v>-12.156938097097553</c:v>
                </c:pt>
                <c:pt idx="384">
                  <c:v>-12.285093009403379</c:v>
                </c:pt>
                <c:pt idx="385">
                  <c:v>-12.414245142783521</c:v>
                </c:pt>
                <c:pt idx="386">
                  <c:v>-12.544409536614403</c:v>
                </c:pt>
                <c:pt idx="387">
                  <c:v>-12.675597773037264</c:v>
                </c:pt>
                <c:pt idx="388">
                  <c:v>-12.807817995929515</c:v>
                </c:pt>
                <c:pt idx="389">
                  <c:v>-12.941074942748545</c:v>
                </c:pt>
                <c:pt idx="390">
                  <c:v>-13.07536998859754</c:v>
                </c:pt>
                <c:pt idx="391">
                  <c:v>-13.210701201802028</c:v>
                </c:pt>
                <c:pt idx="392">
                  <c:v>-13.347063410234776</c:v>
                </c:pt>
                <c:pt idx="393">
                  <c:v>-13.484448277586651</c:v>
                </c:pt>
                <c:pt idx="394">
                  <c:v>-13.622844388750524</c:v>
                </c:pt>
                <c:pt idx="395">
                  <c:v>-13.76223734347036</c:v>
                </c:pt>
                <c:pt idx="396">
                  <c:v>-13.902609857396076</c:v>
                </c:pt>
                <c:pt idx="397">
                  <c:v>-14.043941869692544</c:v>
                </c:pt>
                <c:pt idx="398">
                  <c:v>-14.186210656362348</c:v>
                </c:pt>
                <c:pt idx="399">
                  <c:v>-14.329390948464585</c:v>
                </c:pt>
                <c:pt idx="400">
                  <c:v>-14.473455054445852</c:v>
                </c:pt>
                <c:pt idx="401">
                  <c:v>-14.618372985836585</c:v>
                </c:pt>
                <c:pt idx="402">
                  <c:v>-14.764112585614079</c:v>
                </c:pt>
                <c:pt idx="403">
                  <c:v>-14.910639658585275</c:v>
                </c:pt>
                <c:pt idx="404">
                  <c:v>-15.05791810319759</c:v>
                </c:pt>
                <c:pt idx="405">
                  <c:v>-15.205910044249308</c:v>
                </c:pt>
                <c:pt idx="406">
                  <c:v>-15.354575966032282</c:v>
                </c:pt>
                <c:pt idx="407">
                  <c:v>-15.503874845503361</c:v>
                </c:pt>
                <c:pt idx="408">
                  <c:v>-15.653764285148203</c:v>
                </c:pt>
                <c:pt idx="409">
                  <c:v>-15.804200645262835</c:v>
                </c:pt>
                <c:pt idx="410">
                  <c:v>-15.955139175441877</c:v>
                </c:pt>
                <c:pt idx="411">
                  <c:v>-16.106534145122431</c:v>
                </c:pt>
                <c:pt idx="412">
                  <c:v>-16.258338973089593</c:v>
                </c:pt>
                <c:pt idx="413">
                  <c:v>-16.410506355899589</c:v>
                </c:pt>
                <c:pt idx="414">
                  <c:v>-16.562988395229791</c:v>
                </c:pt>
                <c:pt idx="415">
                  <c:v>-16.71573672420061</c:v>
                </c:pt>
                <c:pt idx="416">
                  <c:v>-16.868702632756644</c:v>
                </c:pt>
                <c:pt idx="417">
                  <c:v>-17.021837192221664</c:v>
                </c:pt>
                <c:pt idx="418">
                  <c:v>-17.175091379166506</c:v>
                </c:pt>
                <c:pt idx="419">
                  <c:v>-17.328416198746162</c:v>
                </c:pt>
                <c:pt idx="420">
                  <c:v>-17.481762807673007</c:v>
                </c:pt>
                <c:pt idx="421">
                  <c:v>-17.635082636992387</c:v>
                </c:pt>
                <c:pt idx="422">
                  <c:v>-17.788327514827007</c:v>
                </c:pt>
                <c:pt idx="423">
                  <c:v>-17.941449789241069</c:v>
                </c:pt>
                <c:pt idx="424">
                  <c:v>-18.094402451356931</c:v>
                </c:pt>
                <c:pt idx="425">
                  <c:v>-18.247139258832963</c:v>
                </c:pt>
                <c:pt idx="426">
                  <c:v>-18.399614859777202</c:v>
                </c:pt>
                <c:pt idx="427">
                  <c:v>-18.551784917133087</c:v>
                </c:pt>
                <c:pt idx="428">
                  <c:v>-18.703606233529463</c:v>
                </c:pt>
                <c:pt idx="429">
                  <c:v>-18.85503687653771</c:v>
                </c:pt>
                <c:pt idx="430">
                  <c:v>-19.00603630422308</c:v>
                </c:pt>
                <c:pt idx="431">
                  <c:v>-19.156565490820274</c:v>
                </c:pt>
                <c:pt idx="432">
                  <c:v>-19.306587052300006</c:v>
                </c:pt>
                <c:pt idx="433">
                  <c:v>-19.456065371532098</c:v>
                </c:pt>
                <c:pt idx="434">
                  <c:v>-19.604966722680214</c:v>
                </c:pt>
                <c:pt idx="435">
                  <c:v>-19.753259394403287</c:v>
                </c:pt>
                <c:pt idx="436">
                  <c:v>-19.9009138113679</c:v>
                </c:pt>
                <c:pt idx="437">
                  <c:v>-20.047902653515678</c:v>
                </c:pt>
                <c:pt idx="438">
                  <c:v>-20.194200972467542</c:v>
                </c:pt>
                <c:pt idx="439">
                  <c:v>-20.339786304389605</c:v>
                </c:pt>
                <c:pt idx="440">
                  <c:v>-20.484638778594892</c:v>
                </c:pt>
                <c:pt idx="441">
                  <c:v>-20.628741221109106</c:v>
                </c:pt>
                <c:pt idx="442">
                  <c:v>-20.772079252391073</c:v>
                </c:pt>
                <c:pt idx="443">
                  <c:v>-20.914641378369755</c:v>
                </c:pt>
                <c:pt idx="444">
                  <c:v>-21.056419073940035</c:v>
                </c:pt>
                <c:pt idx="445">
                  <c:v>-21.19740685804981</c:v>
                </c:pt>
                <c:pt idx="446">
                  <c:v>-21.337602359514353</c:v>
                </c:pt>
                <c:pt idx="447">
                  <c:v>-21.477006372706143</c:v>
                </c:pt>
                <c:pt idx="448">
                  <c:v>-21.615622902295904</c:v>
                </c:pt>
                <c:pt idx="449">
                  <c:v>-21.753459196257815</c:v>
                </c:pt>
                <c:pt idx="450">
                  <c:v>-21.89052576640437</c:v>
                </c:pt>
                <c:pt idx="451">
                  <c:v>-22.026836395778055</c:v>
                </c:pt>
                <c:pt idx="452">
                  <c:v>-22.162408132303391</c:v>
                </c:pt>
                <c:pt idx="453">
                  <c:v>-22.297261268188567</c:v>
                </c:pt>
                <c:pt idx="454">
                  <c:v>-22.431419304664189</c:v>
                </c:pt>
                <c:pt idx="455">
                  <c:v>-22.564908901751629</c:v>
                </c:pt>
                <c:pt idx="456">
                  <c:v>-22.697759812868867</c:v>
                </c:pt>
                <c:pt idx="457">
                  <c:v>-22.830004804205075</c:v>
                </c:pt>
                <c:pt idx="458">
                  <c:v>-22.961679558919723</c:v>
                </c:pt>
                <c:pt idx="459">
                  <c:v>-23.092822566355011</c:v>
                </c:pt>
                <c:pt idx="460">
                  <c:v>-23.223474996584315</c:v>
                </c:pt>
                <c:pt idx="461">
                  <c:v>-23.353680560751002</c:v>
                </c:pt>
                <c:pt idx="462">
                  <c:v>-23.483485357787146</c:v>
                </c:pt>
                <c:pt idx="463">
                  <c:v>-23.612937708228024</c:v>
                </c:pt>
                <c:pt idx="464">
                  <c:v>-23.742087975967642</c:v>
                </c:pt>
                <c:pt idx="465">
                  <c:v>-23.87098837891271</c:v>
                </c:pt>
                <c:pt idx="466">
                  <c:v>-23.999692789608474</c:v>
                </c:pt>
                <c:pt idx="467">
                  <c:v>-24.128256527006236</c:v>
                </c:pt>
                <c:pt idx="468">
                  <c:v>-24.256736140634803</c:v>
                </c:pt>
                <c:pt idx="469">
                  <c:v>-24.385189188515007</c:v>
                </c:pt>
                <c:pt idx="470">
                  <c:v>-24.513674010221159</c:v>
                </c:pt>
                <c:pt idx="471">
                  <c:v>-24.642249496543052</c:v>
                </c:pt>
                <c:pt idx="472">
                  <c:v>-24.770974857241718</c:v>
                </c:pt>
                <c:pt idx="473">
                  <c:v>-24.899909388408446</c:v>
                </c:pt>
                <c:pt idx="474">
                  <c:v>-25.02911224094678</c:v>
                </c:pt>
                <c:pt idx="475">
                  <c:v>-25.158642191683661</c:v>
                </c:pt>
                <c:pt idx="476">
                  <c:v>-25.288557418594564</c:v>
                </c:pt>
                <c:pt idx="477">
                  <c:v>-25.418915281582848</c:v>
                </c:pt>
                <c:pt idx="478">
                  <c:v>-25.549772110203492</c:v>
                </c:pt>
                <c:pt idx="479">
                  <c:v>-25.68118299964814</c:v>
                </c:pt>
                <c:pt idx="480">
                  <c:v>-25.813201616231044</c:v>
                </c:pt>
                <c:pt idx="481">
                  <c:v>-25.945880013517232</c:v>
                </c:pt>
                <c:pt idx="482">
                  <c:v>-26.079268460134628</c:v>
                </c:pt>
                <c:pt idx="483">
                  <c:v>-26.213415280192955</c:v>
                </c:pt>
                <c:pt idx="484">
                  <c:v>-26.348366707114906</c:v>
                </c:pt>
                <c:pt idx="485">
                  <c:v>-26.484166751552788</c:v>
                </c:pt>
                <c:pt idx="486">
                  <c:v>-26.620857083933878</c:v>
                </c:pt>
                <c:pt idx="487">
                  <c:v>-26.758476932040182</c:v>
                </c:pt>
                <c:pt idx="488">
                  <c:v>-26.897062993889548</c:v>
                </c:pt>
                <c:pt idx="489">
                  <c:v>-27.036649366052256</c:v>
                </c:pt>
                <c:pt idx="490">
                  <c:v>-27.177267487397387</c:v>
                </c:pt>
                <c:pt idx="491">
                  <c:v>-27.31894609813677</c:v>
                </c:pt>
                <c:pt idx="492">
                  <c:v>-27.461711213905417</c:v>
                </c:pt>
                <c:pt idx="493">
                  <c:v>-27.605586114501264</c:v>
                </c:pt>
                <c:pt idx="494">
                  <c:v>-27.75059134679552</c:v>
                </c:pt>
                <c:pt idx="495">
                  <c:v>-27.896744741223131</c:v>
                </c:pt>
                <c:pt idx="496">
                  <c:v>-28.04406144117489</c:v>
                </c:pt>
                <c:pt idx="497">
                  <c:v>-28.192553944528164</c:v>
                </c:pt>
                <c:pt idx="498">
                  <c:v>-28.342232156491932</c:v>
                </c:pt>
                <c:pt idx="499">
                  <c:v>-28.493103452878849</c:v>
                </c:pt>
                <c:pt idx="500">
                  <c:v>-28.645172752879212</c:v>
                </c:pt>
                <c:pt idx="501">
                  <c:v>-28.79844260037585</c:v>
                </c:pt>
                <c:pt idx="502">
                  <c:v>-28.952913252822867</c:v>
                </c:pt>
                <c:pt idx="503">
                  <c:v>-29.108582776699606</c:v>
                </c:pt>
                <c:pt idx="504">
                  <c:v>-29.265447148556767</c:v>
                </c:pt>
                <c:pt idx="505">
                  <c:v>-29.423500360682937</c:v>
                </c:pt>
                <c:pt idx="506">
                  <c:v>-29.582734530443279</c:v>
                </c:pt>
                <c:pt idx="507">
                  <c:v>-29.743140012371548</c:v>
                </c:pt>
                <c:pt idx="508">
                  <c:v>-29.90470551213679</c:v>
                </c:pt>
                <c:pt idx="509">
                  <c:v>-30.067418201548808</c:v>
                </c:pt>
                <c:pt idx="510">
                  <c:v>-30.231263833818307</c:v>
                </c:pt>
                <c:pt idx="511">
                  <c:v>-30.396226858339798</c:v>
                </c:pt>
                <c:pt idx="512">
                  <c:v>-30.562290534326394</c:v>
                </c:pt>
                <c:pt idx="513">
                  <c:v>-30.729437042681145</c:v>
                </c:pt>
                <c:pt idx="514">
                  <c:v>-30.897647595554197</c:v>
                </c:pt>
                <c:pt idx="515">
                  <c:v>-31.066902543095331</c:v>
                </c:pt>
                <c:pt idx="516">
                  <c:v>-31.237181476972061</c:v>
                </c:pt>
                <c:pt idx="517">
                  <c:v>-31.408463330284739</c:v>
                </c:pt>
                <c:pt idx="518">
                  <c:v>-31.58072647356741</c:v>
                </c:pt>
                <c:pt idx="519">
                  <c:v>-31.753948806620286</c:v>
                </c:pt>
                <c:pt idx="520">
                  <c:v>-31.928107845971887</c:v>
                </c:pt>
                <c:pt idx="521">
                  <c:v>-32.103180807820088</c:v>
                </c:pt>
                <c:pt idx="522">
                  <c:v>-32.279144686347692</c:v>
                </c:pt>
                <c:pt idx="523">
                  <c:v>-32.455976327351493</c:v>
                </c:pt>
                <c:pt idx="524">
                  <c:v>-32.633652497163951</c:v>
                </c:pt>
                <c:pt idx="525">
                  <c:v>-32.812149946881433</c:v>
                </c:pt>
                <c:pt idx="526">
                  <c:v>-32.991445471945518</c:v>
                </c:pt>
                <c:pt idx="527">
                  <c:v>-33.171515967152928</c:v>
                </c:pt>
                <c:pt idx="528">
                  <c:v>-33.352338477193307</c:v>
                </c:pt>
                <c:pt idx="529">
                  <c:v>-33.5338902428363</c:v>
                </c:pt>
                <c:pt idx="530">
                  <c:v>-33.716148742905865</c:v>
                </c:pt>
                <c:pt idx="531">
                  <c:v>-33.899091732197434</c:v>
                </c:pt>
                <c:pt idx="532">
                  <c:v>-34.082697275501545</c:v>
                </c:pt>
                <c:pt idx="533">
                  <c:v>-34.266943777911422</c:v>
                </c:pt>
                <c:pt idx="534">
                  <c:v>-34.45181001159397</c:v>
                </c:pt>
                <c:pt idx="535">
                  <c:v>-34.637275139212093</c:v>
                </c:pt>
                <c:pt idx="536">
                  <c:v>-34.823318734186458</c:v>
                </c:pt>
                <c:pt idx="537">
                  <c:v>-35.009920797986581</c:v>
                </c:pt>
                <c:pt idx="538">
                  <c:v>-35.197061774640197</c:v>
                </c:pt>
                <c:pt idx="539">
                  <c:v>-35.384722562645898</c:v>
                </c:pt>
                <c:pt idx="540">
                  <c:v>-35.572884524473551</c:v>
                </c:pt>
                <c:pt idx="541">
                  <c:v>-35.761529493830807</c:v>
                </c:pt>
              </c:numCache>
            </c:numRef>
          </c:yVal>
          <c:smooth val="1"/>
          <c:extLst>
            <c:ext xmlns:c16="http://schemas.microsoft.com/office/drawing/2014/chart" uri="{C3380CC4-5D6E-409C-BE32-E72D297353CC}">
              <c16:uniqueId val="{00000000-69E5-488F-8178-EA81D5C894E7}"/>
            </c:ext>
          </c:extLst>
        </c:ser>
        <c:dLbls>
          <c:showLegendKey val="0"/>
          <c:showVal val="0"/>
          <c:showCatName val="0"/>
          <c:showSerName val="0"/>
          <c:showPercent val="0"/>
          <c:showBubbleSize val="0"/>
        </c:dLbls>
        <c:axId val="555231872"/>
        <c:axId val="555234048"/>
      </c:scatterChart>
      <c:scatterChart>
        <c:scatterStyle val="smoothMarker"/>
        <c:varyColors val="0"/>
        <c:ser>
          <c:idx val="1"/>
          <c:order val="1"/>
          <c:tx>
            <c:v>Phase (deg)</c:v>
          </c:tx>
          <c:marker>
            <c:symbol val="none"/>
          </c:marker>
          <c:xVal>
            <c:numRef>
              <c:f>Loop_Modeling!$O$19:$O$560</c:f>
              <c:numCache>
                <c:formatCode>0.00</c:formatCode>
                <c:ptCount val="542"/>
                <c:pt idx="0">
                  <c:v>10.232929922807543</c:v>
                </c:pt>
                <c:pt idx="1">
                  <c:v>10.471285480509</c:v>
                </c:pt>
                <c:pt idx="2">
                  <c:v>10.715193052376069</c:v>
                </c:pt>
                <c:pt idx="3">
                  <c:v>10.964781961431854</c:v>
                </c:pt>
                <c:pt idx="4">
                  <c:v>11.220184543019636</c:v>
                </c:pt>
                <c:pt idx="5">
                  <c:v>11.481536214968834</c:v>
                </c:pt>
                <c:pt idx="6">
                  <c:v>11.748975549395301</c:v>
                </c:pt>
                <c:pt idx="7">
                  <c:v>12.022644346174133</c:v>
                </c:pt>
                <c:pt idx="8">
                  <c:v>12.302687708123818</c:v>
                </c:pt>
                <c:pt idx="9">
                  <c:v>12.58925411794168</c:v>
                </c:pt>
                <c:pt idx="10">
                  <c:v>12.882495516931346</c:v>
                </c:pt>
                <c:pt idx="11">
                  <c:v>13.182567385564075</c:v>
                </c:pt>
                <c:pt idx="12">
                  <c:v>13.489628825916535</c:v>
                </c:pt>
                <c:pt idx="13">
                  <c:v>13.803842646028857</c:v>
                </c:pt>
                <c:pt idx="14">
                  <c:v>14.125375446227544</c:v>
                </c:pt>
                <c:pt idx="15">
                  <c:v>14.454397707459275</c:v>
                </c:pt>
                <c:pt idx="16">
                  <c:v>14.791083881682074</c:v>
                </c:pt>
                <c:pt idx="17">
                  <c:v>15.135612484362087</c:v>
                </c:pt>
                <c:pt idx="18">
                  <c:v>15.488166189124817</c:v>
                </c:pt>
                <c:pt idx="19">
                  <c:v>15.848931924611136</c:v>
                </c:pt>
                <c:pt idx="20">
                  <c:v>16.218100973589298</c:v>
                </c:pt>
                <c:pt idx="21">
                  <c:v>16.595869074375614</c:v>
                </c:pt>
                <c:pt idx="22">
                  <c:v>16.982436524617448</c:v>
                </c:pt>
                <c:pt idx="23">
                  <c:v>17.378008287493756</c:v>
                </c:pt>
                <c:pt idx="24">
                  <c:v>17.782794100389236</c:v>
                </c:pt>
                <c:pt idx="25">
                  <c:v>18.197008586099841</c:v>
                </c:pt>
                <c:pt idx="26">
                  <c:v>18.62087136662868</c:v>
                </c:pt>
                <c:pt idx="27">
                  <c:v>19.054607179632477</c:v>
                </c:pt>
                <c:pt idx="28">
                  <c:v>19.498445997580465</c:v>
                </c:pt>
                <c:pt idx="29">
                  <c:v>19.952623149688804</c:v>
                </c:pt>
                <c:pt idx="30">
                  <c:v>20.4173794466953</c:v>
                </c:pt>
                <c:pt idx="31">
                  <c:v>20.8929613085404</c:v>
                </c:pt>
                <c:pt idx="32">
                  <c:v>21.379620895022335</c:v>
                </c:pt>
                <c:pt idx="33">
                  <c:v>21.877616239495538</c:v>
                </c:pt>
                <c:pt idx="34">
                  <c:v>22.387211385683404</c:v>
                </c:pt>
                <c:pt idx="35">
                  <c:v>22.908676527677727</c:v>
                </c:pt>
                <c:pt idx="36">
                  <c:v>23.442288153199236</c:v>
                </c:pt>
                <c:pt idx="37">
                  <c:v>23.988329190194907</c:v>
                </c:pt>
                <c:pt idx="38">
                  <c:v>24.547089156850316</c:v>
                </c:pt>
                <c:pt idx="39">
                  <c:v>25.118864315095799</c:v>
                </c:pt>
                <c:pt idx="40">
                  <c:v>25.703957827688647</c:v>
                </c:pt>
                <c:pt idx="41">
                  <c:v>26.302679918953825</c:v>
                </c:pt>
                <c:pt idx="42">
                  <c:v>26.915348039269158</c:v>
                </c:pt>
                <c:pt idx="43">
                  <c:v>27.542287033381665</c:v>
                </c:pt>
                <c:pt idx="44">
                  <c:v>28.183829312644548</c:v>
                </c:pt>
                <c:pt idx="45">
                  <c:v>28.840315031266066</c:v>
                </c:pt>
                <c:pt idx="46">
                  <c:v>29.512092266663863</c:v>
                </c:pt>
                <c:pt idx="47">
                  <c:v>30.199517204020164</c:v>
                </c:pt>
                <c:pt idx="48">
                  <c:v>30.902954325135919</c:v>
                </c:pt>
                <c:pt idx="49">
                  <c:v>31.622776601683803</c:v>
                </c:pt>
                <c:pt idx="50">
                  <c:v>32.359365692962832</c:v>
                </c:pt>
                <c:pt idx="51">
                  <c:v>33.113112148259127</c:v>
                </c:pt>
                <c:pt idx="52">
                  <c:v>33.884415613920268</c:v>
                </c:pt>
                <c:pt idx="53">
                  <c:v>34.67368504525318</c:v>
                </c:pt>
                <c:pt idx="54">
                  <c:v>35.481338923357555</c:v>
                </c:pt>
                <c:pt idx="55">
                  <c:v>36.307805477010156</c:v>
                </c:pt>
                <c:pt idx="56">
                  <c:v>37.15352290971726</c:v>
                </c:pt>
                <c:pt idx="57">
                  <c:v>38.018939632056139</c:v>
                </c:pt>
                <c:pt idx="58">
                  <c:v>38.904514499428053</c:v>
                </c:pt>
                <c:pt idx="59">
                  <c:v>39.810717055349755</c:v>
                </c:pt>
                <c:pt idx="60">
                  <c:v>40.738027780411279</c:v>
                </c:pt>
                <c:pt idx="61">
                  <c:v>41.686938347033561</c:v>
                </c:pt>
                <c:pt idx="62">
                  <c:v>42.657951880159267</c:v>
                </c:pt>
                <c:pt idx="63">
                  <c:v>43.651583224016633</c:v>
                </c:pt>
                <c:pt idx="64">
                  <c:v>44.668359215096324</c:v>
                </c:pt>
                <c:pt idx="65">
                  <c:v>45.70881896148753</c:v>
                </c:pt>
                <c:pt idx="66">
                  <c:v>46.773514128719818</c:v>
                </c:pt>
                <c:pt idx="67">
                  <c:v>47.863009232263877</c:v>
                </c:pt>
                <c:pt idx="68">
                  <c:v>48.977881936844632</c:v>
                </c:pt>
                <c:pt idx="69">
                  <c:v>50.118723362727238</c:v>
                </c:pt>
                <c:pt idx="70">
                  <c:v>51.28613839913649</c:v>
                </c:pt>
                <c:pt idx="71">
                  <c:v>52.480746024977286</c:v>
                </c:pt>
                <c:pt idx="72">
                  <c:v>53.703179637025293</c:v>
                </c:pt>
                <c:pt idx="73">
                  <c:v>54.95408738576247</c:v>
                </c:pt>
                <c:pt idx="74">
                  <c:v>56.234132519034915</c:v>
                </c:pt>
                <c:pt idx="75">
                  <c:v>57.543993733715695</c:v>
                </c:pt>
                <c:pt idx="76">
                  <c:v>58.884365535558949</c:v>
                </c:pt>
                <c:pt idx="77">
                  <c:v>60.255958607435822</c:v>
                </c:pt>
                <c:pt idx="78">
                  <c:v>61.659500186148257</c:v>
                </c:pt>
                <c:pt idx="79">
                  <c:v>63.095734448019364</c:v>
                </c:pt>
                <c:pt idx="80">
                  <c:v>64.565422903465588</c:v>
                </c:pt>
                <c:pt idx="81">
                  <c:v>66.069344800759623</c:v>
                </c:pt>
                <c:pt idx="82">
                  <c:v>67.60829753919819</c:v>
                </c:pt>
                <c:pt idx="83">
                  <c:v>69.183097091893657</c:v>
                </c:pt>
                <c:pt idx="84">
                  <c:v>70.794578438413865</c:v>
                </c:pt>
                <c:pt idx="85">
                  <c:v>72.443596007499011</c:v>
                </c:pt>
                <c:pt idx="86">
                  <c:v>74.131024130091816</c:v>
                </c:pt>
                <c:pt idx="87">
                  <c:v>75.857757502918361</c:v>
                </c:pt>
                <c:pt idx="88">
                  <c:v>77.624711662869217</c:v>
                </c:pt>
                <c:pt idx="89">
                  <c:v>79.432823472428197</c:v>
                </c:pt>
                <c:pt idx="90">
                  <c:v>81.283051616409963</c:v>
                </c:pt>
                <c:pt idx="91">
                  <c:v>83.176377110267126</c:v>
                </c:pt>
                <c:pt idx="92">
                  <c:v>85.113803820237734</c:v>
                </c:pt>
                <c:pt idx="93">
                  <c:v>87.096358995608071</c:v>
                </c:pt>
                <c:pt idx="94">
                  <c:v>89.125093813374562</c:v>
                </c:pt>
                <c:pt idx="95">
                  <c:v>91.201083935590972</c:v>
                </c:pt>
                <c:pt idx="96">
                  <c:v>93.325430079699174</c:v>
                </c:pt>
                <c:pt idx="97">
                  <c:v>95.499258602143655</c:v>
                </c:pt>
                <c:pt idx="98">
                  <c:v>97.723722095581124</c:v>
                </c:pt>
                <c:pt idx="99">
                  <c:v>100</c:v>
                </c:pt>
                <c:pt idx="100">
                  <c:v>102.32929922807544</c:v>
                </c:pt>
                <c:pt idx="101">
                  <c:v>104.71285480508998</c:v>
                </c:pt>
                <c:pt idx="102">
                  <c:v>107.15193052376065</c:v>
                </c:pt>
                <c:pt idx="103">
                  <c:v>109.64781961431861</c:v>
                </c:pt>
                <c:pt idx="104">
                  <c:v>112.20184543019634</c:v>
                </c:pt>
                <c:pt idx="105">
                  <c:v>114.81536214968835</c:v>
                </c:pt>
                <c:pt idx="106">
                  <c:v>117.48975549395293</c:v>
                </c:pt>
                <c:pt idx="107">
                  <c:v>120.22644346174135</c:v>
                </c:pt>
                <c:pt idx="108">
                  <c:v>123.02687708123821</c:v>
                </c:pt>
                <c:pt idx="109">
                  <c:v>125.89254117941677</c:v>
                </c:pt>
                <c:pt idx="110">
                  <c:v>128.82495516931343</c:v>
                </c:pt>
                <c:pt idx="111">
                  <c:v>131.82567385564084</c:v>
                </c:pt>
                <c:pt idx="112">
                  <c:v>134.89628825916537</c:v>
                </c:pt>
                <c:pt idx="113">
                  <c:v>138.0384264602886</c:v>
                </c:pt>
                <c:pt idx="114">
                  <c:v>141.25375446227542</c:v>
                </c:pt>
                <c:pt idx="115">
                  <c:v>144.54397707459285</c:v>
                </c:pt>
                <c:pt idx="116">
                  <c:v>147.91083881682084</c:v>
                </c:pt>
                <c:pt idx="117">
                  <c:v>151.3561248436209</c:v>
                </c:pt>
                <c:pt idx="118">
                  <c:v>154.8816618912482</c:v>
                </c:pt>
                <c:pt idx="119">
                  <c:v>158.48931924611153</c:v>
                </c:pt>
                <c:pt idx="120">
                  <c:v>162.18100973589304</c:v>
                </c:pt>
                <c:pt idx="121">
                  <c:v>165.95869074375622</c:v>
                </c:pt>
                <c:pt idx="122">
                  <c:v>169.82436524617444</c:v>
                </c:pt>
                <c:pt idx="123">
                  <c:v>173.78008287493768</c:v>
                </c:pt>
                <c:pt idx="124">
                  <c:v>177.82794100389242</c:v>
                </c:pt>
                <c:pt idx="125">
                  <c:v>181.9700858609983</c:v>
                </c:pt>
                <c:pt idx="126">
                  <c:v>186.20871366628685</c:v>
                </c:pt>
                <c:pt idx="127">
                  <c:v>190.54607179632498</c:v>
                </c:pt>
                <c:pt idx="128">
                  <c:v>194.98445997580458</c:v>
                </c:pt>
                <c:pt idx="129">
                  <c:v>199.52623149688802</c:v>
                </c:pt>
                <c:pt idx="130">
                  <c:v>204.17379446695315</c:v>
                </c:pt>
                <c:pt idx="131">
                  <c:v>208.92961308540396</c:v>
                </c:pt>
                <c:pt idx="132">
                  <c:v>213.79620895022339</c:v>
                </c:pt>
                <c:pt idx="133">
                  <c:v>218.77616239495524</c:v>
                </c:pt>
                <c:pt idx="134">
                  <c:v>223.87211385683412</c:v>
                </c:pt>
                <c:pt idx="135">
                  <c:v>229.08676527677744</c:v>
                </c:pt>
                <c:pt idx="136">
                  <c:v>234.42288153199232</c:v>
                </c:pt>
                <c:pt idx="137">
                  <c:v>239.88329190194912</c:v>
                </c:pt>
                <c:pt idx="138">
                  <c:v>245.4708915685033</c:v>
                </c:pt>
                <c:pt idx="139">
                  <c:v>251.18864315095806</c:v>
                </c:pt>
                <c:pt idx="140">
                  <c:v>257.03957827688663</c:v>
                </c:pt>
                <c:pt idx="141">
                  <c:v>263.02679918953817</c:v>
                </c:pt>
                <c:pt idx="142">
                  <c:v>269.15348039269179</c:v>
                </c:pt>
                <c:pt idx="143">
                  <c:v>275.42287033381683</c:v>
                </c:pt>
                <c:pt idx="144">
                  <c:v>281.83829312644554</c:v>
                </c:pt>
                <c:pt idx="145">
                  <c:v>288.40315031266073</c:v>
                </c:pt>
                <c:pt idx="146">
                  <c:v>295.12092266663871</c:v>
                </c:pt>
                <c:pt idx="147">
                  <c:v>301.99517204020168</c:v>
                </c:pt>
                <c:pt idx="148">
                  <c:v>309.02954325135937</c:v>
                </c:pt>
                <c:pt idx="149">
                  <c:v>316.22776601683825</c:v>
                </c:pt>
                <c:pt idx="150">
                  <c:v>323.59365692962825</c:v>
                </c:pt>
                <c:pt idx="151">
                  <c:v>331.13112148259137</c:v>
                </c:pt>
                <c:pt idx="152">
                  <c:v>338.84415613920277</c:v>
                </c:pt>
                <c:pt idx="153">
                  <c:v>346.73685045253183</c:v>
                </c:pt>
                <c:pt idx="154">
                  <c:v>354.81338923357566</c:v>
                </c:pt>
                <c:pt idx="155">
                  <c:v>363.07805477010152</c:v>
                </c:pt>
                <c:pt idx="156">
                  <c:v>371.53522909717265</c:v>
                </c:pt>
                <c:pt idx="157">
                  <c:v>380.18939632056163</c:v>
                </c:pt>
                <c:pt idx="158">
                  <c:v>389.04514499428063</c:v>
                </c:pt>
                <c:pt idx="159">
                  <c:v>398.10717055349761</c:v>
                </c:pt>
                <c:pt idx="160">
                  <c:v>407.38027780411272</c:v>
                </c:pt>
                <c:pt idx="161">
                  <c:v>416.86938347033572</c:v>
                </c:pt>
                <c:pt idx="162">
                  <c:v>426.57951880159294</c:v>
                </c:pt>
                <c:pt idx="163">
                  <c:v>436.51583224016622</c:v>
                </c:pt>
                <c:pt idx="164">
                  <c:v>446.68359215096331</c:v>
                </c:pt>
                <c:pt idx="165">
                  <c:v>457.0881896148756</c:v>
                </c:pt>
                <c:pt idx="166">
                  <c:v>467.7351412871983</c:v>
                </c:pt>
                <c:pt idx="167">
                  <c:v>478.63009232263886</c:v>
                </c:pt>
                <c:pt idx="168">
                  <c:v>489.77881936844625</c:v>
                </c:pt>
                <c:pt idx="169">
                  <c:v>501.18723362727269</c:v>
                </c:pt>
                <c:pt idx="170">
                  <c:v>512.86138399136519</c:v>
                </c:pt>
                <c:pt idx="171">
                  <c:v>524.80746024977248</c:v>
                </c:pt>
                <c:pt idx="172">
                  <c:v>537.03179637025301</c:v>
                </c:pt>
                <c:pt idx="173">
                  <c:v>549.54087385762534</c:v>
                </c:pt>
                <c:pt idx="174">
                  <c:v>562.34132519034927</c:v>
                </c:pt>
                <c:pt idx="175">
                  <c:v>575.43993733715706</c:v>
                </c:pt>
                <c:pt idx="176">
                  <c:v>588.84365535558959</c:v>
                </c:pt>
                <c:pt idx="177">
                  <c:v>602.55958607435832</c:v>
                </c:pt>
                <c:pt idx="178">
                  <c:v>616.59500186148273</c:v>
                </c:pt>
                <c:pt idx="179">
                  <c:v>630.95734448019323</c:v>
                </c:pt>
                <c:pt idx="180">
                  <c:v>645.65422903465594</c:v>
                </c:pt>
                <c:pt idx="181">
                  <c:v>660.69344800759643</c:v>
                </c:pt>
                <c:pt idx="182">
                  <c:v>676.08297539198213</c:v>
                </c:pt>
                <c:pt idx="183">
                  <c:v>691.83097091893671</c:v>
                </c:pt>
                <c:pt idx="184">
                  <c:v>707.94578438413873</c:v>
                </c:pt>
                <c:pt idx="185">
                  <c:v>724.43596007499025</c:v>
                </c:pt>
                <c:pt idx="186">
                  <c:v>741.31024130091828</c:v>
                </c:pt>
                <c:pt idx="187">
                  <c:v>758.57757502918378</c:v>
                </c:pt>
                <c:pt idx="188">
                  <c:v>776.24711662869231</c:v>
                </c:pt>
                <c:pt idx="189">
                  <c:v>794.32823472428208</c:v>
                </c:pt>
                <c:pt idx="190">
                  <c:v>812.83051616409978</c:v>
                </c:pt>
                <c:pt idx="191">
                  <c:v>831.7637711026714</c:v>
                </c:pt>
                <c:pt idx="192">
                  <c:v>851.13803820237763</c:v>
                </c:pt>
                <c:pt idx="193">
                  <c:v>870.96358995608091</c:v>
                </c:pt>
                <c:pt idx="194">
                  <c:v>891.25093813374656</c:v>
                </c:pt>
                <c:pt idx="195">
                  <c:v>912.01083935590987</c:v>
                </c:pt>
                <c:pt idx="196">
                  <c:v>933.25430079699106</c:v>
                </c:pt>
                <c:pt idx="197">
                  <c:v>954.99258602143675</c:v>
                </c:pt>
                <c:pt idx="198">
                  <c:v>977.23722095581138</c:v>
                </c:pt>
                <c:pt idx="199">
                  <c:v>1000</c:v>
                </c:pt>
                <c:pt idx="200">
                  <c:v>1023.2929922807547</c:v>
                </c:pt>
                <c:pt idx="201">
                  <c:v>1047.1285480509</c:v>
                </c:pt>
                <c:pt idx="202">
                  <c:v>1071.5193052376069</c:v>
                </c:pt>
                <c:pt idx="203">
                  <c:v>1096.4781961431863</c:v>
                </c:pt>
                <c:pt idx="204">
                  <c:v>1122.0184543019636</c:v>
                </c:pt>
                <c:pt idx="205">
                  <c:v>1148.1536214968839</c:v>
                </c:pt>
                <c:pt idx="206">
                  <c:v>1174.8975549395295</c:v>
                </c:pt>
                <c:pt idx="207">
                  <c:v>1202.2644346174138</c:v>
                </c:pt>
                <c:pt idx="208">
                  <c:v>1230.2687708123824</c:v>
                </c:pt>
                <c:pt idx="209">
                  <c:v>1258.925411794168</c:v>
                </c:pt>
                <c:pt idx="210">
                  <c:v>1288.2495516931347</c:v>
                </c:pt>
                <c:pt idx="211">
                  <c:v>1318.2567385564089</c:v>
                </c:pt>
                <c:pt idx="212">
                  <c:v>1348.9628825916541</c:v>
                </c:pt>
                <c:pt idx="213">
                  <c:v>1380.3842646028863</c:v>
                </c:pt>
                <c:pt idx="214">
                  <c:v>1412.5375446227545</c:v>
                </c:pt>
                <c:pt idx="215">
                  <c:v>1445.4397707459289</c:v>
                </c:pt>
                <c:pt idx="216">
                  <c:v>1479.1083881682086</c:v>
                </c:pt>
                <c:pt idx="217">
                  <c:v>1513.5612484362093</c:v>
                </c:pt>
                <c:pt idx="218">
                  <c:v>1548.8166189124822</c:v>
                </c:pt>
                <c:pt idx="219">
                  <c:v>1584.8931924611156</c:v>
                </c:pt>
                <c:pt idx="220">
                  <c:v>1621.8100973589308</c:v>
                </c:pt>
                <c:pt idx="221">
                  <c:v>1659.5869074375626</c:v>
                </c:pt>
                <c:pt idx="222">
                  <c:v>1698.2436524617447</c:v>
                </c:pt>
                <c:pt idx="223">
                  <c:v>1737.8008287493772</c:v>
                </c:pt>
                <c:pt idx="224">
                  <c:v>1778.2794100389244</c:v>
                </c:pt>
                <c:pt idx="225">
                  <c:v>1819.7008586099832</c:v>
                </c:pt>
                <c:pt idx="226">
                  <c:v>1862.0871366628687</c:v>
                </c:pt>
                <c:pt idx="227">
                  <c:v>1905.4607179632501</c:v>
                </c:pt>
                <c:pt idx="228">
                  <c:v>1949.8445997580463</c:v>
                </c:pt>
                <c:pt idx="229">
                  <c:v>1995.2623149688804</c:v>
                </c:pt>
                <c:pt idx="230">
                  <c:v>2041.7379446695318</c:v>
                </c:pt>
                <c:pt idx="231">
                  <c:v>2089.2961308540398</c:v>
                </c:pt>
                <c:pt idx="232">
                  <c:v>2137.9620895022344</c:v>
                </c:pt>
                <c:pt idx="233">
                  <c:v>2187.7616239495528</c:v>
                </c:pt>
                <c:pt idx="234">
                  <c:v>2238.7211385683418</c:v>
                </c:pt>
                <c:pt idx="235">
                  <c:v>2290.8676527677749</c:v>
                </c:pt>
                <c:pt idx="236">
                  <c:v>2344.2288153199238</c:v>
                </c:pt>
                <c:pt idx="237">
                  <c:v>2398.8329190194918</c:v>
                </c:pt>
                <c:pt idx="238">
                  <c:v>2454.7089156850338</c:v>
                </c:pt>
                <c:pt idx="239">
                  <c:v>2511.8864315095811</c:v>
                </c:pt>
                <c:pt idx="240">
                  <c:v>2570.3957827688669</c:v>
                </c:pt>
                <c:pt idx="241">
                  <c:v>2630.2679918953822</c:v>
                </c:pt>
                <c:pt idx="242">
                  <c:v>2691.5348039269184</c:v>
                </c:pt>
                <c:pt idx="243">
                  <c:v>2754.228703338169</c:v>
                </c:pt>
                <c:pt idx="244">
                  <c:v>2818.3829312644561</c:v>
                </c:pt>
                <c:pt idx="245">
                  <c:v>2884.0315031266077</c:v>
                </c:pt>
                <c:pt idx="246">
                  <c:v>2951.2092266663876</c:v>
                </c:pt>
                <c:pt idx="247">
                  <c:v>3019.9517204020176</c:v>
                </c:pt>
                <c:pt idx="248">
                  <c:v>3090.295432513592</c:v>
                </c:pt>
                <c:pt idx="249">
                  <c:v>3162.2776601683804</c:v>
                </c:pt>
                <c:pt idx="250">
                  <c:v>3235.9365692962833</c:v>
                </c:pt>
                <c:pt idx="251">
                  <c:v>3311.3112148259115</c:v>
                </c:pt>
                <c:pt idx="252">
                  <c:v>3388.4415613920314</c:v>
                </c:pt>
                <c:pt idx="253">
                  <c:v>3467.3685045253224</c:v>
                </c:pt>
                <c:pt idx="254">
                  <c:v>3548.1338923357539</c:v>
                </c:pt>
                <c:pt idx="255">
                  <c:v>3630.7805477010188</c:v>
                </c:pt>
                <c:pt idx="256">
                  <c:v>3715.352290971724</c:v>
                </c:pt>
                <c:pt idx="257">
                  <c:v>3801.8939632056172</c:v>
                </c:pt>
                <c:pt idx="258">
                  <c:v>3890.451449942811</c:v>
                </c:pt>
                <c:pt idx="259">
                  <c:v>3981.0717055349769</c:v>
                </c:pt>
                <c:pt idx="260">
                  <c:v>4073.8027780411317</c:v>
                </c:pt>
                <c:pt idx="261">
                  <c:v>4168.6938347033583</c:v>
                </c:pt>
                <c:pt idx="262">
                  <c:v>4265.7951880159299</c:v>
                </c:pt>
                <c:pt idx="263">
                  <c:v>4365.1583224016631</c:v>
                </c:pt>
                <c:pt idx="264">
                  <c:v>4466.8359215096343</c:v>
                </c:pt>
                <c:pt idx="265">
                  <c:v>4570.8818961487532</c:v>
                </c:pt>
                <c:pt idx="266">
                  <c:v>4677.3514128719844</c:v>
                </c:pt>
                <c:pt idx="267">
                  <c:v>4786.3009232263848</c:v>
                </c:pt>
                <c:pt idx="268">
                  <c:v>4897.7881936844633</c:v>
                </c:pt>
                <c:pt idx="269">
                  <c:v>5011.8723362727324</c:v>
                </c:pt>
                <c:pt idx="270">
                  <c:v>5128.6138399136489</c:v>
                </c:pt>
                <c:pt idx="271">
                  <c:v>5248.0746024977261</c:v>
                </c:pt>
                <c:pt idx="272">
                  <c:v>5370.3179637025269</c:v>
                </c:pt>
                <c:pt idx="273">
                  <c:v>5495.4087385762541</c:v>
                </c:pt>
                <c:pt idx="274">
                  <c:v>5623.4132519034993</c:v>
                </c:pt>
                <c:pt idx="275">
                  <c:v>5754.399373371567</c:v>
                </c:pt>
                <c:pt idx="276">
                  <c:v>5888.4365535558973</c:v>
                </c:pt>
                <c:pt idx="277">
                  <c:v>6025.595860743585</c:v>
                </c:pt>
                <c:pt idx="278">
                  <c:v>6165.9500186148289</c:v>
                </c:pt>
                <c:pt idx="279">
                  <c:v>6309.5734448019384</c:v>
                </c:pt>
                <c:pt idx="280">
                  <c:v>6456.5422903465615</c:v>
                </c:pt>
                <c:pt idx="281">
                  <c:v>6606.9344800759654</c:v>
                </c:pt>
                <c:pt idx="282">
                  <c:v>6760.8297539198229</c:v>
                </c:pt>
                <c:pt idx="283">
                  <c:v>6918.3097091893687</c:v>
                </c:pt>
                <c:pt idx="284">
                  <c:v>7079.4578438413828</c:v>
                </c:pt>
                <c:pt idx="285">
                  <c:v>7244.3596007499036</c:v>
                </c:pt>
                <c:pt idx="286">
                  <c:v>7413.1024130091773</c:v>
                </c:pt>
                <c:pt idx="287">
                  <c:v>7585.7757502918394</c:v>
                </c:pt>
                <c:pt idx="288">
                  <c:v>7762.4711662869322</c:v>
                </c:pt>
                <c:pt idx="289">
                  <c:v>7943.2823472428154</c:v>
                </c:pt>
                <c:pt idx="290">
                  <c:v>8128.3051616410066</c:v>
                </c:pt>
                <c:pt idx="291">
                  <c:v>8317.6377110267094</c:v>
                </c:pt>
                <c:pt idx="292">
                  <c:v>8511.3803820237772</c:v>
                </c:pt>
                <c:pt idx="293">
                  <c:v>8709.6358995608189</c:v>
                </c:pt>
                <c:pt idx="294">
                  <c:v>8912.5093813374679</c:v>
                </c:pt>
                <c:pt idx="295">
                  <c:v>9120.1083935591087</c:v>
                </c:pt>
                <c:pt idx="296">
                  <c:v>9332.5430079699217</c:v>
                </c:pt>
                <c:pt idx="297">
                  <c:v>9549.9258602143691</c:v>
                </c:pt>
                <c:pt idx="298">
                  <c:v>9772.3722095581161</c:v>
                </c:pt>
                <c:pt idx="299">
                  <c:v>10000</c:v>
                </c:pt>
                <c:pt idx="300">
                  <c:v>10232.929922807549</c:v>
                </c:pt>
                <c:pt idx="301">
                  <c:v>10471.285480509003</c:v>
                </c:pt>
                <c:pt idx="302">
                  <c:v>10715.193052376071</c:v>
                </c:pt>
                <c:pt idx="303">
                  <c:v>10964.781961431856</c:v>
                </c:pt>
                <c:pt idx="304">
                  <c:v>11220.184543019639</c:v>
                </c:pt>
                <c:pt idx="305">
                  <c:v>11481.536214968832</c:v>
                </c:pt>
                <c:pt idx="306">
                  <c:v>11748.975549395318</c:v>
                </c:pt>
                <c:pt idx="307">
                  <c:v>12022.644346174151</c:v>
                </c:pt>
                <c:pt idx="308">
                  <c:v>12302.687708123816</c:v>
                </c:pt>
                <c:pt idx="309">
                  <c:v>12589.254117941671</c:v>
                </c:pt>
                <c:pt idx="310">
                  <c:v>12882.49551693136</c:v>
                </c:pt>
                <c:pt idx="311">
                  <c:v>13182.567385564091</c:v>
                </c:pt>
                <c:pt idx="312">
                  <c:v>13489.628825916556</c:v>
                </c:pt>
                <c:pt idx="313">
                  <c:v>13803.842646028841</c:v>
                </c:pt>
                <c:pt idx="314">
                  <c:v>14125.375446227561</c:v>
                </c:pt>
                <c:pt idx="315">
                  <c:v>14454.397707459291</c:v>
                </c:pt>
                <c:pt idx="316">
                  <c:v>14791.083881682089</c:v>
                </c:pt>
                <c:pt idx="317">
                  <c:v>15135.612484362096</c:v>
                </c:pt>
                <c:pt idx="318">
                  <c:v>15488.166189124853</c:v>
                </c:pt>
                <c:pt idx="319">
                  <c:v>15848.931924611146</c:v>
                </c:pt>
                <c:pt idx="320">
                  <c:v>16218.100973589309</c:v>
                </c:pt>
                <c:pt idx="321">
                  <c:v>16595.869074375616</c:v>
                </c:pt>
                <c:pt idx="322">
                  <c:v>16982.436524617482</c:v>
                </c:pt>
                <c:pt idx="323">
                  <c:v>17378.008287493791</c:v>
                </c:pt>
                <c:pt idx="324">
                  <c:v>17782.794100389234</c:v>
                </c:pt>
                <c:pt idx="325">
                  <c:v>18197.008586099837</c:v>
                </c:pt>
                <c:pt idx="326">
                  <c:v>18620.871366628675</c:v>
                </c:pt>
                <c:pt idx="327">
                  <c:v>19054.607179632505</c:v>
                </c:pt>
                <c:pt idx="328">
                  <c:v>19498.445997580486</c:v>
                </c:pt>
                <c:pt idx="329">
                  <c:v>19952.623149688792</c:v>
                </c:pt>
                <c:pt idx="330">
                  <c:v>20417.379446695286</c:v>
                </c:pt>
                <c:pt idx="331">
                  <c:v>20892.961308540423</c:v>
                </c:pt>
                <c:pt idx="332">
                  <c:v>21379.620895022348</c:v>
                </c:pt>
                <c:pt idx="333">
                  <c:v>21877.61623949555</c:v>
                </c:pt>
                <c:pt idx="334">
                  <c:v>22387.211385683382</c:v>
                </c:pt>
                <c:pt idx="335">
                  <c:v>22908.676527677751</c:v>
                </c:pt>
                <c:pt idx="336">
                  <c:v>23442.288153199243</c:v>
                </c:pt>
                <c:pt idx="337">
                  <c:v>23988.329190194923</c:v>
                </c:pt>
                <c:pt idx="338">
                  <c:v>24547.089156850321</c:v>
                </c:pt>
                <c:pt idx="339">
                  <c:v>25118.86431509586</c:v>
                </c:pt>
                <c:pt idx="340">
                  <c:v>25703.95782768865</c:v>
                </c:pt>
                <c:pt idx="341">
                  <c:v>26302.679918953829</c:v>
                </c:pt>
                <c:pt idx="342">
                  <c:v>26915.348039269167</c:v>
                </c:pt>
                <c:pt idx="343">
                  <c:v>27542.287033381719</c:v>
                </c:pt>
                <c:pt idx="344">
                  <c:v>28183.829312644593</c:v>
                </c:pt>
                <c:pt idx="345">
                  <c:v>28840.315031266062</c:v>
                </c:pt>
                <c:pt idx="346">
                  <c:v>29512.092266663854</c:v>
                </c:pt>
                <c:pt idx="347">
                  <c:v>30199.517204020212</c:v>
                </c:pt>
                <c:pt idx="348">
                  <c:v>30902.954325135954</c:v>
                </c:pt>
                <c:pt idx="349">
                  <c:v>31622.77660168384</c:v>
                </c:pt>
                <c:pt idx="350">
                  <c:v>32359.365692962871</c:v>
                </c:pt>
                <c:pt idx="351">
                  <c:v>33113.11214825909</c:v>
                </c:pt>
                <c:pt idx="352">
                  <c:v>33884.41561392029</c:v>
                </c:pt>
                <c:pt idx="353">
                  <c:v>34673.685045253202</c:v>
                </c:pt>
                <c:pt idx="354">
                  <c:v>35481.33892335758</c:v>
                </c:pt>
                <c:pt idx="355">
                  <c:v>36307.805477010232</c:v>
                </c:pt>
                <c:pt idx="356">
                  <c:v>37153.522909717351</c:v>
                </c:pt>
                <c:pt idx="357">
                  <c:v>38018.939632056143</c:v>
                </c:pt>
                <c:pt idx="358">
                  <c:v>38904.514499428085</c:v>
                </c:pt>
                <c:pt idx="359">
                  <c:v>39810.717055349742</c:v>
                </c:pt>
                <c:pt idx="360">
                  <c:v>40738.027780411358</c:v>
                </c:pt>
                <c:pt idx="361">
                  <c:v>41686.938347033625</c:v>
                </c:pt>
                <c:pt idx="362">
                  <c:v>42657.951880159271</c:v>
                </c:pt>
                <c:pt idx="363">
                  <c:v>43651.583224016598</c:v>
                </c:pt>
                <c:pt idx="364">
                  <c:v>44668.359215096389</c:v>
                </c:pt>
                <c:pt idx="365">
                  <c:v>45708.818961487581</c:v>
                </c:pt>
                <c:pt idx="366">
                  <c:v>46773.514128719893</c:v>
                </c:pt>
                <c:pt idx="367">
                  <c:v>47863.009232263823</c:v>
                </c:pt>
                <c:pt idx="368">
                  <c:v>48977.881936844598</c:v>
                </c:pt>
                <c:pt idx="369">
                  <c:v>50118.723362727294</c:v>
                </c:pt>
                <c:pt idx="370">
                  <c:v>51286.138399136544</c:v>
                </c:pt>
                <c:pt idx="371">
                  <c:v>52480.746024977314</c:v>
                </c:pt>
                <c:pt idx="372">
                  <c:v>53703.179637025423</c:v>
                </c:pt>
                <c:pt idx="373">
                  <c:v>54954.087385762505</c:v>
                </c:pt>
                <c:pt idx="374">
                  <c:v>56234.132519034953</c:v>
                </c:pt>
                <c:pt idx="375">
                  <c:v>57543.993733715732</c:v>
                </c:pt>
                <c:pt idx="376">
                  <c:v>58884.365535558936</c:v>
                </c:pt>
                <c:pt idx="377">
                  <c:v>60255.95860743591</c:v>
                </c:pt>
                <c:pt idx="378">
                  <c:v>61659.500186148245</c:v>
                </c:pt>
                <c:pt idx="379">
                  <c:v>63095.734448019342</c:v>
                </c:pt>
                <c:pt idx="380">
                  <c:v>64565.422903465682</c:v>
                </c:pt>
                <c:pt idx="381">
                  <c:v>66069.344800759733</c:v>
                </c:pt>
                <c:pt idx="382">
                  <c:v>67608.297539198305</c:v>
                </c:pt>
                <c:pt idx="383">
                  <c:v>69183.097091893651</c:v>
                </c:pt>
                <c:pt idx="384">
                  <c:v>70794.578438413781</c:v>
                </c:pt>
                <c:pt idx="385">
                  <c:v>72443.596007499116</c:v>
                </c:pt>
                <c:pt idx="386">
                  <c:v>74131.024130091857</c:v>
                </c:pt>
                <c:pt idx="387">
                  <c:v>75857.757502918481</c:v>
                </c:pt>
                <c:pt idx="388">
                  <c:v>77624.711662869129</c:v>
                </c:pt>
                <c:pt idx="389">
                  <c:v>79432.823472428237</c:v>
                </c:pt>
                <c:pt idx="390">
                  <c:v>81283.051616410012</c:v>
                </c:pt>
                <c:pt idx="391">
                  <c:v>83176.377110267174</c:v>
                </c:pt>
                <c:pt idx="392">
                  <c:v>85113.803820237721</c:v>
                </c:pt>
                <c:pt idx="393">
                  <c:v>87096.358995608127</c:v>
                </c:pt>
                <c:pt idx="394">
                  <c:v>89125.093813374609</c:v>
                </c:pt>
                <c:pt idx="395">
                  <c:v>91201.083935591028</c:v>
                </c:pt>
                <c:pt idx="396">
                  <c:v>93325.430079699145</c:v>
                </c:pt>
                <c:pt idx="397">
                  <c:v>95499.258602143804</c:v>
                </c:pt>
                <c:pt idx="398">
                  <c:v>97723.722095581266</c:v>
                </c:pt>
                <c:pt idx="399">
                  <c:v>100000</c:v>
                </c:pt>
                <c:pt idx="400">
                  <c:v>102329.29922807543</c:v>
                </c:pt>
                <c:pt idx="401">
                  <c:v>104712.85480508996</c:v>
                </c:pt>
                <c:pt idx="402">
                  <c:v>107151.93052376082</c:v>
                </c:pt>
                <c:pt idx="403">
                  <c:v>109647.81961431868</c:v>
                </c:pt>
                <c:pt idx="404">
                  <c:v>112201.84543019651</c:v>
                </c:pt>
                <c:pt idx="405">
                  <c:v>114815.36214968823</c:v>
                </c:pt>
                <c:pt idx="406">
                  <c:v>117489.75549395311</c:v>
                </c:pt>
                <c:pt idx="407">
                  <c:v>120226.44346174144</c:v>
                </c:pt>
                <c:pt idx="408">
                  <c:v>123026.87708123829</c:v>
                </c:pt>
                <c:pt idx="409">
                  <c:v>125892.54117941685</c:v>
                </c:pt>
                <c:pt idx="410">
                  <c:v>128824.95516931375</c:v>
                </c:pt>
                <c:pt idx="411">
                  <c:v>131825.67385564081</c:v>
                </c:pt>
                <c:pt idx="412">
                  <c:v>134896.28825916545</c:v>
                </c:pt>
                <c:pt idx="413">
                  <c:v>138038.42646028858</c:v>
                </c:pt>
                <c:pt idx="414">
                  <c:v>141253.75446227577</c:v>
                </c:pt>
                <c:pt idx="415">
                  <c:v>144543.97707459307</c:v>
                </c:pt>
                <c:pt idx="416">
                  <c:v>147910.83881682079</c:v>
                </c:pt>
                <c:pt idx="417">
                  <c:v>151356.12484362084</c:v>
                </c:pt>
                <c:pt idx="418">
                  <c:v>154881.66189124843</c:v>
                </c:pt>
                <c:pt idx="419">
                  <c:v>158489.31924611164</c:v>
                </c:pt>
                <c:pt idx="420">
                  <c:v>162181.00973589328</c:v>
                </c:pt>
                <c:pt idx="421">
                  <c:v>165958.69074375604</c:v>
                </c:pt>
                <c:pt idx="422">
                  <c:v>169824.36524617471</c:v>
                </c:pt>
                <c:pt idx="423">
                  <c:v>173780.0828749378</c:v>
                </c:pt>
                <c:pt idx="424">
                  <c:v>177827.94100389251</c:v>
                </c:pt>
                <c:pt idx="425">
                  <c:v>181970.08586099857</c:v>
                </c:pt>
                <c:pt idx="426">
                  <c:v>186208.71366628664</c:v>
                </c:pt>
                <c:pt idx="427">
                  <c:v>190546.07179632492</c:v>
                </c:pt>
                <c:pt idx="428">
                  <c:v>194984.45997580473</c:v>
                </c:pt>
                <c:pt idx="429">
                  <c:v>199526.23149688813</c:v>
                </c:pt>
                <c:pt idx="430">
                  <c:v>204173.79446695308</c:v>
                </c:pt>
                <c:pt idx="431">
                  <c:v>208929.61308540447</c:v>
                </c:pt>
                <c:pt idx="432">
                  <c:v>213796.20895022334</c:v>
                </c:pt>
                <c:pt idx="433">
                  <c:v>218776.16239495538</c:v>
                </c:pt>
                <c:pt idx="434">
                  <c:v>223872.11385683404</c:v>
                </c:pt>
                <c:pt idx="435">
                  <c:v>229086.76527677779</c:v>
                </c:pt>
                <c:pt idx="436">
                  <c:v>234422.88153199267</c:v>
                </c:pt>
                <c:pt idx="437">
                  <c:v>239883.29190194907</c:v>
                </c:pt>
                <c:pt idx="438">
                  <c:v>245470.89156850305</c:v>
                </c:pt>
                <c:pt idx="439">
                  <c:v>251188.64315095844</c:v>
                </c:pt>
                <c:pt idx="440">
                  <c:v>257039.57827688678</c:v>
                </c:pt>
                <c:pt idx="441">
                  <c:v>263026.79918953858</c:v>
                </c:pt>
                <c:pt idx="442">
                  <c:v>269153.48039269145</c:v>
                </c:pt>
                <c:pt idx="443">
                  <c:v>275422.87033381703</c:v>
                </c:pt>
                <c:pt idx="444">
                  <c:v>281838.29312644573</c:v>
                </c:pt>
                <c:pt idx="445">
                  <c:v>288403.1503126609</c:v>
                </c:pt>
                <c:pt idx="446">
                  <c:v>295120.92266663886</c:v>
                </c:pt>
                <c:pt idx="447">
                  <c:v>301995.17204020242</c:v>
                </c:pt>
                <c:pt idx="448">
                  <c:v>309029.54325135931</c:v>
                </c:pt>
                <c:pt idx="449">
                  <c:v>316227.7660168382</c:v>
                </c:pt>
                <c:pt idx="450">
                  <c:v>323593.65692962846</c:v>
                </c:pt>
                <c:pt idx="451">
                  <c:v>331131.12148259126</c:v>
                </c:pt>
                <c:pt idx="452">
                  <c:v>338844.15613920329</c:v>
                </c:pt>
                <c:pt idx="453">
                  <c:v>346736.85045253241</c:v>
                </c:pt>
                <c:pt idx="454">
                  <c:v>354813.38923357555</c:v>
                </c:pt>
                <c:pt idx="455">
                  <c:v>363078.05477010203</c:v>
                </c:pt>
                <c:pt idx="456">
                  <c:v>371535.2290971732</c:v>
                </c:pt>
                <c:pt idx="457">
                  <c:v>380189.39632056188</c:v>
                </c:pt>
                <c:pt idx="458">
                  <c:v>389045.14499428123</c:v>
                </c:pt>
                <c:pt idx="459">
                  <c:v>398107.17055349716</c:v>
                </c:pt>
                <c:pt idx="460">
                  <c:v>407380.27780411334</c:v>
                </c:pt>
                <c:pt idx="461">
                  <c:v>416869.38347033598</c:v>
                </c:pt>
                <c:pt idx="462">
                  <c:v>426579.51880159322</c:v>
                </c:pt>
                <c:pt idx="463">
                  <c:v>436515.83224016649</c:v>
                </c:pt>
                <c:pt idx="464">
                  <c:v>446683.59215096442</c:v>
                </c:pt>
                <c:pt idx="465">
                  <c:v>457088.18961487547</c:v>
                </c:pt>
                <c:pt idx="466">
                  <c:v>467735.14128719864</c:v>
                </c:pt>
                <c:pt idx="467">
                  <c:v>478630.09232263872</c:v>
                </c:pt>
                <c:pt idx="468">
                  <c:v>489778.81936844654</c:v>
                </c:pt>
                <c:pt idx="469">
                  <c:v>501187.23362727347</c:v>
                </c:pt>
                <c:pt idx="470">
                  <c:v>512861.38399136515</c:v>
                </c:pt>
                <c:pt idx="471">
                  <c:v>524807.46024977288</c:v>
                </c:pt>
                <c:pt idx="472">
                  <c:v>537031.7963702539</c:v>
                </c:pt>
                <c:pt idx="473">
                  <c:v>549540.87385762564</c:v>
                </c:pt>
                <c:pt idx="474">
                  <c:v>562341.32519035018</c:v>
                </c:pt>
                <c:pt idx="475">
                  <c:v>575439.93733715697</c:v>
                </c:pt>
                <c:pt idx="476">
                  <c:v>588843.65535558888</c:v>
                </c:pt>
                <c:pt idx="477">
                  <c:v>602559.58607435878</c:v>
                </c:pt>
                <c:pt idx="478">
                  <c:v>616595.00186148309</c:v>
                </c:pt>
                <c:pt idx="479">
                  <c:v>630957.34448019415</c:v>
                </c:pt>
                <c:pt idx="480">
                  <c:v>645654.22903465747</c:v>
                </c:pt>
                <c:pt idx="481">
                  <c:v>660693.44800759677</c:v>
                </c:pt>
                <c:pt idx="482">
                  <c:v>676082.97539198259</c:v>
                </c:pt>
                <c:pt idx="483">
                  <c:v>691830.97091893724</c:v>
                </c:pt>
                <c:pt idx="484">
                  <c:v>707945.78438413853</c:v>
                </c:pt>
                <c:pt idx="485">
                  <c:v>724435.96007499192</c:v>
                </c:pt>
                <c:pt idx="486">
                  <c:v>741310.24130091805</c:v>
                </c:pt>
                <c:pt idx="487">
                  <c:v>758577.57502918423</c:v>
                </c:pt>
                <c:pt idx="488">
                  <c:v>776247.11662869214</c:v>
                </c:pt>
                <c:pt idx="489">
                  <c:v>794328.23472428333</c:v>
                </c:pt>
                <c:pt idx="490">
                  <c:v>812830.51616410096</c:v>
                </c:pt>
                <c:pt idx="491">
                  <c:v>831763.77110267128</c:v>
                </c:pt>
                <c:pt idx="492">
                  <c:v>851138.03820237669</c:v>
                </c:pt>
                <c:pt idx="493">
                  <c:v>870963.58995608077</c:v>
                </c:pt>
                <c:pt idx="494">
                  <c:v>891250.93813374708</c:v>
                </c:pt>
                <c:pt idx="495">
                  <c:v>912010.83935591124</c:v>
                </c:pt>
                <c:pt idx="496">
                  <c:v>933254.30079699249</c:v>
                </c:pt>
                <c:pt idx="497">
                  <c:v>954992.58602143743</c:v>
                </c:pt>
                <c:pt idx="498">
                  <c:v>977237.22095581202</c:v>
                </c:pt>
                <c:pt idx="499">
                  <c:v>1000000</c:v>
                </c:pt>
                <c:pt idx="500">
                  <c:v>1023292.9922807553</c:v>
                </c:pt>
                <c:pt idx="501">
                  <c:v>1047128.5480509007</c:v>
                </c:pt>
                <c:pt idx="502">
                  <c:v>1071519.3052376076</c:v>
                </c:pt>
                <c:pt idx="503">
                  <c:v>1096478.196143186</c:v>
                </c:pt>
                <c:pt idx="504">
                  <c:v>1122018.4543019643</c:v>
                </c:pt>
                <c:pt idx="505">
                  <c:v>1148153.6214968837</c:v>
                </c:pt>
                <c:pt idx="506">
                  <c:v>1174897.5549395324</c:v>
                </c:pt>
                <c:pt idx="507">
                  <c:v>1202264.4346174158</c:v>
                </c:pt>
                <c:pt idx="508">
                  <c:v>1230268.770812382</c:v>
                </c:pt>
                <c:pt idx="509">
                  <c:v>1258925.4117941677</c:v>
                </c:pt>
                <c:pt idx="510">
                  <c:v>1288249.5516931366</c:v>
                </c:pt>
                <c:pt idx="511">
                  <c:v>1318256.7385564097</c:v>
                </c:pt>
                <c:pt idx="512">
                  <c:v>1348962.8825916562</c:v>
                </c:pt>
                <c:pt idx="513">
                  <c:v>1380384.2646028849</c:v>
                </c:pt>
                <c:pt idx="514">
                  <c:v>1412537.5446227565</c:v>
                </c:pt>
                <c:pt idx="515">
                  <c:v>1445439.7707459298</c:v>
                </c:pt>
                <c:pt idx="516">
                  <c:v>1479108.3881682095</c:v>
                </c:pt>
                <c:pt idx="517">
                  <c:v>1513561.2484362102</c:v>
                </c:pt>
                <c:pt idx="518">
                  <c:v>1548816.6189124861</c:v>
                </c:pt>
                <c:pt idx="519">
                  <c:v>1584893.1924611153</c:v>
                </c:pt>
                <c:pt idx="520">
                  <c:v>1621810.0973589318</c:v>
                </c:pt>
                <c:pt idx="521">
                  <c:v>1659586.9074375622</c:v>
                </c:pt>
                <c:pt idx="522">
                  <c:v>1698243.6524617488</c:v>
                </c:pt>
                <c:pt idx="523">
                  <c:v>1737800.8287493798</c:v>
                </c:pt>
                <c:pt idx="524">
                  <c:v>1778279.4100389241</c:v>
                </c:pt>
                <c:pt idx="525">
                  <c:v>1819700.8586099846</c:v>
                </c:pt>
                <c:pt idx="526">
                  <c:v>1862087.1366628683</c:v>
                </c:pt>
                <c:pt idx="527">
                  <c:v>1905460.7179632513</c:v>
                </c:pt>
                <c:pt idx="528">
                  <c:v>1949844.5997580495</c:v>
                </c:pt>
                <c:pt idx="529">
                  <c:v>1995262.31496888</c:v>
                </c:pt>
                <c:pt idx="530">
                  <c:v>2041737.9446695296</c:v>
                </c:pt>
                <c:pt idx="531">
                  <c:v>2089296.1308540432</c:v>
                </c:pt>
                <c:pt idx="532">
                  <c:v>2137962.0895022359</c:v>
                </c:pt>
                <c:pt idx="533">
                  <c:v>2187761.6239495561</c:v>
                </c:pt>
                <c:pt idx="534">
                  <c:v>2238721.1385683389</c:v>
                </c:pt>
                <c:pt idx="535">
                  <c:v>2290867.6527677765</c:v>
                </c:pt>
                <c:pt idx="536">
                  <c:v>2344228.8153199251</c:v>
                </c:pt>
                <c:pt idx="537">
                  <c:v>2398832.9190194933</c:v>
                </c:pt>
                <c:pt idx="538">
                  <c:v>2454708.915685033</c:v>
                </c:pt>
                <c:pt idx="539">
                  <c:v>2511886.431509587</c:v>
                </c:pt>
                <c:pt idx="540">
                  <c:v>2570395.782768866</c:v>
                </c:pt>
                <c:pt idx="541">
                  <c:v>2630267.9918953842</c:v>
                </c:pt>
              </c:numCache>
            </c:numRef>
          </c:xVal>
          <c:yVal>
            <c:numRef>
              <c:f>Loop_Modeling!$AE$19:$AE$560</c:f>
              <c:numCache>
                <c:formatCode>General</c:formatCode>
                <c:ptCount val="542"/>
                <c:pt idx="0">
                  <c:v>-1.83851745430113</c:v>
                </c:pt>
                <c:pt idx="1">
                  <c:v>-1.8813130452868463</c:v>
                </c:pt>
                <c:pt idx="2">
                  <c:v>-1.9251034026700735</c:v>
                </c:pt>
                <c:pt idx="3">
                  <c:v>-1.9699115496406656</c:v>
                </c:pt>
                <c:pt idx="4">
                  <c:v>-2.0157610351166233</c:v>
                </c:pt>
                <c:pt idx="5">
                  <c:v>-2.0626759452385457</c:v>
                </c:pt>
                <c:pt idx="6">
                  <c:v>-2.1106809150784134</c:v>
                </c:pt>
                <c:pt idx="7">
                  <c:v>-2.1598011405641344</c:v>
                </c:pt>
                <c:pt idx="8">
                  <c:v>-2.2100623906206023</c:v>
                </c:pt>
                <c:pt idx="9">
                  <c:v>-2.2614910195280307</c:v>
                </c:pt>
                <c:pt idx="10">
                  <c:v>-2.3141139794982406</c:v>
                </c:pt>
                <c:pt idx="11">
                  <c:v>-2.3679588334689092</c:v>
                </c:pt>
                <c:pt idx="12">
                  <c:v>-2.4230537681152695</c:v>
                </c:pt>
                <c:pt idx="13">
                  <c:v>-2.4794276070793622</c:v>
                </c:pt>
                <c:pt idx="14">
                  <c:v>-2.5371098244151167</c:v>
                </c:pt>
                <c:pt idx="15">
                  <c:v>-2.5961305582484502</c:v>
                </c:pt>
                <c:pt idx="16">
                  <c:v>-2.6565206246500752</c:v>
                </c:pt>
                <c:pt idx="17">
                  <c:v>-2.7183115317188036</c:v>
                </c:pt>
                <c:pt idx="18">
                  <c:v>-2.7815354938721906</c:v>
                </c:pt>
                <c:pt idx="19">
                  <c:v>-2.8462254463411791</c:v>
                </c:pt>
                <c:pt idx="20">
                  <c:v>-2.9124150598641547</c:v>
                </c:pt>
                <c:pt idx="21">
                  <c:v>-2.9801387555756684</c:v>
                </c:pt>
                <c:pt idx="22">
                  <c:v>-3.049431720083946</c:v>
                </c:pt>
                <c:pt idx="23">
                  <c:v>-3.1203299207306046</c:v>
                </c:pt>
                <c:pt idx="24">
                  <c:v>-3.1928701210249582</c:v>
                </c:pt>
                <c:pt idx="25">
                  <c:v>-3.2670898962449133</c:v>
                </c:pt>
                <c:pt idx="26">
                  <c:v>-3.3430276491939956</c:v>
                </c:pt>
                <c:pt idx="27">
                  <c:v>-3.4207226261048791</c:v>
                </c:pt>
                <c:pt idx="28">
                  <c:v>-3.5002149326768053</c:v>
                </c:pt>
                <c:pt idx="29">
                  <c:v>-3.5815455502339386</c:v>
                </c:pt>
                <c:pt idx="30">
                  <c:v>-3.6647563519902491</c:v>
                </c:pt>
                <c:pt idx="31">
                  <c:v>-3.7498901194046317</c:v>
                </c:pt>
                <c:pt idx="32">
                  <c:v>-3.8369905586082633</c:v>
                </c:pt>
                <c:pt idx="33">
                  <c:v>-3.9261023168857547</c:v>
                </c:pt>
                <c:pt idx="34">
                  <c:v>-4.0172709991872804</c:v>
                </c:pt>
                <c:pt idx="35">
                  <c:v>-4.1105431846499636</c:v>
                </c:pt>
                <c:pt idx="36">
                  <c:v>-4.2059664431021195</c:v>
                </c:pt>
                <c:pt idx="37">
                  <c:v>-4.3035893515228505</c:v>
                </c:pt>
                <c:pt idx="38">
                  <c:v>-4.4034615104273955</c:v>
                </c:pt>
                <c:pt idx="39">
                  <c:v>-4.5056335601448803</c:v>
                </c:pt>
                <c:pt idx="40">
                  <c:v>-4.6101571969535042</c:v>
                </c:pt>
                <c:pt idx="41">
                  <c:v>-4.7170851890346803</c:v>
                </c:pt>
                <c:pt idx="42">
                  <c:v>-4.8264713922046063</c:v>
                </c:pt>
                <c:pt idx="43">
                  <c:v>-4.9383707653783757</c:v>
                </c:pt>
                <c:pt idx="44">
                  <c:v>-5.0528393857183671</c:v>
                </c:pt>
                <c:pt idx="45">
                  <c:v>-5.1699344634147879</c:v>
                </c:pt>
                <c:pt idx="46">
                  <c:v>-5.2897143560422446</c:v>
                </c:pt>
                <c:pt idx="47">
                  <c:v>-5.4122385824317352</c:v>
                </c:pt>
                <c:pt idx="48">
                  <c:v>-5.5375678359935261</c:v>
                </c:pt>
                <c:pt idx="49">
                  <c:v>-5.6657639974212097</c:v>
                </c:pt>
                <c:pt idx="50">
                  <c:v>-5.7968901467022089</c:v>
                </c:pt>
                <c:pt idx="51">
                  <c:v>-5.9310105743546071</c:v>
                </c:pt>
                <c:pt idx="52">
                  <c:v>-6.0681907918052111</c:v>
                </c:pt>
                <c:pt idx="53">
                  <c:v>-6.2084975408166754</c:v>
                </c:pt>
                <c:pt idx="54">
                  <c:v>-6.3519988018667375</c:v>
                </c:pt>
                <c:pt idx="55">
                  <c:v>-6.4987638013738573</c:v>
                </c:pt>
                <c:pt idx="56">
                  <c:v>-6.6488630176602062</c:v>
                </c:pt>
                <c:pt idx="57">
                  <c:v>-6.802368185530967</c:v>
                </c:pt>
                <c:pt idx="58">
                  <c:v>-6.9593522993461479</c:v>
                </c:pt>
                <c:pt idx="59">
                  <c:v>-7.1198896144493906</c:v>
                </c:pt>
                <c:pt idx="60">
                  <c:v>-7.2840556468125239</c:v>
                </c:pt>
                <c:pt idx="61">
                  <c:v>-7.451927170743474</c:v>
                </c:pt>
                <c:pt idx="62">
                  <c:v>-7.6235822145002006</c:v>
                </c:pt>
                <c:pt idx="63">
                  <c:v>-7.7991000536378507</c:v>
                </c:pt>
                <c:pt idx="64">
                  <c:v>-7.9785612019137861</c:v>
                </c:pt>
                <c:pt idx="65">
                  <c:v>-8.1620473995587464</c:v>
                </c:pt>
                <c:pt idx="66">
                  <c:v>-8.3496415987165964</c:v>
                </c:pt>
                <c:pt idx="67">
                  <c:v>-8.5414279458418498</c:v>
                </c:pt>
                <c:pt idx="68">
                  <c:v>-8.7374917608349367</c:v>
                </c:pt>
                <c:pt idx="69">
                  <c:v>-8.9379195126831252</c:v>
                </c:pt>
                <c:pt idx="70">
                  <c:v>-9.1427987913635569</c:v>
                </c:pt>
                <c:pt idx="71">
                  <c:v>-9.3522182757552574</c:v>
                </c:pt>
                <c:pt idx="72">
                  <c:v>-9.56626769729308</c:v>
                </c:pt>
                <c:pt idx="73">
                  <c:v>-9.785037799086421</c:v>
                </c:pt>
                <c:pt idx="74">
                  <c:v>-10.008620290213893</c:v>
                </c:pt>
                <c:pt idx="75">
                  <c:v>-10.237107794894776</c:v>
                </c:pt>
                <c:pt idx="76">
                  <c:v>-10.470593796224207</c:v>
                </c:pt>
                <c:pt idx="77">
                  <c:v>-10.709172574152552</c:v>
                </c:pt>
                <c:pt idx="78">
                  <c:v>-10.95293913737479</c:v>
                </c:pt>
                <c:pt idx="79">
                  <c:v>-11.201989148791109</c:v>
                </c:pt>
                <c:pt idx="80">
                  <c:v>-11.456418844185862</c:v>
                </c:pt>
                <c:pt idx="81">
                  <c:v>-11.716324943768869</c:v>
                </c:pt>
                <c:pt idx="82">
                  <c:v>-11.981804556213818</c:v>
                </c:pt>
                <c:pt idx="83">
                  <c:v>-12.252955074824792</c:v>
                </c:pt>
                <c:pt idx="84">
                  <c:v>-12.52987406545672</c:v>
                </c:pt>
                <c:pt idx="85">
                  <c:v>-12.812659145815932</c:v>
                </c:pt>
                <c:pt idx="86">
                  <c:v>-13.101407855766833</c:v>
                </c:pt>
                <c:pt idx="87">
                  <c:v>-13.396217518271452</c:v>
                </c:pt>
                <c:pt idx="88">
                  <c:v>-13.697185090599469</c:v>
                </c:pt>
                <c:pt idx="89">
                  <c:v>-14.004407005449071</c:v>
                </c:pt>
                <c:pt idx="90">
                  <c:v>-14.317979001637086</c:v>
                </c:pt>
                <c:pt idx="91">
                  <c:v>-14.637995944028326</c:v>
                </c:pt>
                <c:pt idx="92">
                  <c:v>-14.964551632398836</c:v>
                </c:pt>
                <c:pt idx="93">
                  <c:v>-15.297738598949623</c:v>
                </c:pt>
                <c:pt idx="94">
                  <c:v>-15.637647894220605</c:v>
                </c:pt>
                <c:pt idx="95">
                  <c:v>-15.984368861187594</c:v>
                </c:pt>
                <c:pt idx="96">
                  <c:v>-16.337988897370764</c:v>
                </c:pt>
                <c:pt idx="97">
                  <c:v>-16.698593204826938</c:v>
                </c:pt>
                <c:pt idx="98">
                  <c:v>-17.066264527958214</c:v>
                </c:pt>
                <c:pt idx="99">
                  <c:v>-17.44108287912756</c:v>
                </c:pt>
                <c:pt idx="100">
                  <c:v>-17.823125252144578</c:v>
                </c:pt>
                <c:pt idx="101">
                  <c:v>-18.212465323762132</c:v>
                </c:pt>
                <c:pt idx="102">
                  <c:v>-18.609173143410327</c:v>
                </c:pt>
                <c:pt idx="103">
                  <c:v>-19.013314811490375</c:v>
                </c:pt>
                <c:pt idx="104">
                  <c:v>-19.424952146651563</c:v>
                </c:pt>
                <c:pt idx="105">
                  <c:v>-19.844142342589681</c:v>
                </c:pt>
                <c:pt idx="106">
                  <c:v>-20.270937615023463</c:v>
                </c:pt>
                <c:pt idx="107">
                  <c:v>-20.705384839635702</c:v>
                </c:pt>
                <c:pt idx="108">
                  <c:v>-21.147525181901106</c:v>
                </c:pt>
                <c:pt idx="109">
                  <c:v>-21.597393719870208</c:v>
                </c:pt>
                <c:pt idx="110">
                  <c:v>-22.055019061126206</c:v>
                </c:pt>
                <c:pt idx="111">
                  <c:v>-22.520422955292595</c:v>
                </c:pt>
                <c:pt idx="112">
                  <c:v>-22.993619903628339</c:v>
                </c:pt>
                <c:pt idx="113">
                  <c:v>-23.474616767416506</c:v>
                </c:pt>
                <c:pt idx="114">
                  <c:v>-23.963412377016589</c:v>
                </c:pt>
                <c:pt idx="115">
                  <c:v>-24.459997143619852</c:v>
                </c:pt>
                <c:pt idx="116">
                  <c:v>-24.964352675917127</c:v>
                </c:pt>
                <c:pt idx="117">
                  <c:v>-25.476451404043328</c:v>
                </c:pt>
                <c:pt idx="118">
                  <c:v>-25.996256213324529</c:v>
                </c:pt>
                <c:pt idx="119">
                  <c:v>-26.523720090496678</c:v>
                </c:pt>
                <c:pt idx="120">
                  <c:v>-27.058785785199767</c:v>
                </c:pt>
                <c:pt idx="121">
                  <c:v>-27.601385489671493</c:v>
                </c:pt>
                <c:pt idx="122">
                  <c:v>-28.151440539658328</c:v>
                </c:pt>
                <c:pt idx="123">
                  <c:v>-28.708861139648789</c:v>
                </c:pt>
                <c:pt idx="124">
                  <c:v>-29.273546115578487</c:v>
                </c:pt>
                <c:pt idx="125">
                  <c:v>-29.845382698184114</c:v>
                </c:pt>
                <c:pt idx="126">
                  <c:v>-30.424246340180112</c:v>
                </c:pt>
                <c:pt idx="127">
                  <c:v>-31.010000570375244</c:v>
                </c:pt>
                <c:pt idx="128">
                  <c:v>-31.60249688778725</c:v>
                </c:pt>
                <c:pt idx="129">
                  <c:v>-32.201574698678563</c:v>
                </c:pt>
                <c:pt idx="130">
                  <c:v>-32.807061299278843</c:v>
                </c:pt>
                <c:pt idx="131">
                  <c:v>-33.418771906760576</c:v>
                </c:pt>
                <c:pt idx="132">
                  <c:v>-34.036509740785185</c:v>
                </c:pt>
                <c:pt idx="133">
                  <c:v>-34.660066157644273</c:v>
                </c:pt>
                <c:pt idx="134">
                  <c:v>-35.289220838690362</c:v>
                </c:pt>
                <c:pt idx="135">
                  <c:v>-35.923742034378968</c:v>
                </c:pt>
                <c:pt idx="136">
                  <c:v>-36.563386864831834</c:v>
                </c:pt>
                <c:pt idx="137">
                  <c:v>-37.207901677384875</c:v>
                </c:pt>
                <c:pt idx="138">
                  <c:v>-37.857022461110049</c:v>
                </c:pt>
                <c:pt idx="139">
                  <c:v>-38.510475317803348</c:v>
                </c:pt>
                <c:pt idx="140">
                  <c:v>-39.167976988404774</c:v>
                </c:pt>
                <c:pt idx="141">
                  <c:v>-39.829235433298372</c:v>
                </c:pt>
                <c:pt idx="142">
                  <c:v>-40.493950464395262</c:v>
                </c:pt>
                <c:pt idx="143">
                  <c:v>-41.161814426380914</c:v>
                </c:pt>
                <c:pt idx="144">
                  <c:v>-41.832512923986052</c:v>
                </c:pt>
                <c:pt idx="145">
                  <c:v>-42.505725591647327</c:v>
                </c:pt>
                <c:pt idx="146">
                  <c:v>-43.181126901451655</c:v>
                </c:pt>
                <c:pt idx="147">
                  <c:v>-43.858387004834761</c:v>
                </c:pt>
                <c:pt idx="148">
                  <c:v>-44.53717260310755</c:v>
                </c:pt>
                <c:pt idx="149">
                  <c:v>-45.217147841567481</c:v>
                </c:pt>
                <c:pt idx="150">
                  <c:v>-45.897975221653937</c:v>
                </c:pt>
                <c:pt idx="151">
                  <c:v>-46.579316525416829</c:v>
                </c:pt>
                <c:pt idx="152">
                  <c:v>-47.260833746404934</c:v>
                </c:pt>
                <c:pt idx="153">
                  <c:v>-47.942190021014952</c:v>
                </c:pt>
                <c:pt idx="154">
                  <c:v>-48.623050554334135</c:v>
                </c:pt>
                <c:pt idx="155">
                  <c:v>-49.303083534578612</c:v>
                </c:pt>
                <c:pt idx="156">
                  <c:v>-49.981961030368971</c:v>
                </c:pt>
                <c:pt idx="157">
                  <c:v>-50.659359865285651</c:v>
                </c:pt>
                <c:pt idx="158">
                  <c:v>-51.334962464418346</c:v>
                </c:pt>
                <c:pt idx="159">
                  <c:v>-52.008457667955419</c:v>
                </c:pt>
                <c:pt idx="160">
                  <c:v>-52.6795415072352</c:v>
                </c:pt>
                <c:pt idx="161">
                  <c:v>-53.347917939101848</c:v>
                </c:pt>
                <c:pt idx="162">
                  <c:v>-54.013299534888702</c:v>
                </c:pt>
                <c:pt idx="163">
                  <c:v>-54.67540812082845</c:v>
                </c:pt>
                <c:pt idx="164">
                  <c:v>-55.333975367217413</c:v>
                </c:pt>
                <c:pt idx="165">
                  <c:v>-55.988743324180206</c:v>
                </c:pt>
                <c:pt idx="166">
                  <c:v>-56.63946490242661</c:v>
                </c:pt>
                <c:pt idx="167">
                  <c:v>-57.285904297911628</c:v>
                </c:pt>
                <c:pt idx="168">
                  <c:v>-57.927837359835294</c:v>
                </c:pt>
                <c:pt idx="169">
                  <c:v>-58.565051901921208</c:v>
                </c:pt>
                <c:pt idx="170">
                  <c:v>-59.197347957388011</c:v>
                </c:pt>
                <c:pt idx="171">
                  <c:v>-59.824537978481828</c:v>
                </c:pt>
                <c:pt idx="172">
                  <c:v>-60.446446981844595</c:v>
                </c:pt>
                <c:pt idx="173">
                  <c:v>-61.062912641383122</c:v>
                </c:pt>
                <c:pt idx="174">
                  <c:v>-61.673785330625122</c:v>
                </c:pt>
                <c:pt idx="175">
                  <c:v>-62.278928116860214</c:v>
                </c:pt>
                <c:pt idx="176">
                  <c:v>-62.878216709599805</c:v>
                </c:pt>
                <c:pt idx="177">
                  <c:v>-63.471539366112239</c:v>
                </c:pt>
                <c:pt idx="178">
                  <c:v>-64.058796756942456</c:v>
                </c:pt>
                <c:pt idx="179">
                  <c:v>-64.639901794458922</c:v>
                </c:pt>
                <c:pt idx="180">
                  <c:v>-65.214779427550155</c:v>
                </c:pt>
                <c:pt idx="181">
                  <c:v>-65.783366405639129</c:v>
                </c:pt>
                <c:pt idx="182">
                  <c:v>-66.345611015195075</c:v>
                </c:pt>
                <c:pt idx="183">
                  <c:v>-66.901472791904695</c:v>
                </c:pt>
                <c:pt idx="184">
                  <c:v>-67.450922211612053</c:v>
                </c:pt>
                <c:pt idx="185">
                  <c:v>-67.993940363058726</c:v>
                </c:pt>
                <c:pt idx="186">
                  <c:v>-68.530518605366822</c:v>
                </c:pt>
                <c:pt idx="187">
                  <c:v>-69.060658213078582</c:v>
                </c:pt>
                <c:pt idx="188">
                  <c:v>-69.584370011446467</c:v>
                </c:pt>
                <c:pt idx="189">
                  <c:v>-70.101674004513598</c:v>
                </c:pt>
                <c:pt idx="190">
                  <c:v>-70.612598998372633</c:v>
                </c:pt>
                <c:pt idx="191">
                  <c:v>-71.117182221831996</c:v>
                </c:pt>
                <c:pt idx="192">
                  <c:v>-71.615468946548518</c:v>
                </c:pt>
                <c:pt idx="193">
                  <c:v>-72.107512108520439</c:v>
                </c:pt>
                <c:pt idx="194">
                  <c:v>-72.593371932666216</c:v>
                </c:pt>
                <c:pt idx="195">
                  <c:v>-73.073115562045288</c:v>
                </c:pt>
                <c:pt idx="196">
                  <c:v>-73.546816693121897</c:v>
                </c:pt>
                <c:pt idx="197">
                  <c:v>-74.014555218305063</c:v>
                </c:pt>
                <c:pt idx="198">
                  <c:v>-74.476416876853818</c:v>
                </c:pt>
                <c:pt idx="199">
                  <c:v>-74.932492915088432</c:v>
                </c:pt>
                <c:pt idx="200">
                  <c:v>-75.382879756708078</c:v>
                </c:pt>
                <c:pt idx="201">
                  <c:v>-75.827678683890866</c:v>
                </c:pt>
                <c:pt idx="202">
                  <c:v>-76.266995529724809</c:v>
                </c:pt>
                <c:pt idx="203">
                  <c:v>-76.700940382409627</c:v>
                </c:pt>
                <c:pt idx="204">
                  <c:v>-77.129627301562323</c:v>
                </c:pt>
                <c:pt idx="205">
                  <c:v>-77.553174046863035</c:v>
                </c:pt>
                <c:pt idx="206">
                  <c:v>-77.971701819193456</c:v>
                </c:pt>
                <c:pt idx="207">
                  <c:v>-78.385335014337656</c:v>
                </c:pt>
                <c:pt idx="208">
                  <c:v>-78.794200989243635</c:v>
                </c:pt>
                <c:pt idx="209">
                  <c:v>-79.19842984078322</c:v>
                </c:pt>
                <c:pt idx="210">
                  <c:v>-79.598154196888473</c:v>
                </c:pt>
                <c:pt idx="211">
                  <c:v>-79.993509019894759</c:v>
                </c:pt>
                <c:pt idx="212">
                  <c:v>-80.384631421875909</c:v>
                </c:pt>
                <c:pt idx="213">
                  <c:v>-80.771660491722116</c:v>
                </c:pt>
                <c:pt idx="214">
                  <c:v>-81.15473713367669</c:v>
                </c:pt>
                <c:pt idx="215">
                  <c:v>-81.534003917022602</c:v>
                </c:pt>
                <c:pt idx="216">
                  <c:v>-81.909604936588792</c:v>
                </c:pt>
                <c:pt idx="217">
                  <c:v>-82.281685683726096</c:v>
                </c:pt>
                <c:pt idx="218">
                  <c:v>-82.65039292739128</c:v>
                </c:pt>
                <c:pt idx="219">
                  <c:v>-83.015874604965504</c:v>
                </c:pt>
                <c:pt idx="220">
                  <c:v>-83.378279722427266</c:v>
                </c:pt>
                <c:pt idx="221">
                  <c:v>-83.737758263496275</c:v>
                </c:pt>
                <c:pt idx="222">
                  <c:v>-84.094461107358171</c:v>
                </c:pt>
                <c:pt idx="223">
                  <c:v>-84.448539954587929</c:v>
                </c:pt>
                <c:pt idx="224">
                  <c:v>-84.8001472608819</c:v>
                </c:pt>
                <c:pt idx="225">
                  <c:v>-85.149436178220682</c:v>
                </c:pt>
                <c:pt idx="226">
                  <c:v>-85.496560503083884</c:v>
                </c:pt>
                <c:pt idx="227">
                  <c:v>-85.841674631344418</c:v>
                </c:pt>
                <c:pt idx="228">
                  <c:v>-86.18493351947879</c:v>
                </c:pt>
                <c:pt idx="229">
                  <c:v>-86.526492651736262</c:v>
                </c:pt>
                <c:pt idx="230">
                  <c:v>-86.866508012913812</c:v>
                </c:pt>
                <c:pt idx="231">
                  <c:v>-87.205136066398197</c:v>
                </c:pt>
                <c:pt idx="232">
                  <c:v>-87.542533737138498</c:v>
                </c:pt>
                <c:pt idx="233">
                  <c:v>-87.878858399226402</c:v>
                </c:pt>
                <c:pt idx="234">
                  <c:v>-88.214267867764008</c:v>
                </c:pt>
                <c:pt idx="235">
                  <c:v>-88.548920394712397</c:v>
                </c:pt>
                <c:pt idx="236">
                  <c:v>-88.882974668418854</c:v>
                </c:pt>
                <c:pt idx="237">
                  <c:v>-89.21658981652854</c:v>
                </c:pt>
                <c:pt idx="238">
                  <c:v>-89.549925411995716</c:v>
                </c:pt>
                <c:pt idx="239">
                  <c:v>-89.883141481913526</c:v>
                </c:pt>
                <c:pt idx="240">
                  <c:v>-90.21639851888942</c:v>
                </c:pt>
                <c:pt idx="241">
                  <c:v>-90.549857494699694</c:v>
                </c:pt>
                <c:pt idx="242">
                  <c:v>-90.883679875959132</c:v>
                </c:pt>
                <c:pt idx="243">
                  <c:v>-91.218027641549043</c:v>
                </c:pt>
                <c:pt idx="244">
                  <c:v>-91.553063301549628</c:v>
                </c:pt>
                <c:pt idx="245">
                  <c:v>-91.888949917425933</c:v>
                </c:pt>
                <c:pt idx="246">
                  <c:v>-92.225851123219385</c:v>
                </c:pt>
                <c:pt idx="247">
                  <c:v>-92.563931147498295</c:v>
                </c:pt>
                <c:pt idx="248">
                  <c:v>-92.903354835822924</c:v>
                </c:pt>
                <c:pt idx="249">
                  <c:v>-93.244287673480073</c:v>
                </c:pt>
                <c:pt idx="250">
                  <c:v>-93.586895808241607</c:v>
                </c:pt>
                <c:pt idx="251">
                  <c:v>-93.931346072901675</c:v>
                </c:pt>
                <c:pt idx="252">
                  <c:v>-94.277806007343457</c:v>
                </c:pt>
                <c:pt idx="253">
                  <c:v>-94.626443879886168</c:v>
                </c:pt>
                <c:pt idx="254">
                  <c:v>-94.97742870765714</c:v>
                </c:pt>
                <c:pt idx="255">
                  <c:v>-95.330930275731518</c:v>
                </c:pt>
                <c:pt idx="256">
                  <c:v>-95.687119154776113</c:v>
                </c:pt>
                <c:pt idx="257">
                  <c:v>-96.046166716930102</c:v>
                </c:pt>
                <c:pt idx="258">
                  <c:v>-96.408245149646518</c:v>
                </c:pt>
                <c:pt idx="259">
                  <c:v>-96.773527467214592</c:v>
                </c:pt>
                <c:pt idx="260">
                  <c:v>-97.142187519672774</c:v>
                </c:pt>
                <c:pt idx="261">
                  <c:v>-97.514399998815222</c:v>
                </c:pt>
                <c:pt idx="262">
                  <c:v>-97.890340440987245</c:v>
                </c:pt>
                <c:pt idx="263">
                  <c:v>-98.270185226353263</c:v>
                </c:pt>
                <c:pt idx="264">
                  <c:v>-98.654111574313347</c:v>
                </c:pt>
                <c:pt idx="265">
                  <c:v>-99.042297534732697</c:v>
                </c:pt>
                <c:pt idx="266">
                  <c:v>-99.434921974640289</c:v>
                </c:pt>
                <c:pt idx="267">
                  <c:v>-99.832164560039345</c:v>
                </c:pt>
                <c:pt idx="268">
                  <c:v>-100.23420573246345</c:v>
                </c:pt>
                <c:pt idx="269">
                  <c:v>-100.64122667990122</c:v>
                </c:pt>
                <c:pt idx="270">
                  <c:v>-101.05340930169973</c:v>
                </c:pt>
                <c:pt idx="271">
                  <c:v>-101.4709361670499</c:v>
                </c:pt>
                <c:pt idx="272">
                  <c:v>-101.89399046664167</c:v>
                </c:pt>
                <c:pt idx="273">
                  <c:v>-102.32275595707276</c:v>
                </c:pt>
                <c:pt idx="274">
                  <c:v>-102.75741689758</c:v>
                </c:pt>
                <c:pt idx="275">
                  <c:v>-103.19815797866008</c:v>
                </c:pt>
                <c:pt idx="276">
                  <c:v>-103.64516424213288</c:v>
                </c:pt>
                <c:pt idx="277">
                  <c:v>-104.09862099220018</c:v>
                </c:pt>
                <c:pt idx="278">
                  <c:v>-104.55871369704657</c:v>
                </c:pt>
                <c:pt idx="279">
                  <c:v>-105.02562788052526</c:v>
                </c:pt>
                <c:pt idx="280">
                  <c:v>-105.4995490034745</c:v>
                </c:pt>
                <c:pt idx="281">
                  <c:v>-105.98066233421012</c:v>
                </c:pt>
                <c:pt idx="282">
                  <c:v>-106.46915280774783</c:v>
                </c:pt>
                <c:pt idx="283">
                  <c:v>-106.96520487331294</c:v>
                </c:pt>
                <c:pt idx="284">
                  <c:v>-107.46900232971221</c:v>
                </c:pt>
                <c:pt idx="285">
                  <c:v>-107.98072814815518</c:v>
                </c:pt>
                <c:pt idx="286">
                  <c:v>-108.50056428213446</c:v>
                </c:pt>
                <c:pt idx="287">
                  <c:v>-109.0286914639988</c:v>
                </c:pt>
                <c:pt idx="288">
                  <c:v>-109.56528898788305</c:v>
                </c:pt>
                <c:pt idx="289">
                  <c:v>-110.1105344786976</c:v>
                </c:pt>
                <c:pt idx="290">
                  <c:v>-110.66460364691987</c:v>
                </c:pt>
                <c:pt idx="291">
                  <c:v>-111.22767002897834</c:v>
                </c:pt>
                <c:pt idx="292">
                  <c:v>-111.79990471308109</c:v>
                </c:pt>
                <c:pt idx="293">
                  <c:v>-112.3814760503972</c:v>
                </c:pt>
                <c:pt idx="294">
                  <c:v>-112.97254935157255</c:v>
                </c:pt>
                <c:pt idx="295">
                  <c:v>-113.57328656864505</c:v>
                </c:pt>
                <c:pt idx="296">
                  <c:v>-114.18384596250172</c:v>
                </c:pt>
                <c:pt idx="297">
                  <c:v>-114.80438175612484</c:v>
                </c:pt>
                <c:pt idx="298">
                  <c:v>-115.4350437739713</c:v>
                </c:pt>
                <c:pt idx="299">
                  <c:v>-116.07597706794444</c:v>
                </c:pt>
                <c:pt idx="300">
                  <c:v>-116.72732153053647</c:v>
                </c:pt>
                <c:pt idx="301">
                  <c:v>-117.38921149584662</c:v>
                </c:pt>
                <c:pt idx="302">
                  <c:v>-118.06177532931652</c:v>
                </c:pt>
                <c:pt idx="303">
                  <c:v>-118.7451350071656</c:v>
                </c:pt>
                <c:pt idx="304">
                  <c:v>-119.43940568665462</c:v>
                </c:pt>
                <c:pt idx="305">
                  <c:v>-120.14469526845957</c:v>
                </c:pt>
                <c:pt idx="306">
                  <c:v>-120.86110395259493</c:v>
                </c:pt>
                <c:pt idx="307">
                  <c:v>-121.58872378947753</c:v>
                </c:pt>
                <c:pt idx="308">
                  <c:v>-122.32763822788674</c:v>
                </c:pt>
                <c:pt idx="309">
                  <c:v>-123.07792166172534</c:v>
                </c:pt>
                <c:pt idx="310">
                  <c:v>-123.83963897764505</c:v>
                </c:pt>
                <c:pt idx="311">
                  <c:v>-124.61284510574058</c:v>
                </c:pt>
                <c:pt idx="312">
                  <c:v>-125.39758457565337</c:v>
                </c:pt>
                <c:pt idx="313">
                  <c:v>-126.19389108055651</c:v>
                </c:pt>
                <c:pt idx="314">
                  <c:v>-127.00178705159476</c:v>
                </c:pt>
                <c:pt idx="315">
                  <c:v>-127.82128324545373</c:v>
                </c:pt>
                <c:pt idx="316">
                  <c:v>-128.65237834780021</c:v>
                </c:pt>
                <c:pt idx="317">
                  <c:v>-129.49505859538638</c:v>
                </c:pt>
                <c:pt idx="318">
                  <c:v>-130.34929741962952</c:v>
                </c:pt>
                <c:pt idx="319">
                  <c:v>-131.21505511447754</c:v>
                </c:pt>
                <c:pt idx="320">
                  <c:v>-132.09227853132458</c:v>
                </c:pt>
                <c:pt idx="321">
                  <c:v>-132.98090080366927</c:v>
                </c:pt>
                <c:pt idx="322">
                  <c:v>-133.88084110410247</c:v>
                </c:pt>
                <c:pt idx="323">
                  <c:v>-134.79200443605885</c:v>
                </c:pt>
                <c:pt idx="324">
                  <c:v>-135.71428146258765</c:v>
                </c:pt>
                <c:pt idx="325">
                  <c:v>-136.64754837416689</c:v>
                </c:pt>
                <c:pt idx="326">
                  <c:v>-137.59166679733366</c:v>
                </c:pt>
                <c:pt idx="327">
                  <c:v>-138.54648374560628</c:v>
                </c:pt>
                <c:pt idx="328">
                  <c:v>-139.51183161383372</c:v>
                </c:pt>
                <c:pt idx="329">
                  <c:v>-140.4875282167707</c:v>
                </c:pt>
                <c:pt idx="330">
                  <c:v>-141.47337687226295</c:v>
                </c:pt>
                <c:pt idx="331">
                  <c:v>-142.46916652905193</c:v>
                </c:pt>
                <c:pt idx="332">
                  <c:v>-143.47467193875895</c:v>
                </c:pt>
                <c:pt idx="333">
                  <c:v>-144.48965387120586</c:v>
                </c:pt>
                <c:pt idx="334">
                  <c:v>-145.51385937177426</c:v>
                </c:pt>
                <c:pt idx="335">
                  <c:v>-146.5470220591028</c:v>
                </c:pt>
                <c:pt idx="336">
                  <c:v>-147.58886246099561</c:v>
                </c:pt>
                <c:pt idx="337">
                  <c:v>-148.63908838604462</c:v>
                </c:pt>
                <c:pt idx="338">
                  <c:v>-149.69739532809822</c:v>
                </c:pt>
                <c:pt idx="339">
                  <c:v>-150.76346690040103</c:v>
                </c:pt>
                <c:pt idx="340">
                  <c:v>-151.83697529595659</c:v>
                </c:pt>
                <c:pt idx="341">
                  <c:v>-152.91758177045057</c:v>
                </c:pt>
                <c:pt idx="342">
                  <c:v>-154.00493714390561</c:v>
                </c:pt>
                <c:pt idx="343">
                  <c:v>-155.09868231715396</c:v>
                </c:pt>
                <c:pt idx="344">
                  <c:v>-156.19844879918011</c:v>
                </c:pt>
                <c:pt idx="345">
                  <c:v>-157.30385924142874</c:v>
                </c:pt>
                <c:pt idx="346">
                  <c:v>-158.41452797528424</c:v>
                </c:pt>
                <c:pt idx="347">
                  <c:v>-159.53006154910713</c:v>
                </c:pt>
                <c:pt idx="348">
                  <c:v>-160.65005926146276</c:v>
                </c:pt>
                <c:pt idx="349">
                  <c:v>-161.77411368747701</c:v>
                </c:pt>
                <c:pt idx="350">
                  <c:v>-162.90181119562402</c:v>
                </c:pt>
                <c:pt idx="351">
                  <c:v>-164.0327324526605</c:v>
                </c:pt>
                <c:pt idx="352">
                  <c:v>-165.16645291487376</c:v>
                </c:pt>
                <c:pt idx="353">
                  <c:v>-166.30254330429096</c:v>
                </c:pt>
                <c:pt idx="354">
                  <c:v>-167.44057006901105</c:v>
                </c:pt>
                <c:pt idx="355">
                  <c:v>-168.58009582730944</c:v>
                </c:pt>
                <c:pt idx="356">
                  <c:v>-169.72067979571108</c:v>
                </c:pt>
                <c:pt idx="357">
                  <c:v>-170.86187820168536</c:v>
                </c:pt>
                <c:pt idx="358">
                  <c:v>-172.00324468212079</c:v>
                </c:pt>
                <c:pt idx="359">
                  <c:v>-173.14433066915402</c:v>
                </c:pt>
                <c:pt idx="360">
                  <c:v>-174.28468576532512</c:v>
                </c:pt>
                <c:pt idx="361">
                  <c:v>-175.42385811036505</c:v>
                </c:pt>
                <c:pt idx="362">
                  <c:v>-176.56139474219998</c:v>
                </c:pt>
                <c:pt idx="363">
                  <c:v>-177.69684195495978</c:v>
                </c:pt>
                <c:pt idx="364">
                  <c:v>-178.82974565690631</c:v>
                </c:pt>
                <c:pt idx="365">
                  <c:v>-179.95965173126268</c:v>
                </c:pt>
                <c:pt idx="366">
                  <c:v>178.91389359709973</c:v>
                </c:pt>
                <c:pt idx="367">
                  <c:v>177.79134338626207</c:v>
                </c:pt>
                <c:pt idx="368">
                  <c:v>176.67314959045129</c:v>
                </c:pt>
                <c:pt idx="369">
                  <c:v>175.55976265938403</c:v>
                </c:pt>
                <c:pt idx="370">
                  <c:v>174.45163112161634</c:v>
                </c:pt>
                <c:pt idx="371">
                  <c:v>173.34920115011786</c:v>
                </c:pt>
                <c:pt idx="372">
                  <c:v>172.25291610870138</c:v>
                </c:pt>
                <c:pt idx="373">
                  <c:v>171.1632160783864</c:v>
                </c:pt>
                <c:pt idx="374">
                  <c:v>170.08053736325201</c:v>
                </c:pt>
                <c:pt idx="375">
                  <c:v>169.00531197582717</c:v>
                </c:pt>
                <c:pt idx="376">
                  <c:v>167.93796710257195</c:v>
                </c:pt>
                <c:pt idx="377">
                  <c:v>166.87892455048532</c:v>
                </c:pt>
                <c:pt idx="378">
                  <c:v>165.8286001763723</c:v>
                </c:pt>
                <c:pt idx="379">
                  <c:v>164.78740330072765</c:v>
                </c:pt>
                <c:pt idx="380">
                  <c:v>163.75573610863336</c:v>
                </c:pt>
                <c:pt idx="381">
                  <c:v>162.73399304041396</c:v>
                </c:pt>
                <c:pt idx="382">
                  <c:v>161.72256017511572</c:v>
                </c:pt>
                <c:pt idx="383">
                  <c:v>160.72181461013693</c:v>
                </c:pt>
                <c:pt idx="384">
                  <c:v>159.73212384051206</c:v>
                </c:pt>
                <c:pt idx="385">
                  <c:v>158.75384514149704</c:v>
                </c:pt>
                <c:pt idx="386">
                  <c:v>157.78732495813881</c:v>
                </c:pt>
                <c:pt idx="387">
                  <c:v>156.8328983055151</c:v>
                </c:pt>
                <c:pt idx="388">
                  <c:v>155.89088818325115</c:v>
                </c:pt>
                <c:pt idx="389">
                  <c:v>154.96160500776921</c:v>
                </c:pt>
                <c:pt idx="390">
                  <c:v>154.04534606554537</c:v>
                </c:pt>
                <c:pt idx="391">
                  <c:v>153.14239499038229</c:v>
                </c:pt>
                <c:pt idx="392">
                  <c:v>152.2530212674246</c:v>
                </c:pt>
                <c:pt idx="393">
                  <c:v>151.37747976629825</c:v>
                </c:pt>
                <c:pt idx="394">
                  <c:v>150.51601030540257</c:v>
                </c:pt>
                <c:pt idx="395">
                  <c:v>149.66883724899401</c:v>
                </c:pt>
                <c:pt idx="396">
                  <c:v>148.83616913830679</c:v>
                </c:pt>
                <c:pt idx="397">
                  <c:v>148.01819835755506</c:v>
                </c:pt>
                <c:pt idx="398">
                  <c:v>147.2151008352615</c:v>
                </c:pt>
                <c:pt idx="399">
                  <c:v>146.42703578098374</c:v>
                </c:pt>
                <c:pt idx="400">
                  <c:v>145.65414545712687</c:v>
                </c:pt>
                <c:pt idx="401">
                  <c:v>144.8965549852164</c:v>
                </c:pt>
                <c:pt idx="402">
                  <c:v>144.15437218566964</c:v>
                </c:pt>
                <c:pt idx="403">
                  <c:v>143.4276874498581</c:v>
                </c:pt>
                <c:pt idx="404">
                  <c:v>142.71657364300384</c:v>
                </c:pt>
                <c:pt idx="405">
                  <c:v>142.021086036274</c:v>
                </c:pt>
                <c:pt idx="406">
                  <c:v>141.34126226628962</c:v>
                </c:pt>
                <c:pt idx="407">
                  <c:v>140.67712232017348</c:v>
                </c:pt>
                <c:pt idx="408">
                  <c:v>140.02866854420444</c:v>
                </c:pt>
                <c:pt idx="409">
                  <c:v>139.39588567414739</c:v>
                </c:pt>
                <c:pt idx="410">
                  <c:v>138.77874088536666</c:v>
                </c:pt>
                <c:pt idx="411">
                  <c:v>138.17718386091514</c:v>
                </c:pt>
                <c:pt idx="412">
                  <c:v>137.59114687591722</c:v>
                </c:pt>
                <c:pt idx="413">
                  <c:v>137.02054489672375</c:v>
                </c:pt>
                <c:pt idx="414">
                  <c:v>136.46527569351991</c:v>
                </c:pt>
                <c:pt idx="415">
                  <c:v>135.92521996528393</c:v>
                </c:pt>
                <c:pt idx="416">
                  <c:v>135.40024147626352</c:v>
                </c:pt>
                <c:pt idx="417">
                  <c:v>134.8901872033972</c:v>
                </c:pt>
                <c:pt idx="418">
                  <c:v>134.39488749441819</c:v>
                </c:pt>
                <c:pt idx="419">
                  <c:v>133.91415623666654</c:v>
                </c:pt>
                <c:pt idx="420">
                  <c:v>133.4477910369645</c:v>
                </c:pt>
                <c:pt idx="421">
                  <c:v>132.99557341322352</c:v>
                </c:pt>
                <c:pt idx="422">
                  <c:v>132.55726899876029</c:v>
                </c:pt>
                <c:pt idx="423">
                  <c:v>132.13262776061387</c:v>
                </c:pt>
                <c:pt idx="424">
                  <c:v>131.72138423345092</c:v>
                </c:pt>
                <c:pt idx="425">
                  <c:v>131.32325777091538</c:v>
                </c:pt>
                <c:pt idx="426">
                  <c:v>130.93795281654803</c:v>
                </c:pt>
                <c:pt idx="427">
                  <c:v>130.56515919661359</c:v>
                </c:pt>
                <c:pt idx="428">
                  <c:v>130.20455243738351</c:v>
                </c:pt>
                <c:pt idx="429">
                  <c:v>129.85579410956194</c:v>
                </c:pt>
                <c:pt idx="430">
                  <c:v>129.5185322026804</c:v>
                </c:pt>
                <c:pt idx="431">
                  <c:v>129.19240153233753</c:v>
                </c:pt>
                <c:pt idx="432">
                  <c:v>128.87702418319489</c:v>
                </c:pt>
                <c:pt idx="433">
                  <c:v>128.57200999060322</c:v>
                </c:pt>
                <c:pt idx="434">
                  <c:v>128.27695706364614</c:v>
                </c:pt>
                <c:pt idx="435">
                  <c:v>127.99145235225058</c:v>
                </c:pt>
                <c:pt idx="436">
                  <c:v>127.71507226079999</c:v>
                </c:pt>
                <c:pt idx="437">
                  <c:v>127.44738331043732</c:v>
                </c:pt>
                <c:pt idx="438">
                  <c:v>127.18794285190985</c:v>
                </c:pt>
                <c:pt idx="439">
                  <c:v>126.93629983044212</c:v>
                </c:pt>
                <c:pt idx="440">
                  <c:v>126.69199560367659</c:v>
                </c:pt>
                <c:pt idx="441">
                  <c:v>126.45456481324213</c:v>
                </c:pt>
                <c:pt idx="442">
                  <c:v>126.22353630997083</c:v>
                </c:pt>
                <c:pt idx="443">
                  <c:v>125.99843413220599</c:v>
                </c:pt>
                <c:pt idx="444">
                  <c:v>125.77877853602973</c:v>
                </c:pt>
                <c:pt idx="445">
                  <c:v>125.56408707558975</c:v>
                </c:pt>
                <c:pt idx="446">
                  <c:v>125.35387573104349</c:v>
                </c:pt>
                <c:pt idx="447">
                  <c:v>125.14766008095775</c:v>
                </c:pt>
                <c:pt idx="448">
                  <c:v>124.94495651531507</c:v>
                </c:pt>
                <c:pt idx="449">
                  <c:v>124.7452834846145</c:v>
                </c:pt>
                <c:pt idx="450">
                  <c:v>124.54816277988552</c:v>
                </c:pt>
                <c:pt idx="451">
                  <c:v>124.35312083781427</c:v>
                </c:pt>
                <c:pt idx="452">
                  <c:v>124.159690064587</c:v>
                </c:pt>
                <c:pt idx="453">
                  <c:v>123.96741017151105</c:v>
                </c:pt>
                <c:pt idx="454">
                  <c:v>123.77582951499753</c:v>
                </c:pt>
                <c:pt idx="455">
                  <c:v>123.58450643306527</c:v>
                </c:pt>
                <c:pt idx="456">
                  <c:v>123.39301057018814</c:v>
                </c:pt>
                <c:pt idx="457">
                  <c:v>123.20092418205222</c:v>
                </c:pt>
                <c:pt idx="458">
                  <c:v>123.00784341160818</c:v>
                </c:pt>
                <c:pt idx="459">
                  <c:v>122.8133795277419</c:v>
                </c:pt>
                <c:pt idx="460">
                  <c:v>122.61716011788843</c:v>
                </c:pt>
                <c:pt idx="461">
                  <c:v>122.41883022604611</c:v>
                </c:pt>
                <c:pt idx="462">
                  <c:v>122.21805342785055</c:v>
                </c:pt>
                <c:pt idx="463">
                  <c:v>122.01451283468904</c:v>
                </c:pt>
                <c:pt idx="464">
                  <c:v>121.80791201923665</c:v>
                </c:pt>
                <c:pt idx="465">
                  <c:v>121.59797585530023</c:v>
                </c:pt>
                <c:pt idx="466">
                  <c:v>121.38445126543289</c:v>
                </c:pt>
                <c:pt idx="467">
                  <c:v>121.16710787044956</c:v>
                </c:pt>
                <c:pt idx="468">
                  <c:v>120.94573853570891</c:v>
                </c:pt>
                <c:pt idx="469">
                  <c:v>120.72015980982053</c:v>
                </c:pt>
                <c:pt idx="470">
                  <c:v>120.49021225229551</c:v>
                </c:pt>
                <c:pt idx="471">
                  <c:v>120.25576064754328</c:v>
                </c:pt>
                <c:pt idx="472">
                  <c:v>120.01669410356649</c:v>
                </c:pt>
                <c:pt idx="473">
                  <c:v>119.7729260346308</c:v>
                </c:pt>
                <c:pt idx="474">
                  <c:v>119.52439402817348</c:v>
                </c:pt>
                <c:pt idx="475">
                  <c:v>119.27105959716103</c:v>
                </c:pt>
                <c:pt idx="476">
                  <c:v>119.01290782006708</c:v>
                </c:pt>
                <c:pt idx="477">
                  <c:v>118.74994687156048</c:v>
                </c:pt>
                <c:pt idx="478">
                  <c:v>118.48220744789147</c:v>
                </c:pt>
                <c:pt idx="479">
                  <c:v>118.20974209181246</c:v>
                </c:pt>
                <c:pt idx="480">
                  <c:v>117.93262442266247</c:v>
                </c:pt>
                <c:pt idx="481">
                  <c:v>117.65094827797564</c:v>
                </c:pt>
                <c:pt idx="482">
                  <c:v>117.36482677362771</c:v>
                </c:pt>
                <c:pt idx="483">
                  <c:v>117.0743912901213</c:v>
                </c:pt>
                <c:pt idx="484">
                  <c:v>116.77979039309122</c:v>
                </c:pt>
                <c:pt idx="485">
                  <c:v>116.48118869652372</c:v>
                </c:pt>
                <c:pt idx="486">
                  <c:v>116.17876567748105</c:v>
                </c:pt>
                <c:pt idx="487">
                  <c:v>115.87271445133115</c:v>
                </c:pt>
                <c:pt idx="488">
                  <c:v>115.56324051660378</c:v>
                </c:pt>
                <c:pt idx="489">
                  <c:v>115.25056047858415</c:v>
                </c:pt>
                <c:pt idx="490">
                  <c:v>114.93490076070279</c:v>
                </c:pt>
                <c:pt idx="491">
                  <c:v>114.61649631256927</c:v>
                </c:pt>
                <c:pt idx="492">
                  <c:v>114.2955893232574</c:v>
                </c:pt>
                <c:pt idx="493">
                  <c:v>113.97242794809438</c:v>
                </c:pt>
                <c:pt idx="494">
                  <c:v>113.64726505678222</c:v>
                </c:pt>
                <c:pt idx="495">
                  <c:v>113.32035701018856</c:v>
                </c:pt>
                <c:pt idx="496">
                  <c:v>112.99196247260258</c:v>
                </c:pt>
                <c:pt idx="497">
                  <c:v>112.66234126565257</c:v>
                </c:pt>
                <c:pt idx="498">
                  <c:v>112.3317532694374</c:v>
                </c:pt>
                <c:pt idx="499">
                  <c:v>112.00045737577128</c:v>
                </c:pt>
                <c:pt idx="500">
                  <c:v>111.66871049774807</c:v>
                </c:pt>
                <c:pt idx="501">
                  <c:v>111.3367666391419</c:v>
                </c:pt>
                <c:pt idx="502">
                  <c:v>111.00487602646761</c:v>
                </c:pt>
                <c:pt idx="503">
                  <c:v>110.67328430584189</c:v>
                </c:pt>
                <c:pt idx="504">
                  <c:v>110.34223180611856</c:v>
                </c:pt>
                <c:pt idx="505">
                  <c:v>110.01195286913695</c:v>
                </c:pt>
                <c:pt idx="506">
                  <c:v>109.68267524731118</c:v>
                </c:pt>
                <c:pt idx="507">
                  <c:v>109.35461956822121</c:v>
                </c:pt>
                <c:pt idx="508">
                  <c:v>109.02799886533825</c:v>
                </c:pt>
                <c:pt idx="509">
                  <c:v>108.70301817354013</c:v>
                </c:pt>
                <c:pt idx="510">
                  <c:v>108.37987418763986</c:v>
                </c:pt>
                <c:pt idx="511">
                  <c:v>108.05875498176975</c:v>
                </c:pt>
                <c:pt idx="512">
                  <c:v>107.73983978713908</c:v>
                </c:pt>
                <c:pt idx="513">
                  <c:v>107.42329882539759</c:v>
                </c:pt>
                <c:pt idx="514">
                  <c:v>107.10929319462306</c:v>
                </c:pt>
                <c:pt idx="515">
                  <c:v>106.79797480476128</c:v>
                </c:pt>
                <c:pt idx="516">
                  <c:v>106.48948635922277</c:v>
                </c:pt>
                <c:pt idx="517">
                  <c:v>106.18396137925401</c:v>
                </c:pt>
                <c:pt idx="518">
                  <c:v>105.88152426764879</c:v>
                </c:pt>
                <c:pt idx="519">
                  <c:v>105.5822904083639</c:v>
                </c:pt>
                <c:pt idx="520">
                  <c:v>105.28636629862433</c:v>
                </c:pt>
                <c:pt idx="521">
                  <c:v>104.99384971015746</c:v>
                </c:pt>
                <c:pt idx="522">
                  <c:v>104.70482987628533</c:v>
                </c:pt>
                <c:pt idx="523">
                  <c:v>104.41938770169898</c:v>
                </c:pt>
                <c:pt idx="524">
                  <c:v>104.13759599186719</c:v>
                </c:pt>
                <c:pt idx="525">
                  <c:v>103.85951969917575</c:v>
                </c:pt>
                <c:pt idx="526">
                  <c:v>103.58521618303551</c:v>
                </c:pt>
                <c:pt idx="527">
                  <c:v>103.31473548136937</c:v>
                </c:pt>
                <c:pt idx="528">
                  <c:v>103.04812059104724</c:v>
                </c:pt>
                <c:pt idx="529">
                  <c:v>102.78540775501178</c:v>
                </c:pt>
                <c:pt idx="530">
                  <c:v>102.52662675401764</c:v>
                </c:pt>
                <c:pt idx="531">
                  <c:v>102.27180120106668</c:v>
                </c:pt>
                <c:pt idx="532">
                  <c:v>102.02094883680275</c:v>
                </c:pt>
                <c:pt idx="533">
                  <c:v>101.77408182429052</c:v>
                </c:pt>
                <c:pt idx="534">
                  <c:v>101.53120704176534</c:v>
                </c:pt>
                <c:pt idx="535">
                  <c:v>101.29232637209667</c:v>
                </c:pt>
                <c:pt idx="536">
                  <c:v>101.05743698785584</c:v>
                </c:pt>
                <c:pt idx="537">
                  <c:v>100.82653163101577</c:v>
                </c:pt>
                <c:pt idx="538">
                  <c:v>100.5995988864499</c:v>
                </c:pt>
                <c:pt idx="539">
                  <c:v>100.37662344851466</c:v>
                </c:pt>
                <c:pt idx="540">
                  <c:v>100.15758638011825</c:v>
                </c:pt>
                <c:pt idx="541">
                  <c:v>99.942465363784237</c:v>
                </c:pt>
              </c:numCache>
            </c:numRef>
          </c:yVal>
          <c:smooth val="1"/>
          <c:extLst>
            <c:ext xmlns:c16="http://schemas.microsoft.com/office/drawing/2014/chart" uri="{C3380CC4-5D6E-409C-BE32-E72D297353CC}">
              <c16:uniqueId val="{00000001-69E5-488F-8178-EA81D5C894E7}"/>
            </c:ext>
          </c:extLst>
        </c:ser>
        <c:dLbls>
          <c:showLegendKey val="0"/>
          <c:showVal val="0"/>
          <c:showCatName val="0"/>
          <c:showSerName val="0"/>
          <c:showPercent val="0"/>
          <c:showBubbleSize val="0"/>
        </c:dLbls>
        <c:axId val="555250048"/>
        <c:axId val="555235968"/>
      </c:scatterChart>
      <c:valAx>
        <c:axId val="555231872"/>
        <c:scaling>
          <c:logBase val="10"/>
          <c:orientation val="minMax"/>
          <c:max val="2200000"/>
          <c:min val="10"/>
        </c:scaling>
        <c:delete val="0"/>
        <c:axPos val="b"/>
        <c:minorGridlines/>
        <c:title>
          <c:tx>
            <c:rich>
              <a:bodyPr/>
              <a:lstStyle/>
              <a:p>
                <a:pPr>
                  <a:defRPr/>
                </a:pPr>
                <a:r>
                  <a:rPr lang="en-US"/>
                  <a:t>Frequency</a:t>
                </a:r>
                <a:r>
                  <a:rPr lang="en-US" baseline="0"/>
                  <a:t> (Hz)</a:t>
                </a:r>
                <a:endParaRPr lang="en-US"/>
              </a:p>
            </c:rich>
          </c:tx>
          <c:overlay val="0"/>
        </c:title>
        <c:numFmt formatCode="0" sourceLinked="0"/>
        <c:majorTickMark val="out"/>
        <c:minorTickMark val="none"/>
        <c:tickLblPos val="low"/>
        <c:crossAx val="555234048"/>
        <c:crosses val="autoZero"/>
        <c:crossBetween val="midCat"/>
      </c:valAx>
      <c:valAx>
        <c:axId val="555234048"/>
        <c:scaling>
          <c:orientation val="minMax"/>
          <c:max val="40"/>
          <c:min val="-40"/>
        </c:scaling>
        <c:delete val="0"/>
        <c:axPos val="l"/>
        <c:majorGridlines/>
        <c:minorGridlines/>
        <c:title>
          <c:tx>
            <c:rich>
              <a:bodyPr rot="-5400000" vert="horz"/>
              <a:lstStyle/>
              <a:p>
                <a:pPr>
                  <a:defRPr/>
                </a:pPr>
                <a:r>
                  <a:rPr lang="en-US"/>
                  <a:t>Gain</a:t>
                </a:r>
                <a:r>
                  <a:rPr lang="en-US" baseline="0"/>
                  <a:t> (dB)</a:t>
                </a:r>
                <a:endParaRPr lang="en-US"/>
              </a:p>
            </c:rich>
          </c:tx>
          <c:overlay val="0"/>
        </c:title>
        <c:numFmt formatCode="General" sourceLinked="0"/>
        <c:majorTickMark val="out"/>
        <c:minorTickMark val="none"/>
        <c:tickLblPos val="nextTo"/>
        <c:crossAx val="555231872"/>
        <c:crosses val="autoZero"/>
        <c:crossBetween val="midCat"/>
        <c:majorUnit val="20"/>
        <c:minorUnit val="10"/>
      </c:valAx>
      <c:valAx>
        <c:axId val="555235968"/>
        <c:scaling>
          <c:orientation val="minMax"/>
          <c:max val="180"/>
          <c:min val="-180"/>
        </c:scaling>
        <c:delete val="0"/>
        <c:axPos val="r"/>
        <c:numFmt formatCode="General" sourceLinked="1"/>
        <c:majorTickMark val="out"/>
        <c:minorTickMark val="none"/>
        <c:tickLblPos val="nextTo"/>
        <c:crossAx val="555250048"/>
        <c:crosses val="max"/>
        <c:crossBetween val="midCat"/>
        <c:majorUnit val="90"/>
        <c:minorUnit val="45"/>
      </c:valAx>
      <c:valAx>
        <c:axId val="555250048"/>
        <c:scaling>
          <c:logBase val="10"/>
          <c:orientation val="minMax"/>
        </c:scaling>
        <c:delete val="1"/>
        <c:axPos val="b"/>
        <c:numFmt formatCode="0.00" sourceLinked="1"/>
        <c:majorTickMark val="out"/>
        <c:minorTickMark val="none"/>
        <c:tickLblPos val="nextTo"/>
        <c:crossAx val="555235968"/>
        <c:crosses val="autoZero"/>
        <c:crossBetween val="midCat"/>
      </c:valAx>
    </c:plotArea>
    <c:legend>
      <c:legendPos val="r"/>
      <c:layout>
        <c:manualLayout>
          <c:xMode val="edge"/>
          <c:yMode val="edge"/>
          <c:x val="0.79880558209512509"/>
          <c:y val="0.14321997959862004"/>
          <c:w val="0.13459449276057311"/>
          <c:h val="0.10691609861199437"/>
        </c:manualLayout>
      </c:layout>
      <c:overlay val="1"/>
      <c:spPr>
        <a:solidFill>
          <a:schemeClr val="bg1"/>
        </a:solidFill>
      </c:spPr>
    </c:legend>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Error</a:t>
            </a:r>
            <a:r>
              <a:rPr lang="en-US" baseline="0"/>
              <a:t> Amplifier Transfer</a:t>
            </a:r>
          </a:p>
        </c:rich>
      </c:tx>
      <c:overlay val="0"/>
    </c:title>
    <c:autoTitleDeleted val="0"/>
    <c:plotArea>
      <c:layout/>
      <c:scatterChart>
        <c:scatterStyle val="smoothMarker"/>
        <c:varyColors val="0"/>
        <c:ser>
          <c:idx val="0"/>
          <c:order val="0"/>
          <c:marker>
            <c:symbol val="none"/>
          </c:marker>
          <c:xVal>
            <c:numRef>
              <c:f>Loop_Modeling!$O$19:$O$560</c:f>
              <c:numCache>
                <c:formatCode>0.00</c:formatCode>
                <c:ptCount val="542"/>
                <c:pt idx="0">
                  <c:v>10.232929922807543</c:v>
                </c:pt>
                <c:pt idx="1">
                  <c:v>10.471285480509</c:v>
                </c:pt>
                <c:pt idx="2">
                  <c:v>10.715193052376069</c:v>
                </c:pt>
                <c:pt idx="3">
                  <c:v>10.964781961431854</c:v>
                </c:pt>
                <c:pt idx="4">
                  <c:v>11.220184543019636</c:v>
                </c:pt>
                <c:pt idx="5">
                  <c:v>11.481536214968834</c:v>
                </c:pt>
                <c:pt idx="6">
                  <c:v>11.748975549395301</c:v>
                </c:pt>
                <c:pt idx="7">
                  <c:v>12.022644346174133</c:v>
                </c:pt>
                <c:pt idx="8">
                  <c:v>12.302687708123818</c:v>
                </c:pt>
                <c:pt idx="9">
                  <c:v>12.58925411794168</c:v>
                </c:pt>
                <c:pt idx="10">
                  <c:v>12.882495516931346</c:v>
                </c:pt>
                <c:pt idx="11">
                  <c:v>13.182567385564075</c:v>
                </c:pt>
                <c:pt idx="12">
                  <c:v>13.489628825916535</c:v>
                </c:pt>
                <c:pt idx="13">
                  <c:v>13.803842646028857</c:v>
                </c:pt>
                <c:pt idx="14">
                  <c:v>14.125375446227544</c:v>
                </c:pt>
                <c:pt idx="15">
                  <c:v>14.454397707459275</c:v>
                </c:pt>
                <c:pt idx="16">
                  <c:v>14.791083881682074</c:v>
                </c:pt>
                <c:pt idx="17">
                  <c:v>15.135612484362087</c:v>
                </c:pt>
                <c:pt idx="18">
                  <c:v>15.488166189124817</c:v>
                </c:pt>
                <c:pt idx="19">
                  <c:v>15.848931924611136</c:v>
                </c:pt>
                <c:pt idx="20">
                  <c:v>16.218100973589298</c:v>
                </c:pt>
                <c:pt idx="21">
                  <c:v>16.595869074375614</c:v>
                </c:pt>
                <c:pt idx="22">
                  <c:v>16.982436524617448</c:v>
                </c:pt>
                <c:pt idx="23">
                  <c:v>17.378008287493756</c:v>
                </c:pt>
                <c:pt idx="24">
                  <c:v>17.782794100389236</c:v>
                </c:pt>
                <c:pt idx="25">
                  <c:v>18.197008586099841</c:v>
                </c:pt>
                <c:pt idx="26">
                  <c:v>18.62087136662868</c:v>
                </c:pt>
                <c:pt idx="27">
                  <c:v>19.054607179632477</c:v>
                </c:pt>
                <c:pt idx="28">
                  <c:v>19.498445997580465</c:v>
                </c:pt>
                <c:pt idx="29">
                  <c:v>19.952623149688804</c:v>
                </c:pt>
                <c:pt idx="30">
                  <c:v>20.4173794466953</c:v>
                </c:pt>
                <c:pt idx="31">
                  <c:v>20.8929613085404</c:v>
                </c:pt>
                <c:pt idx="32">
                  <c:v>21.379620895022335</c:v>
                </c:pt>
                <c:pt idx="33">
                  <c:v>21.877616239495538</c:v>
                </c:pt>
                <c:pt idx="34">
                  <c:v>22.387211385683404</c:v>
                </c:pt>
                <c:pt idx="35">
                  <c:v>22.908676527677727</c:v>
                </c:pt>
                <c:pt idx="36">
                  <c:v>23.442288153199236</c:v>
                </c:pt>
                <c:pt idx="37">
                  <c:v>23.988329190194907</c:v>
                </c:pt>
                <c:pt idx="38">
                  <c:v>24.547089156850316</c:v>
                </c:pt>
                <c:pt idx="39">
                  <c:v>25.118864315095799</c:v>
                </c:pt>
                <c:pt idx="40">
                  <c:v>25.703957827688647</c:v>
                </c:pt>
                <c:pt idx="41">
                  <c:v>26.302679918953825</c:v>
                </c:pt>
                <c:pt idx="42">
                  <c:v>26.915348039269158</c:v>
                </c:pt>
                <c:pt idx="43">
                  <c:v>27.542287033381665</c:v>
                </c:pt>
                <c:pt idx="44">
                  <c:v>28.183829312644548</c:v>
                </c:pt>
                <c:pt idx="45">
                  <c:v>28.840315031266066</c:v>
                </c:pt>
                <c:pt idx="46">
                  <c:v>29.512092266663863</c:v>
                </c:pt>
                <c:pt idx="47">
                  <c:v>30.199517204020164</c:v>
                </c:pt>
                <c:pt idx="48">
                  <c:v>30.902954325135919</c:v>
                </c:pt>
                <c:pt idx="49">
                  <c:v>31.622776601683803</c:v>
                </c:pt>
                <c:pt idx="50">
                  <c:v>32.359365692962832</c:v>
                </c:pt>
                <c:pt idx="51">
                  <c:v>33.113112148259127</c:v>
                </c:pt>
                <c:pt idx="52">
                  <c:v>33.884415613920268</c:v>
                </c:pt>
                <c:pt idx="53">
                  <c:v>34.67368504525318</c:v>
                </c:pt>
                <c:pt idx="54">
                  <c:v>35.481338923357555</c:v>
                </c:pt>
                <c:pt idx="55">
                  <c:v>36.307805477010156</c:v>
                </c:pt>
                <c:pt idx="56">
                  <c:v>37.15352290971726</c:v>
                </c:pt>
                <c:pt idx="57">
                  <c:v>38.018939632056139</c:v>
                </c:pt>
                <c:pt idx="58">
                  <c:v>38.904514499428053</c:v>
                </c:pt>
                <c:pt idx="59">
                  <c:v>39.810717055349755</c:v>
                </c:pt>
                <c:pt idx="60">
                  <c:v>40.738027780411279</c:v>
                </c:pt>
                <c:pt idx="61">
                  <c:v>41.686938347033561</c:v>
                </c:pt>
                <c:pt idx="62">
                  <c:v>42.657951880159267</c:v>
                </c:pt>
                <c:pt idx="63">
                  <c:v>43.651583224016633</c:v>
                </c:pt>
                <c:pt idx="64">
                  <c:v>44.668359215096324</c:v>
                </c:pt>
                <c:pt idx="65">
                  <c:v>45.70881896148753</c:v>
                </c:pt>
                <c:pt idx="66">
                  <c:v>46.773514128719818</c:v>
                </c:pt>
                <c:pt idx="67">
                  <c:v>47.863009232263877</c:v>
                </c:pt>
                <c:pt idx="68">
                  <c:v>48.977881936844632</c:v>
                </c:pt>
                <c:pt idx="69">
                  <c:v>50.118723362727238</c:v>
                </c:pt>
                <c:pt idx="70">
                  <c:v>51.28613839913649</c:v>
                </c:pt>
                <c:pt idx="71">
                  <c:v>52.480746024977286</c:v>
                </c:pt>
                <c:pt idx="72">
                  <c:v>53.703179637025293</c:v>
                </c:pt>
                <c:pt idx="73">
                  <c:v>54.95408738576247</c:v>
                </c:pt>
                <c:pt idx="74">
                  <c:v>56.234132519034915</c:v>
                </c:pt>
                <c:pt idx="75">
                  <c:v>57.543993733715695</c:v>
                </c:pt>
                <c:pt idx="76">
                  <c:v>58.884365535558949</c:v>
                </c:pt>
                <c:pt idx="77">
                  <c:v>60.255958607435822</c:v>
                </c:pt>
                <c:pt idx="78">
                  <c:v>61.659500186148257</c:v>
                </c:pt>
                <c:pt idx="79">
                  <c:v>63.095734448019364</c:v>
                </c:pt>
                <c:pt idx="80">
                  <c:v>64.565422903465588</c:v>
                </c:pt>
                <c:pt idx="81">
                  <c:v>66.069344800759623</c:v>
                </c:pt>
                <c:pt idx="82">
                  <c:v>67.60829753919819</c:v>
                </c:pt>
                <c:pt idx="83">
                  <c:v>69.183097091893657</c:v>
                </c:pt>
                <c:pt idx="84">
                  <c:v>70.794578438413865</c:v>
                </c:pt>
                <c:pt idx="85">
                  <c:v>72.443596007499011</c:v>
                </c:pt>
                <c:pt idx="86">
                  <c:v>74.131024130091816</c:v>
                </c:pt>
                <c:pt idx="87">
                  <c:v>75.857757502918361</c:v>
                </c:pt>
                <c:pt idx="88">
                  <c:v>77.624711662869217</c:v>
                </c:pt>
                <c:pt idx="89">
                  <c:v>79.432823472428197</c:v>
                </c:pt>
                <c:pt idx="90">
                  <c:v>81.283051616409963</c:v>
                </c:pt>
                <c:pt idx="91">
                  <c:v>83.176377110267126</c:v>
                </c:pt>
                <c:pt idx="92">
                  <c:v>85.113803820237734</c:v>
                </c:pt>
                <c:pt idx="93">
                  <c:v>87.096358995608071</c:v>
                </c:pt>
                <c:pt idx="94">
                  <c:v>89.125093813374562</c:v>
                </c:pt>
                <c:pt idx="95">
                  <c:v>91.201083935590972</c:v>
                </c:pt>
                <c:pt idx="96">
                  <c:v>93.325430079699174</c:v>
                </c:pt>
                <c:pt idx="97">
                  <c:v>95.499258602143655</c:v>
                </c:pt>
                <c:pt idx="98">
                  <c:v>97.723722095581124</c:v>
                </c:pt>
                <c:pt idx="99">
                  <c:v>100</c:v>
                </c:pt>
                <c:pt idx="100">
                  <c:v>102.32929922807544</c:v>
                </c:pt>
                <c:pt idx="101">
                  <c:v>104.71285480508998</c:v>
                </c:pt>
                <c:pt idx="102">
                  <c:v>107.15193052376065</c:v>
                </c:pt>
                <c:pt idx="103">
                  <c:v>109.64781961431861</c:v>
                </c:pt>
                <c:pt idx="104">
                  <c:v>112.20184543019634</c:v>
                </c:pt>
                <c:pt idx="105">
                  <c:v>114.81536214968835</c:v>
                </c:pt>
                <c:pt idx="106">
                  <c:v>117.48975549395293</c:v>
                </c:pt>
                <c:pt idx="107">
                  <c:v>120.22644346174135</c:v>
                </c:pt>
                <c:pt idx="108">
                  <c:v>123.02687708123821</c:v>
                </c:pt>
                <c:pt idx="109">
                  <c:v>125.89254117941677</c:v>
                </c:pt>
                <c:pt idx="110">
                  <c:v>128.82495516931343</c:v>
                </c:pt>
                <c:pt idx="111">
                  <c:v>131.82567385564084</c:v>
                </c:pt>
                <c:pt idx="112">
                  <c:v>134.89628825916537</c:v>
                </c:pt>
                <c:pt idx="113">
                  <c:v>138.0384264602886</c:v>
                </c:pt>
                <c:pt idx="114">
                  <c:v>141.25375446227542</c:v>
                </c:pt>
                <c:pt idx="115">
                  <c:v>144.54397707459285</c:v>
                </c:pt>
                <c:pt idx="116">
                  <c:v>147.91083881682084</c:v>
                </c:pt>
                <c:pt idx="117">
                  <c:v>151.3561248436209</c:v>
                </c:pt>
                <c:pt idx="118">
                  <c:v>154.8816618912482</c:v>
                </c:pt>
                <c:pt idx="119">
                  <c:v>158.48931924611153</c:v>
                </c:pt>
                <c:pt idx="120">
                  <c:v>162.18100973589304</c:v>
                </c:pt>
                <c:pt idx="121">
                  <c:v>165.95869074375622</c:v>
                </c:pt>
                <c:pt idx="122">
                  <c:v>169.82436524617444</c:v>
                </c:pt>
                <c:pt idx="123">
                  <c:v>173.78008287493768</c:v>
                </c:pt>
                <c:pt idx="124">
                  <c:v>177.82794100389242</c:v>
                </c:pt>
                <c:pt idx="125">
                  <c:v>181.9700858609983</c:v>
                </c:pt>
                <c:pt idx="126">
                  <c:v>186.20871366628685</c:v>
                </c:pt>
                <c:pt idx="127">
                  <c:v>190.54607179632498</c:v>
                </c:pt>
                <c:pt idx="128">
                  <c:v>194.98445997580458</c:v>
                </c:pt>
                <c:pt idx="129">
                  <c:v>199.52623149688802</c:v>
                </c:pt>
                <c:pt idx="130">
                  <c:v>204.17379446695315</c:v>
                </c:pt>
                <c:pt idx="131">
                  <c:v>208.92961308540396</c:v>
                </c:pt>
                <c:pt idx="132">
                  <c:v>213.79620895022339</c:v>
                </c:pt>
                <c:pt idx="133">
                  <c:v>218.77616239495524</c:v>
                </c:pt>
                <c:pt idx="134">
                  <c:v>223.87211385683412</c:v>
                </c:pt>
                <c:pt idx="135">
                  <c:v>229.08676527677744</c:v>
                </c:pt>
                <c:pt idx="136">
                  <c:v>234.42288153199232</c:v>
                </c:pt>
                <c:pt idx="137">
                  <c:v>239.88329190194912</c:v>
                </c:pt>
                <c:pt idx="138">
                  <c:v>245.4708915685033</c:v>
                </c:pt>
                <c:pt idx="139">
                  <c:v>251.18864315095806</c:v>
                </c:pt>
                <c:pt idx="140">
                  <c:v>257.03957827688663</c:v>
                </c:pt>
                <c:pt idx="141">
                  <c:v>263.02679918953817</c:v>
                </c:pt>
                <c:pt idx="142">
                  <c:v>269.15348039269179</c:v>
                </c:pt>
                <c:pt idx="143">
                  <c:v>275.42287033381683</c:v>
                </c:pt>
                <c:pt idx="144">
                  <c:v>281.83829312644554</c:v>
                </c:pt>
                <c:pt idx="145">
                  <c:v>288.40315031266073</c:v>
                </c:pt>
                <c:pt idx="146">
                  <c:v>295.12092266663871</c:v>
                </c:pt>
                <c:pt idx="147">
                  <c:v>301.99517204020168</c:v>
                </c:pt>
                <c:pt idx="148">
                  <c:v>309.02954325135937</c:v>
                </c:pt>
                <c:pt idx="149">
                  <c:v>316.22776601683825</c:v>
                </c:pt>
                <c:pt idx="150">
                  <c:v>323.59365692962825</c:v>
                </c:pt>
                <c:pt idx="151">
                  <c:v>331.13112148259137</c:v>
                </c:pt>
                <c:pt idx="152">
                  <c:v>338.84415613920277</c:v>
                </c:pt>
                <c:pt idx="153">
                  <c:v>346.73685045253183</c:v>
                </c:pt>
                <c:pt idx="154">
                  <c:v>354.81338923357566</c:v>
                </c:pt>
                <c:pt idx="155">
                  <c:v>363.07805477010152</c:v>
                </c:pt>
                <c:pt idx="156">
                  <c:v>371.53522909717265</c:v>
                </c:pt>
                <c:pt idx="157">
                  <c:v>380.18939632056163</c:v>
                </c:pt>
                <c:pt idx="158">
                  <c:v>389.04514499428063</c:v>
                </c:pt>
                <c:pt idx="159">
                  <c:v>398.10717055349761</c:v>
                </c:pt>
                <c:pt idx="160">
                  <c:v>407.38027780411272</c:v>
                </c:pt>
                <c:pt idx="161">
                  <c:v>416.86938347033572</c:v>
                </c:pt>
                <c:pt idx="162">
                  <c:v>426.57951880159294</c:v>
                </c:pt>
                <c:pt idx="163">
                  <c:v>436.51583224016622</c:v>
                </c:pt>
                <c:pt idx="164">
                  <c:v>446.68359215096331</c:v>
                </c:pt>
                <c:pt idx="165">
                  <c:v>457.0881896148756</c:v>
                </c:pt>
                <c:pt idx="166">
                  <c:v>467.7351412871983</c:v>
                </c:pt>
                <c:pt idx="167">
                  <c:v>478.63009232263886</c:v>
                </c:pt>
                <c:pt idx="168">
                  <c:v>489.77881936844625</c:v>
                </c:pt>
                <c:pt idx="169">
                  <c:v>501.18723362727269</c:v>
                </c:pt>
                <c:pt idx="170">
                  <c:v>512.86138399136519</c:v>
                </c:pt>
                <c:pt idx="171">
                  <c:v>524.80746024977248</c:v>
                </c:pt>
                <c:pt idx="172">
                  <c:v>537.03179637025301</c:v>
                </c:pt>
                <c:pt idx="173">
                  <c:v>549.54087385762534</c:v>
                </c:pt>
                <c:pt idx="174">
                  <c:v>562.34132519034927</c:v>
                </c:pt>
                <c:pt idx="175">
                  <c:v>575.43993733715706</c:v>
                </c:pt>
                <c:pt idx="176">
                  <c:v>588.84365535558959</c:v>
                </c:pt>
                <c:pt idx="177">
                  <c:v>602.55958607435832</c:v>
                </c:pt>
                <c:pt idx="178">
                  <c:v>616.59500186148273</c:v>
                </c:pt>
                <c:pt idx="179">
                  <c:v>630.95734448019323</c:v>
                </c:pt>
                <c:pt idx="180">
                  <c:v>645.65422903465594</c:v>
                </c:pt>
                <c:pt idx="181">
                  <c:v>660.69344800759643</c:v>
                </c:pt>
                <c:pt idx="182">
                  <c:v>676.08297539198213</c:v>
                </c:pt>
                <c:pt idx="183">
                  <c:v>691.83097091893671</c:v>
                </c:pt>
                <c:pt idx="184">
                  <c:v>707.94578438413873</c:v>
                </c:pt>
                <c:pt idx="185">
                  <c:v>724.43596007499025</c:v>
                </c:pt>
                <c:pt idx="186">
                  <c:v>741.31024130091828</c:v>
                </c:pt>
                <c:pt idx="187">
                  <c:v>758.57757502918378</c:v>
                </c:pt>
                <c:pt idx="188">
                  <c:v>776.24711662869231</c:v>
                </c:pt>
                <c:pt idx="189">
                  <c:v>794.32823472428208</c:v>
                </c:pt>
                <c:pt idx="190">
                  <c:v>812.83051616409978</c:v>
                </c:pt>
                <c:pt idx="191">
                  <c:v>831.7637711026714</c:v>
                </c:pt>
                <c:pt idx="192">
                  <c:v>851.13803820237763</c:v>
                </c:pt>
                <c:pt idx="193">
                  <c:v>870.96358995608091</c:v>
                </c:pt>
                <c:pt idx="194">
                  <c:v>891.25093813374656</c:v>
                </c:pt>
                <c:pt idx="195">
                  <c:v>912.01083935590987</c:v>
                </c:pt>
                <c:pt idx="196">
                  <c:v>933.25430079699106</c:v>
                </c:pt>
                <c:pt idx="197">
                  <c:v>954.99258602143675</c:v>
                </c:pt>
                <c:pt idx="198">
                  <c:v>977.23722095581138</c:v>
                </c:pt>
                <c:pt idx="199">
                  <c:v>1000</c:v>
                </c:pt>
                <c:pt idx="200">
                  <c:v>1023.2929922807547</c:v>
                </c:pt>
                <c:pt idx="201">
                  <c:v>1047.1285480509</c:v>
                </c:pt>
                <c:pt idx="202">
                  <c:v>1071.5193052376069</c:v>
                </c:pt>
                <c:pt idx="203">
                  <c:v>1096.4781961431863</c:v>
                </c:pt>
                <c:pt idx="204">
                  <c:v>1122.0184543019636</c:v>
                </c:pt>
                <c:pt idx="205">
                  <c:v>1148.1536214968839</c:v>
                </c:pt>
                <c:pt idx="206">
                  <c:v>1174.8975549395295</c:v>
                </c:pt>
                <c:pt idx="207">
                  <c:v>1202.2644346174138</c:v>
                </c:pt>
                <c:pt idx="208">
                  <c:v>1230.2687708123824</c:v>
                </c:pt>
                <c:pt idx="209">
                  <c:v>1258.925411794168</c:v>
                </c:pt>
                <c:pt idx="210">
                  <c:v>1288.2495516931347</c:v>
                </c:pt>
                <c:pt idx="211">
                  <c:v>1318.2567385564089</c:v>
                </c:pt>
                <c:pt idx="212">
                  <c:v>1348.9628825916541</c:v>
                </c:pt>
                <c:pt idx="213">
                  <c:v>1380.3842646028863</c:v>
                </c:pt>
                <c:pt idx="214">
                  <c:v>1412.5375446227545</c:v>
                </c:pt>
                <c:pt idx="215">
                  <c:v>1445.4397707459289</c:v>
                </c:pt>
                <c:pt idx="216">
                  <c:v>1479.1083881682086</c:v>
                </c:pt>
                <c:pt idx="217">
                  <c:v>1513.5612484362093</c:v>
                </c:pt>
                <c:pt idx="218">
                  <c:v>1548.8166189124822</c:v>
                </c:pt>
                <c:pt idx="219">
                  <c:v>1584.8931924611156</c:v>
                </c:pt>
                <c:pt idx="220">
                  <c:v>1621.8100973589308</c:v>
                </c:pt>
                <c:pt idx="221">
                  <c:v>1659.5869074375626</c:v>
                </c:pt>
                <c:pt idx="222">
                  <c:v>1698.2436524617447</c:v>
                </c:pt>
                <c:pt idx="223">
                  <c:v>1737.8008287493772</c:v>
                </c:pt>
                <c:pt idx="224">
                  <c:v>1778.2794100389244</c:v>
                </c:pt>
                <c:pt idx="225">
                  <c:v>1819.7008586099832</c:v>
                </c:pt>
                <c:pt idx="226">
                  <c:v>1862.0871366628687</c:v>
                </c:pt>
                <c:pt idx="227">
                  <c:v>1905.4607179632501</c:v>
                </c:pt>
                <c:pt idx="228">
                  <c:v>1949.8445997580463</c:v>
                </c:pt>
                <c:pt idx="229">
                  <c:v>1995.2623149688804</c:v>
                </c:pt>
                <c:pt idx="230">
                  <c:v>2041.7379446695318</c:v>
                </c:pt>
                <c:pt idx="231">
                  <c:v>2089.2961308540398</c:v>
                </c:pt>
                <c:pt idx="232">
                  <c:v>2137.9620895022344</c:v>
                </c:pt>
                <c:pt idx="233">
                  <c:v>2187.7616239495528</c:v>
                </c:pt>
                <c:pt idx="234">
                  <c:v>2238.7211385683418</c:v>
                </c:pt>
                <c:pt idx="235">
                  <c:v>2290.8676527677749</c:v>
                </c:pt>
                <c:pt idx="236">
                  <c:v>2344.2288153199238</c:v>
                </c:pt>
                <c:pt idx="237">
                  <c:v>2398.8329190194918</c:v>
                </c:pt>
                <c:pt idx="238">
                  <c:v>2454.7089156850338</c:v>
                </c:pt>
                <c:pt idx="239">
                  <c:v>2511.8864315095811</c:v>
                </c:pt>
                <c:pt idx="240">
                  <c:v>2570.3957827688669</c:v>
                </c:pt>
                <c:pt idx="241">
                  <c:v>2630.2679918953822</c:v>
                </c:pt>
                <c:pt idx="242">
                  <c:v>2691.5348039269184</c:v>
                </c:pt>
                <c:pt idx="243">
                  <c:v>2754.228703338169</c:v>
                </c:pt>
                <c:pt idx="244">
                  <c:v>2818.3829312644561</c:v>
                </c:pt>
                <c:pt idx="245">
                  <c:v>2884.0315031266077</c:v>
                </c:pt>
                <c:pt idx="246">
                  <c:v>2951.2092266663876</c:v>
                </c:pt>
                <c:pt idx="247">
                  <c:v>3019.9517204020176</c:v>
                </c:pt>
                <c:pt idx="248">
                  <c:v>3090.295432513592</c:v>
                </c:pt>
                <c:pt idx="249">
                  <c:v>3162.2776601683804</c:v>
                </c:pt>
                <c:pt idx="250">
                  <c:v>3235.9365692962833</c:v>
                </c:pt>
                <c:pt idx="251">
                  <c:v>3311.3112148259115</c:v>
                </c:pt>
                <c:pt idx="252">
                  <c:v>3388.4415613920314</c:v>
                </c:pt>
                <c:pt idx="253">
                  <c:v>3467.3685045253224</c:v>
                </c:pt>
                <c:pt idx="254">
                  <c:v>3548.1338923357539</c:v>
                </c:pt>
                <c:pt idx="255">
                  <c:v>3630.7805477010188</c:v>
                </c:pt>
                <c:pt idx="256">
                  <c:v>3715.352290971724</c:v>
                </c:pt>
                <c:pt idx="257">
                  <c:v>3801.8939632056172</c:v>
                </c:pt>
                <c:pt idx="258">
                  <c:v>3890.451449942811</c:v>
                </c:pt>
                <c:pt idx="259">
                  <c:v>3981.0717055349769</c:v>
                </c:pt>
                <c:pt idx="260">
                  <c:v>4073.8027780411317</c:v>
                </c:pt>
                <c:pt idx="261">
                  <c:v>4168.6938347033583</c:v>
                </c:pt>
                <c:pt idx="262">
                  <c:v>4265.7951880159299</c:v>
                </c:pt>
                <c:pt idx="263">
                  <c:v>4365.1583224016631</c:v>
                </c:pt>
                <c:pt idx="264">
                  <c:v>4466.8359215096343</c:v>
                </c:pt>
                <c:pt idx="265">
                  <c:v>4570.8818961487532</c:v>
                </c:pt>
                <c:pt idx="266">
                  <c:v>4677.3514128719844</c:v>
                </c:pt>
                <c:pt idx="267">
                  <c:v>4786.3009232263848</c:v>
                </c:pt>
                <c:pt idx="268">
                  <c:v>4897.7881936844633</c:v>
                </c:pt>
                <c:pt idx="269">
                  <c:v>5011.8723362727324</c:v>
                </c:pt>
                <c:pt idx="270">
                  <c:v>5128.6138399136489</c:v>
                </c:pt>
                <c:pt idx="271">
                  <c:v>5248.0746024977261</c:v>
                </c:pt>
                <c:pt idx="272">
                  <c:v>5370.3179637025269</c:v>
                </c:pt>
                <c:pt idx="273">
                  <c:v>5495.4087385762541</c:v>
                </c:pt>
                <c:pt idx="274">
                  <c:v>5623.4132519034993</c:v>
                </c:pt>
                <c:pt idx="275">
                  <c:v>5754.399373371567</c:v>
                </c:pt>
                <c:pt idx="276">
                  <c:v>5888.4365535558973</c:v>
                </c:pt>
                <c:pt idx="277">
                  <c:v>6025.595860743585</c:v>
                </c:pt>
                <c:pt idx="278">
                  <c:v>6165.9500186148289</c:v>
                </c:pt>
                <c:pt idx="279">
                  <c:v>6309.5734448019384</c:v>
                </c:pt>
                <c:pt idx="280">
                  <c:v>6456.5422903465615</c:v>
                </c:pt>
                <c:pt idx="281">
                  <c:v>6606.9344800759654</c:v>
                </c:pt>
                <c:pt idx="282">
                  <c:v>6760.8297539198229</c:v>
                </c:pt>
                <c:pt idx="283">
                  <c:v>6918.3097091893687</c:v>
                </c:pt>
                <c:pt idx="284">
                  <c:v>7079.4578438413828</c:v>
                </c:pt>
                <c:pt idx="285">
                  <c:v>7244.3596007499036</c:v>
                </c:pt>
                <c:pt idx="286">
                  <c:v>7413.1024130091773</c:v>
                </c:pt>
                <c:pt idx="287">
                  <c:v>7585.7757502918394</c:v>
                </c:pt>
                <c:pt idx="288">
                  <c:v>7762.4711662869322</c:v>
                </c:pt>
                <c:pt idx="289">
                  <c:v>7943.2823472428154</c:v>
                </c:pt>
                <c:pt idx="290">
                  <c:v>8128.3051616410066</c:v>
                </c:pt>
                <c:pt idx="291">
                  <c:v>8317.6377110267094</c:v>
                </c:pt>
                <c:pt idx="292">
                  <c:v>8511.3803820237772</c:v>
                </c:pt>
                <c:pt idx="293">
                  <c:v>8709.6358995608189</c:v>
                </c:pt>
                <c:pt idx="294">
                  <c:v>8912.5093813374679</c:v>
                </c:pt>
                <c:pt idx="295">
                  <c:v>9120.1083935591087</c:v>
                </c:pt>
                <c:pt idx="296">
                  <c:v>9332.5430079699217</c:v>
                </c:pt>
                <c:pt idx="297">
                  <c:v>9549.9258602143691</c:v>
                </c:pt>
                <c:pt idx="298">
                  <c:v>9772.3722095581161</c:v>
                </c:pt>
                <c:pt idx="299">
                  <c:v>10000</c:v>
                </c:pt>
                <c:pt idx="300">
                  <c:v>10232.929922807549</c:v>
                </c:pt>
                <c:pt idx="301">
                  <c:v>10471.285480509003</c:v>
                </c:pt>
                <c:pt idx="302">
                  <c:v>10715.193052376071</c:v>
                </c:pt>
                <c:pt idx="303">
                  <c:v>10964.781961431856</c:v>
                </c:pt>
                <c:pt idx="304">
                  <c:v>11220.184543019639</c:v>
                </c:pt>
                <c:pt idx="305">
                  <c:v>11481.536214968832</c:v>
                </c:pt>
                <c:pt idx="306">
                  <c:v>11748.975549395318</c:v>
                </c:pt>
                <c:pt idx="307">
                  <c:v>12022.644346174151</c:v>
                </c:pt>
                <c:pt idx="308">
                  <c:v>12302.687708123816</c:v>
                </c:pt>
                <c:pt idx="309">
                  <c:v>12589.254117941671</c:v>
                </c:pt>
                <c:pt idx="310">
                  <c:v>12882.49551693136</c:v>
                </c:pt>
                <c:pt idx="311">
                  <c:v>13182.567385564091</c:v>
                </c:pt>
                <c:pt idx="312">
                  <c:v>13489.628825916556</c:v>
                </c:pt>
                <c:pt idx="313">
                  <c:v>13803.842646028841</c:v>
                </c:pt>
                <c:pt idx="314">
                  <c:v>14125.375446227561</c:v>
                </c:pt>
                <c:pt idx="315">
                  <c:v>14454.397707459291</c:v>
                </c:pt>
                <c:pt idx="316">
                  <c:v>14791.083881682089</c:v>
                </c:pt>
                <c:pt idx="317">
                  <c:v>15135.612484362096</c:v>
                </c:pt>
                <c:pt idx="318">
                  <c:v>15488.166189124853</c:v>
                </c:pt>
                <c:pt idx="319">
                  <c:v>15848.931924611146</c:v>
                </c:pt>
                <c:pt idx="320">
                  <c:v>16218.100973589309</c:v>
                </c:pt>
                <c:pt idx="321">
                  <c:v>16595.869074375616</c:v>
                </c:pt>
                <c:pt idx="322">
                  <c:v>16982.436524617482</c:v>
                </c:pt>
                <c:pt idx="323">
                  <c:v>17378.008287493791</c:v>
                </c:pt>
                <c:pt idx="324">
                  <c:v>17782.794100389234</c:v>
                </c:pt>
                <c:pt idx="325">
                  <c:v>18197.008586099837</c:v>
                </c:pt>
                <c:pt idx="326">
                  <c:v>18620.871366628675</c:v>
                </c:pt>
                <c:pt idx="327">
                  <c:v>19054.607179632505</c:v>
                </c:pt>
                <c:pt idx="328">
                  <c:v>19498.445997580486</c:v>
                </c:pt>
                <c:pt idx="329">
                  <c:v>19952.623149688792</c:v>
                </c:pt>
                <c:pt idx="330">
                  <c:v>20417.379446695286</c:v>
                </c:pt>
                <c:pt idx="331">
                  <c:v>20892.961308540423</c:v>
                </c:pt>
                <c:pt idx="332">
                  <c:v>21379.620895022348</c:v>
                </c:pt>
                <c:pt idx="333">
                  <c:v>21877.61623949555</c:v>
                </c:pt>
                <c:pt idx="334">
                  <c:v>22387.211385683382</c:v>
                </c:pt>
                <c:pt idx="335">
                  <c:v>22908.676527677751</c:v>
                </c:pt>
                <c:pt idx="336">
                  <c:v>23442.288153199243</c:v>
                </c:pt>
                <c:pt idx="337">
                  <c:v>23988.329190194923</c:v>
                </c:pt>
                <c:pt idx="338">
                  <c:v>24547.089156850321</c:v>
                </c:pt>
                <c:pt idx="339">
                  <c:v>25118.86431509586</c:v>
                </c:pt>
                <c:pt idx="340">
                  <c:v>25703.95782768865</c:v>
                </c:pt>
                <c:pt idx="341">
                  <c:v>26302.679918953829</c:v>
                </c:pt>
                <c:pt idx="342">
                  <c:v>26915.348039269167</c:v>
                </c:pt>
                <c:pt idx="343">
                  <c:v>27542.287033381719</c:v>
                </c:pt>
                <c:pt idx="344">
                  <c:v>28183.829312644593</c:v>
                </c:pt>
                <c:pt idx="345">
                  <c:v>28840.315031266062</c:v>
                </c:pt>
                <c:pt idx="346">
                  <c:v>29512.092266663854</c:v>
                </c:pt>
                <c:pt idx="347">
                  <c:v>30199.517204020212</c:v>
                </c:pt>
                <c:pt idx="348">
                  <c:v>30902.954325135954</c:v>
                </c:pt>
                <c:pt idx="349">
                  <c:v>31622.77660168384</c:v>
                </c:pt>
                <c:pt idx="350">
                  <c:v>32359.365692962871</c:v>
                </c:pt>
                <c:pt idx="351">
                  <c:v>33113.11214825909</c:v>
                </c:pt>
                <c:pt idx="352">
                  <c:v>33884.41561392029</c:v>
                </c:pt>
                <c:pt idx="353">
                  <c:v>34673.685045253202</c:v>
                </c:pt>
                <c:pt idx="354">
                  <c:v>35481.33892335758</c:v>
                </c:pt>
                <c:pt idx="355">
                  <c:v>36307.805477010232</c:v>
                </c:pt>
                <c:pt idx="356">
                  <c:v>37153.522909717351</c:v>
                </c:pt>
                <c:pt idx="357">
                  <c:v>38018.939632056143</c:v>
                </c:pt>
                <c:pt idx="358">
                  <c:v>38904.514499428085</c:v>
                </c:pt>
                <c:pt idx="359">
                  <c:v>39810.717055349742</c:v>
                </c:pt>
                <c:pt idx="360">
                  <c:v>40738.027780411358</c:v>
                </c:pt>
                <c:pt idx="361">
                  <c:v>41686.938347033625</c:v>
                </c:pt>
                <c:pt idx="362">
                  <c:v>42657.951880159271</c:v>
                </c:pt>
                <c:pt idx="363">
                  <c:v>43651.583224016598</c:v>
                </c:pt>
                <c:pt idx="364">
                  <c:v>44668.359215096389</c:v>
                </c:pt>
                <c:pt idx="365">
                  <c:v>45708.818961487581</c:v>
                </c:pt>
                <c:pt idx="366">
                  <c:v>46773.514128719893</c:v>
                </c:pt>
                <c:pt idx="367">
                  <c:v>47863.009232263823</c:v>
                </c:pt>
                <c:pt idx="368">
                  <c:v>48977.881936844598</c:v>
                </c:pt>
                <c:pt idx="369">
                  <c:v>50118.723362727294</c:v>
                </c:pt>
                <c:pt idx="370">
                  <c:v>51286.138399136544</c:v>
                </c:pt>
                <c:pt idx="371">
                  <c:v>52480.746024977314</c:v>
                </c:pt>
                <c:pt idx="372">
                  <c:v>53703.179637025423</c:v>
                </c:pt>
                <c:pt idx="373">
                  <c:v>54954.087385762505</c:v>
                </c:pt>
                <c:pt idx="374">
                  <c:v>56234.132519034953</c:v>
                </c:pt>
                <c:pt idx="375">
                  <c:v>57543.993733715732</c:v>
                </c:pt>
                <c:pt idx="376">
                  <c:v>58884.365535558936</c:v>
                </c:pt>
                <c:pt idx="377">
                  <c:v>60255.95860743591</c:v>
                </c:pt>
                <c:pt idx="378">
                  <c:v>61659.500186148245</c:v>
                </c:pt>
                <c:pt idx="379">
                  <c:v>63095.734448019342</c:v>
                </c:pt>
                <c:pt idx="380">
                  <c:v>64565.422903465682</c:v>
                </c:pt>
                <c:pt idx="381">
                  <c:v>66069.344800759733</c:v>
                </c:pt>
                <c:pt idx="382">
                  <c:v>67608.297539198305</c:v>
                </c:pt>
                <c:pt idx="383">
                  <c:v>69183.097091893651</c:v>
                </c:pt>
                <c:pt idx="384">
                  <c:v>70794.578438413781</c:v>
                </c:pt>
                <c:pt idx="385">
                  <c:v>72443.596007499116</c:v>
                </c:pt>
                <c:pt idx="386">
                  <c:v>74131.024130091857</c:v>
                </c:pt>
                <c:pt idx="387">
                  <c:v>75857.757502918481</c:v>
                </c:pt>
                <c:pt idx="388">
                  <c:v>77624.711662869129</c:v>
                </c:pt>
                <c:pt idx="389">
                  <c:v>79432.823472428237</c:v>
                </c:pt>
                <c:pt idx="390">
                  <c:v>81283.051616410012</c:v>
                </c:pt>
                <c:pt idx="391">
                  <c:v>83176.377110267174</c:v>
                </c:pt>
                <c:pt idx="392">
                  <c:v>85113.803820237721</c:v>
                </c:pt>
                <c:pt idx="393">
                  <c:v>87096.358995608127</c:v>
                </c:pt>
                <c:pt idx="394">
                  <c:v>89125.093813374609</c:v>
                </c:pt>
                <c:pt idx="395">
                  <c:v>91201.083935591028</c:v>
                </c:pt>
                <c:pt idx="396">
                  <c:v>93325.430079699145</c:v>
                </c:pt>
                <c:pt idx="397">
                  <c:v>95499.258602143804</c:v>
                </c:pt>
                <c:pt idx="398">
                  <c:v>97723.722095581266</c:v>
                </c:pt>
                <c:pt idx="399">
                  <c:v>100000</c:v>
                </c:pt>
                <c:pt idx="400">
                  <c:v>102329.29922807543</c:v>
                </c:pt>
                <c:pt idx="401">
                  <c:v>104712.85480508996</c:v>
                </c:pt>
                <c:pt idx="402">
                  <c:v>107151.93052376082</c:v>
                </c:pt>
                <c:pt idx="403">
                  <c:v>109647.81961431868</c:v>
                </c:pt>
                <c:pt idx="404">
                  <c:v>112201.84543019651</c:v>
                </c:pt>
                <c:pt idx="405">
                  <c:v>114815.36214968823</c:v>
                </c:pt>
                <c:pt idx="406">
                  <c:v>117489.75549395311</c:v>
                </c:pt>
                <c:pt idx="407">
                  <c:v>120226.44346174144</c:v>
                </c:pt>
                <c:pt idx="408">
                  <c:v>123026.87708123829</c:v>
                </c:pt>
                <c:pt idx="409">
                  <c:v>125892.54117941685</c:v>
                </c:pt>
                <c:pt idx="410">
                  <c:v>128824.95516931375</c:v>
                </c:pt>
                <c:pt idx="411">
                  <c:v>131825.67385564081</c:v>
                </c:pt>
                <c:pt idx="412">
                  <c:v>134896.28825916545</c:v>
                </c:pt>
                <c:pt idx="413">
                  <c:v>138038.42646028858</c:v>
                </c:pt>
                <c:pt idx="414">
                  <c:v>141253.75446227577</c:v>
                </c:pt>
                <c:pt idx="415">
                  <c:v>144543.97707459307</c:v>
                </c:pt>
                <c:pt idx="416">
                  <c:v>147910.83881682079</c:v>
                </c:pt>
                <c:pt idx="417">
                  <c:v>151356.12484362084</c:v>
                </c:pt>
                <c:pt idx="418">
                  <c:v>154881.66189124843</c:v>
                </c:pt>
                <c:pt idx="419">
                  <c:v>158489.31924611164</c:v>
                </c:pt>
                <c:pt idx="420">
                  <c:v>162181.00973589328</c:v>
                </c:pt>
                <c:pt idx="421">
                  <c:v>165958.69074375604</c:v>
                </c:pt>
                <c:pt idx="422">
                  <c:v>169824.36524617471</c:v>
                </c:pt>
                <c:pt idx="423">
                  <c:v>173780.0828749378</c:v>
                </c:pt>
                <c:pt idx="424">
                  <c:v>177827.94100389251</c:v>
                </c:pt>
                <c:pt idx="425">
                  <c:v>181970.08586099857</c:v>
                </c:pt>
                <c:pt idx="426">
                  <c:v>186208.71366628664</c:v>
                </c:pt>
                <c:pt idx="427">
                  <c:v>190546.07179632492</c:v>
                </c:pt>
                <c:pt idx="428">
                  <c:v>194984.45997580473</c:v>
                </c:pt>
                <c:pt idx="429">
                  <c:v>199526.23149688813</c:v>
                </c:pt>
                <c:pt idx="430">
                  <c:v>204173.79446695308</c:v>
                </c:pt>
                <c:pt idx="431">
                  <c:v>208929.61308540447</c:v>
                </c:pt>
                <c:pt idx="432">
                  <c:v>213796.20895022334</c:v>
                </c:pt>
                <c:pt idx="433">
                  <c:v>218776.16239495538</c:v>
                </c:pt>
                <c:pt idx="434">
                  <c:v>223872.11385683404</c:v>
                </c:pt>
                <c:pt idx="435">
                  <c:v>229086.76527677779</c:v>
                </c:pt>
                <c:pt idx="436">
                  <c:v>234422.88153199267</c:v>
                </c:pt>
                <c:pt idx="437">
                  <c:v>239883.29190194907</c:v>
                </c:pt>
                <c:pt idx="438">
                  <c:v>245470.89156850305</c:v>
                </c:pt>
                <c:pt idx="439">
                  <c:v>251188.64315095844</c:v>
                </c:pt>
                <c:pt idx="440">
                  <c:v>257039.57827688678</c:v>
                </c:pt>
                <c:pt idx="441">
                  <c:v>263026.79918953858</c:v>
                </c:pt>
                <c:pt idx="442">
                  <c:v>269153.48039269145</c:v>
                </c:pt>
                <c:pt idx="443">
                  <c:v>275422.87033381703</c:v>
                </c:pt>
                <c:pt idx="444">
                  <c:v>281838.29312644573</c:v>
                </c:pt>
                <c:pt idx="445">
                  <c:v>288403.1503126609</c:v>
                </c:pt>
                <c:pt idx="446">
                  <c:v>295120.92266663886</c:v>
                </c:pt>
                <c:pt idx="447">
                  <c:v>301995.17204020242</c:v>
                </c:pt>
                <c:pt idx="448">
                  <c:v>309029.54325135931</c:v>
                </c:pt>
                <c:pt idx="449">
                  <c:v>316227.7660168382</c:v>
                </c:pt>
                <c:pt idx="450">
                  <c:v>323593.65692962846</c:v>
                </c:pt>
                <c:pt idx="451">
                  <c:v>331131.12148259126</c:v>
                </c:pt>
                <c:pt idx="452">
                  <c:v>338844.15613920329</c:v>
                </c:pt>
                <c:pt idx="453">
                  <c:v>346736.85045253241</c:v>
                </c:pt>
                <c:pt idx="454">
                  <c:v>354813.38923357555</c:v>
                </c:pt>
                <c:pt idx="455">
                  <c:v>363078.05477010203</c:v>
                </c:pt>
                <c:pt idx="456">
                  <c:v>371535.2290971732</c:v>
                </c:pt>
                <c:pt idx="457">
                  <c:v>380189.39632056188</c:v>
                </c:pt>
                <c:pt idx="458">
                  <c:v>389045.14499428123</c:v>
                </c:pt>
                <c:pt idx="459">
                  <c:v>398107.17055349716</c:v>
                </c:pt>
                <c:pt idx="460">
                  <c:v>407380.27780411334</c:v>
                </c:pt>
                <c:pt idx="461">
                  <c:v>416869.38347033598</c:v>
                </c:pt>
                <c:pt idx="462">
                  <c:v>426579.51880159322</c:v>
                </c:pt>
                <c:pt idx="463">
                  <c:v>436515.83224016649</c:v>
                </c:pt>
                <c:pt idx="464">
                  <c:v>446683.59215096442</c:v>
                </c:pt>
                <c:pt idx="465">
                  <c:v>457088.18961487547</c:v>
                </c:pt>
                <c:pt idx="466">
                  <c:v>467735.14128719864</c:v>
                </c:pt>
                <c:pt idx="467">
                  <c:v>478630.09232263872</c:v>
                </c:pt>
                <c:pt idx="468">
                  <c:v>489778.81936844654</c:v>
                </c:pt>
                <c:pt idx="469">
                  <c:v>501187.23362727347</c:v>
                </c:pt>
                <c:pt idx="470">
                  <c:v>512861.38399136515</c:v>
                </c:pt>
                <c:pt idx="471">
                  <c:v>524807.46024977288</c:v>
                </c:pt>
                <c:pt idx="472">
                  <c:v>537031.7963702539</c:v>
                </c:pt>
                <c:pt idx="473">
                  <c:v>549540.87385762564</c:v>
                </c:pt>
                <c:pt idx="474">
                  <c:v>562341.32519035018</c:v>
                </c:pt>
                <c:pt idx="475">
                  <c:v>575439.93733715697</c:v>
                </c:pt>
                <c:pt idx="476">
                  <c:v>588843.65535558888</c:v>
                </c:pt>
                <c:pt idx="477">
                  <c:v>602559.58607435878</c:v>
                </c:pt>
                <c:pt idx="478">
                  <c:v>616595.00186148309</c:v>
                </c:pt>
                <c:pt idx="479">
                  <c:v>630957.34448019415</c:v>
                </c:pt>
                <c:pt idx="480">
                  <c:v>645654.22903465747</c:v>
                </c:pt>
                <c:pt idx="481">
                  <c:v>660693.44800759677</c:v>
                </c:pt>
                <c:pt idx="482">
                  <c:v>676082.97539198259</c:v>
                </c:pt>
                <c:pt idx="483">
                  <c:v>691830.97091893724</c:v>
                </c:pt>
                <c:pt idx="484">
                  <c:v>707945.78438413853</c:v>
                </c:pt>
                <c:pt idx="485">
                  <c:v>724435.96007499192</c:v>
                </c:pt>
                <c:pt idx="486">
                  <c:v>741310.24130091805</c:v>
                </c:pt>
                <c:pt idx="487">
                  <c:v>758577.57502918423</c:v>
                </c:pt>
                <c:pt idx="488">
                  <c:v>776247.11662869214</c:v>
                </c:pt>
                <c:pt idx="489">
                  <c:v>794328.23472428333</c:v>
                </c:pt>
                <c:pt idx="490">
                  <c:v>812830.51616410096</c:v>
                </c:pt>
                <c:pt idx="491">
                  <c:v>831763.77110267128</c:v>
                </c:pt>
                <c:pt idx="492">
                  <c:v>851138.03820237669</c:v>
                </c:pt>
                <c:pt idx="493">
                  <c:v>870963.58995608077</c:v>
                </c:pt>
                <c:pt idx="494">
                  <c:v>891250.93813374708</c:v>
                </c:pt>
                <c:pt idx="495">
                  <c:v>912010.83935591124</c:v>
                </c:pt>
                <c:pt idx="496">
                  <c:v>933254.30079699249</c:v>
                </c:pt>
                <c:pt idx="497">
                  <c:v>954992.58602143743</c:v>
                </c:pt>
                <c:pt idx="498">
                  <c:v>977237.22095581202</c:v>
                </c:pt>
                <c:pt idx="499">
                  <c:v>1000000</c:v>
                </c:pt>
                <c:pt idx="500">
                  <c:v>1023292.9922807553</c:v>
                </c:pt>
                <c:pt idx="501">
                  <c:v>1047128.5480509007</c:v>
                </c:pt>
                <c:pt idx="502">
                  <c:v>1071519.3052376076</c:v>
                </c:pt>
                <c:pt idx="503">
                  <c:v>1096478.196143186</c:v>
                </c:pt>
                <c:pt idx="504">
                  <c:v>1122018.4543019643</c:v>
                </c:pt>
                <c:pt idx="505">
                  <c:v>1148153.6214968837</c:v>
                </c:pt>
                <c:pt idx="506">
                  <c:v>1174897.5549395324</c:v>
                </c:pt>
                <c:pt idx="507">
                  <c:v>1202264.4346174158</c:v>
                </c:pt>
                <c:pt idx="508">
                  <c:v>1230268.770812382</c:v>
                </c:pt>
                <c:pt idx="509">
                  <c:v>1258925.4117941677</c:v>
                </c:pt>
                <c:pt idx="510">
                  <c:v>1288249.5516931366</c:v>
                </c:pt>
                <c:pt idx="511">
                  <c:v>1318256.7385564097</c:v>
                </c:pt>
                <c:pt idx="512">
                  <c:v>1348962.8825916562</c:v>
                </c:pt>
                <c:pt idx="513">
                  <c:v>1380384.2646028849</c:v>
                </c:pt>
                <c:pt idx="514">
                  <c:v>1412537.5446227565</c:v>
                </c:pt>
                <c:pt idx="515">
                  <c:v>1445439.7707459298</c:v>
                </c:pt>
                <c:pt idx="516">
                  <c:v>1479108.3881682095</c:v>
                </c:pt>
                <c:pt idx="517">
                  <c:v>1513561.2484362102</c:v>
                </c:pt>
                <c:pt idx="518">
                  <c:v>1548816.6189124861</c:v>
                </c:pt>
                <c:pt idx="519">
                  <c:v>1584893.1924611153</c:v>
                </c:pt>
                <c:pt idx="520">
                  <c:v>1621810.0973589318</c:v>
                </c:pt>
                <c:pt idx="521">
                  <c:v>1659586.9074375622</c:v>
                </c:pt>
                <c:pt idx="522">
                  <c:v>1698243.6524617488</c:v>
                </c:pt>
                <c:pt idx="523">
                  <c:v>1737800.8287493798</c:v>
                </c:pt>
                <c:pt idx="524">
                  <c:v>1778279.4100389241</c:v>
                </c:pt>
                <c:pt idx="525">
                  <c:v>1819700.8586099846</c:v>
                </c:pt>
                <c:pt idx="526">
                  <c:v>1862087.1366628683</c:v>
                </c:pt>
                <c:pt idx="527">
                  <c:v>1905460.7179632513</c:v>
                </c:pt>
                <c:pt idx="528">
                  <c:v>1949844.5997580495</c:v>
                </c:pt>
                <c:pt idx="529">
                  <c:v>1995262.31496888</c:v>
                </c:pt>
                <c:pt idx="530">
                  <c:v>2041737.9446695296</c:v>
                </c:pt>
                <c:pt idx="531">
                  <c:v>2089296.1308540432</c:v>
                </c:pt>
                <c:pt idx="532">
                  <c:v>2137962.0895022359</c:v>
                </c:pt>
                <c:pt idx="533">
                  <c:v>2187761.6239495561</c:v>
                </c:pt>
                <c:pt idx="534">
                  <c:v>2238721.1385683389</c:v>
                </c:pt>
                <c:pt idx="535">
                  <c:v>2290867.6527677765</c:v>
                </c:pt>
                <c:pt idx="536">
                  <c:v>2344228.8153199251</c:v>
                </c:pt>
                <c:pt idx="537">
                  <c:v>2398832.9190194933</c:v>
                </c:pt>
                <c:pt idx="538">
                  <c:v>2454708.915685033</c:v>
                </c:pt>
                <c:pt idx="539">
                  <c:v>2511886.431509587</c:v>
                </c:pt>
                <c:pt idx="540">
                  <c:v>2570395.782768866</c:v>
                </c:pt>
                <c:pt idx="541">
                  <c:v>2630267.9918953842</c:v>
                </c:pt>
              </c:numCache>
            </c:numRef>
          </c:xVal>
          <c:yVal>
            <c:numRef>
              <c:f>Loop_Modeling!$BD$19:$BD$560</c:f>
              <c:numCache>
                <c:formatCode>General</c:formatCode>
                <c:ptCount val="542"/>
                <c:pt idx="0">
                  <c:v>37.644046846143986</c:v>
                </c:pt>
                <c:pt idx="1">
                  <c:v>37.444058513024508</c:v>
                </c:pt>
                <c:pt idx="2">
                  <c:v>37.244070729714529</c:v>
                </c:pt>
                <c:pt idx="3">
                  <c:v>37.044083522122484</c:v>
                </c:pt>
                <c:pt idx="4">
                  <c:v>36.844096917377648</c:v>
                </c:pt>
                <c:pt idx="5">
                  <c:v>36.644110943887341</c:v>
                </c:pt>
                <c:pt idx="6">
                  <c:v>36.444125631397476</c:v>
                </c:pt>
                <c:pt idx="7">
                  <c:v>36.244141011055248</c:v>
                </c:pt>
                <c:pt idx="8">
                  <c:v>36.044157115475528</c:v>
                </c:pt>
                <c:pt idx="9">
                  <c:v>35.844173978809621</c:v>
                </c:pt>
                <c:pt idx="10">
                  <c:v>35.644191636817851</c:v>
                </c:pt>
                <c:pt idx="11">
                  <c:v>35.444210126945329</c:v>
                </c:pt>
                <c:pt idx="12">
                  <c:v>35.244229488401103</c:v>
                </c:pt>
                <c:pt idx="13">
                  <c:v>35.044249762241513</c:v>
                </c:pt>
                <c:pt idx="14">
                  <c:v>34.844270991456973</c:v>
                </c:pt>
                <c:pt idx="15">
                  <c:v>34.644293221063116</c:v>
                </c:pt>
                <c:pt idx="16">
                  <c:v>34.444316498196152</c:v>
                </c:pt>
                <c:pt idx="17">
                  <c:v>34.244340872212774</c:v>
                </c:pt>
                <c:pt idx="18">
                  <c:v>34.044366394794466</c:v>
                </c:pt>
                <c:pt idx="19">
                  <c:v>33.844393120057376</c:v>
                </c:pt>
                <c:pt idx="20">
                  <c:v>33.644421104666542</c:v>
                </c:pt>
                <c:pt idx="21">
                  <c:v>33.444450407956076</c:v>
                </c:pt>
                <c:pt idx="22">
                  <c:v>33.244481092054855</c:v>
                </c:pt>
                <c:pt idx="23">
                  <c:v>33.044513222017898</c:v>
                </c:pt>
                <c:pt idx="24">
                  <c:v>32.844546865964212</c:v>
                </c:pt>
                <c:pt idx="25">
                  <c:v>32.64458209522104</c:v>
                </c:pt>
                <c:pt idx="26">
                  <c:v>32.444618984474786</c:v>
                </c:pt>
                <c:pt idx="27">
                  <c:v>32.2446576119291</c:v>
                </c:pt>
                <c:pt idx="28">
                  <c:v>32.044698059470342</c:v>
                </c:pt>
                <c:pt idx="29">
                  <c:v>31.844740412841052</c:v>
                </c:pt>
                <c:pt idx="30">
                  <c:v>31.644784761821143</c:v>
                </c:pt>
                <c:pt idx="31">
                  <c:v>31.444831200418054</c:v>
                </c:pt>
                <c:pt idx="32">
                  <c:v>31.244879827065478</c:v>
                </c:pt>
                <c:pt idx="33">
                  <c:v>31.044930744831664</c:v>
                </c:pt>
                <c:pt idx="34">
                  <c:v>30.844984061637266</c:v>
                </c:pt>
                <c:pt idx="35">
                  <c:v>30.645039890483758</c:v>
                </c:pt>
                <c:pt idx="36">
                  <c:v>30.445098349692181</c:v>
                </c:pt>
                <c:pt idx="37">
                  <c:v>30.245159563153369</c:v>
                </c:pt>
                <c:pt idx="38">
                  <c:v>30.045223660589762</c:v>
                </c:pt>
                <c:pt idx="39">
                  <c:v>29.845290777829575</c:v>
                </c:pt>
                <c:pt idx="40">
                  <c:v>29.645361057093851</c:v>
                </c:pt>
                <c:pt idx="41">
                  <c:v>29.445434647296711</c:v>
                </c:pt>
                <c:pt idx="42">
                  <c:v>29.245511704360272</c:v>
                </c:pt>
                <c:pt idx="43">
                  <c:v>29.045592391543416</c:v>
                </c:pt>
                <c:pt idx="44">
                  <c:v>28.845676879786815</c:v>
                </c:pt>
                <c:pt idx="45">
                  <c:v>28.645765348073809</c:v>
                </c:pt>
                <c:pt idx="46">
                  <c:v>28.445857983807858</c:v>
                </c:pt>
                <c:pt idx="47">
                  <c:v>28.245954983208108</c:v>
                </c:pt>
                <c:pt idx="48">
                  <c:v>28.046056551723243</c:v>
                </c:pt>
                <c:pt idx="49">
                  <c:v>27.846162904464776</c:v>
                </c:pt>
                <c:pt idx="50">
                  <c:v>27.64627426666037</c:v>
                </c:pt>
                <c:pt idx="51">
                  <c:v>27.446390874128678</c:v>
                </c:pt>
                <c:pt idx="52">
                  <c:v>27.246512973776305</c:v>
                </c:pt>
                <c:pt idx="53">
                  <c:v>27.046640824117503</c:v>
                </c:pt>
                <c:pt idx="54">
                  <c:v>26.846774695818809</c:v>
                </c:pt>
                <c:pt idx="55">
                  <c:v>26.646914872268582</c:v>
                </c:pt>
                <c:pt idx="56">
                  <c:v>26.447061650173282</c:v>
                </c:pt>
                <c:pt idx="57">
                  <c:v>26.247215340181743</c:v>
                </c:pt>
                <c:pt idx="58">
                  <c:v>26.047376267537871</c:v>
                </c:pt>
                <c:pt idx="59">
                  <c:v>25.84754477276444</c:v>
                </c:pt>
                <c:pt idx="60">
                  <c:v>25.647721212378443</c:v>
                </c:pt>
                <c:pt idx="61">
                  <c:v>25.447905959639399</c:v>
                </c:pt>
                <c:pt idx="62">
                  <c:v>25.24809940533288</c:v>
                </c:pt>
                <c:pt idx="63">
                  <c:v>25.048301958590194</c:v>
                </c:pt>
                <c:pt idx="64">
                  <c:v>24.848514047746097</c:v>
                </c:pt>
                <c:pt idx="65">
                  <c:v>24.64873612123607</c:v>
                </c:pt>
                <c:pt idx="66">
                  <c:v>24.448968648535839</c:v>
                </c:pt>
                <c:pt idx="67">
                  <c:v>24.249212121143454</c:v>
                </c:pt>
                <c:pt idx="68">
                  <c:v>24.049467053607465</c:v>
                </c:pt>
                <c:pt idx="69">
                  <c:v>23.849733984602434</c:v>
                </c:pt>
                <c:pt idx="70">
                  <c:v>23.650013478053772</c:v>
                </c:pt>
                <c:pt idx="71">
                  <c:v>23.450306124314896</c:v>
                </c:pt>
                <c:pt idx="72">
                  <c:v>23.250612541398649</c:v>
                </c:pt>
                <c:pt idx="73">
                  <c:v>23.050933376264421</c:v>
                </c:pt>
                <c:pt idx="74">
                  <c:v>22.85126930616595</c:v>
                </c:pt>
                <c:pt idx="75">
                  <c:v>22.651621040059755</c:v>
                </c:pt>
                <c:pt idx="76">
                  <c:v>22.451989320078614</c:v>
                </c:pt>
                <c:pt idx="77">
                  <c:v>22.25237492307247</c:v>
                </c:pt>
                <c:pt idx="78">
                  <c:v>22.052778662219819</c:v>
                </c:pt>
                <c:pt idx="79">
                  <c:v>21.853201388712659</c:v>
                </c:pt>
                <c:pt idx="80">
                  <c:v>21.653643993518124</c:v>
                </c:pt>
                <c:pt idx="81">
                  <c:v>21.454107409220384</c:v>
                </c:pt>
                <c:pt idx="82">
                  <c:v>21.254592611946066</c:v>
                </c:pt>
                <c:pt idx="83">
                  <c:v>21.055100623377491</c:v>
                </c:pt>
                <c:pt idx="84">
                  <c:v>20.855632512856161</c:v>
                </c:pt>
                <c:pt idx="85">
                  <c:v>20.656189399582363</c:v>
                </c:pt>
                <c:pt idx="86">
                  <c:v>20.456772454912887</c:v>
                </c:pt>
                <c:pt idx="87">
                  <c:v>20.257382904762661</c:v>
                </c:pt>
                <c:pt idx="88">
                  <c:v>20.058022032114508</c:v>
                </c:pt>
                <c:pt idx="89">
                  <c:v>19.858691179640189</c:v>
                </c:pt>
                <c:pt idx="90">
                  <c:v>19.659391752439653</c:v>
                </c:pt>
                <c:pt idx="91">
                  <c:v>19.460125220901709</c:v>
                </c:pt>
                <c:pt idx="92">
                  <c:v>19.260893123691783</c:v>
                </c:pt>
                <c:pt idx="93">
                  <c:v>19.061697070872082</c:v>
                </c:pt>
                <c:pt idx="94">
                  <c:v>18.862538747159721</c:v>
                </c:pt>
                <c:pt idx="95">
                  <c:v>18.663419915327644</c:v>
                </c:pt>
                <c:pt idx="96">
                  <c:v>18.464342419755532</c:v>
                </c:pt>
                <c:pt idx="97">
                  <c:v>18.265308190135009</c:v>
                </c:pt>
                <c:pt idx="98">
                  <c:v>18.066319245336796</c:v>
                </c:pt>
                <c:pt idx="99">
                  <c:v>17.867377697445207</c:v>
                </c:pt>
                <c:pt idx="100">
                  <c:v>17.668485755966966</c:v>
                </c:pt>
                <c:pt idx="101">
                  <c:v>17.469645732220847</c:v>
                </c:pt>
                <c:pt idx="102">
                  <c:v>17.270860043915143</c:v>
                </c:pt>
                <c:pt idx="103">
                  <c:v>17.072131219920028</c:v>
                </c:pt>
                <c:pt idx="104">
                  <c:v>16.873461905242003</c:v>
                </c:pt>
                <c:pt idx="105">
                  <c:v>16.674854866207586</c:v>
                </c:pt>
                <c:pt idx="106">
                  <c:v>16.476312995864628</c:v>
                </c:pt>
                <c:pt idx="107">
                  <c:v>16.277839319607533</c:v>
                </c:pt>
                <c:pt idx="108">
                  <c:v>16.079437001035856</c:v>
                </c:pt>
                <c:pt idx="109">
                  <c:v>15.881109348052615</c:v>
                </c:pt>
                <c:pt idx="110">
                  <c:v>15.682859819211854</c:v>
                </c:pt>
                <c:pt idx="111">
                  <c:v>15.484692030322229</c:v>
                </c:pt>
                <c:pt idx="112">
                  <c:v>15.286609761315725</c:v>
                </c:pt>
                <c:pt idx="113">
                  <c:v>15.088616963389423</c:v>
                </c:pt>
                <c:pt idx="114">
                  <c:v>14.890717766428466</c:v>
                </c:pt>
                <c:pt idx="115">
                  <c:v>14.69291648671836</c:v>
                </c:pt>
                <c:pt idx="116">
                  <c:v>14.495217634955132</c:v>
                </c:pt>
                <c:pt idx="117">
                  <c:v>14.297625924560762</c:v>
                </c:pt>
                <c:pt idx="118">
                  <c:v>14.100146280312504</c:v>
                </c:pt>
                <c:pt idx="119">
                  <c:v>13.902783847292838</c:v>
                </c:pt>
                <c:pt idx="120">
                  <c:v>13.705544000168672</c:v>
                </c:pt>
                <c:pt idx="121">
                  <c:v>13.508432352805656</c:v>
                </c:pt>
                <c:pt idx="122">
                  <c:v>13.311454768225206</c:v>
                </c:pt>
                <c:pt idx="123">
                  <c:v>13.114617368910332</c:v>
                </c:pt>
                <c:pt idx="124">
                  <c:v>12.917926547465425</c:v>
                </c:pt>
                <c:pt idx="125">
                  <c:v>12.721388977636028</c:v>
                </c:pt>
                <c:pt idx="126">
                  <c:v>12.525011625691931</c:v>
                </c:pt>
                <c:pt idx="127">
                  <c:v>12.328801762177882</c:v>
                </c:pt>
                <c:pt idx="128">
                  <c:v>12.132766974034194</c:v>
                </c:pt>
                <c:pt idx="129">
                  <c:v>11.936915177088061</c:v>
                </c:pt>
                <c:pt idx="130">
                  <c:v>11.741254628917211</c:v>
                </c:pt>
                <c:pt idx="131">
                  <c:v>11.545793942082927</c:v>
                </c:pt>
                <c:pt idx="132">
                  <c:v>11.350542097731433</c:v>
                </c:pt>
                <c:pt idx="133">
                  <c:v>11.155508459557982</c:v>
                </c:pt>
                <c:pt idx="134">
                  <c:v>10.960702788127756</c:v>
                </c:pt>
                <c:pt idx="135">
                  <c:v>10.766135255545354</c:v>
                </c:pt>
                <c:pt idx="136">
                  <c:v>10.571816460461548</c:v>
                </c:pt>
                <c:pt idx="137">
                  <c:v>10.377757443404604</c:v>
                </c:pt>
                <c:pt idx="138">
                  <c:v>10.183969702419427</c:v>
                </c:pt>
                <c:pt idx="139">
                  <c:v>9.9904652089962802</c:v>
                </c:pt>
                <c:pt idx="140">
                  <c:v>9.7972564242653579</c:v>
                </c:pt>
                <c:pt idx="141">
                  <c:v>9.6043563154325895</c:v>
                </c:pt>
                <c:pt idx="142">
                  <c:v>9.411778372425367</c:v>
                </c:pt>
                <c:pt idx="143">
                  <c:v>9.2195366247156656</c:v>
                </c:pt>
                <c:pt idx="144">
                  <c:v>9.0276456582802389</c:v>
                </c:pt>
                <c:pt idx="145">
                  <c:v>8.8361206326556534</c:v>
                </c:pt>
                <c:pt idx="146">
                  <c:v>8.6449772980393575</c:v>
                </c:pt>
                <c:pt idx="147">
                  <c:v>8.4542320123819685</c:v>
                </c:pt>
                <c:pt idx="148">
                  <c:v>8.2639017584121408</c:v>
                </c:pt>
                <c:pt idx="149">
                  <c:v>8.0740041605264494</c:v>
                </c:pt>
                <c:pt idx="150">
                  <c:v>7.8845575014726945</c:v>
                </c:pt>
                <c:pt idx="151">
                  <c:v>7.6955807387469433</c:v>
                </c:pt>
                <c:pt idx="152">
                  <c:v>7.5070935206169445</c:v>
                </c:pt>
                <c:pt idx="153">
                  <c:v>7.3191162016792504</c:v>
                </c:pt>
                <c:pt idx="154">
                  <c:v>7.1316698578465418</c:v>
                </c:pt>
                <c:pt idx="155">
                  <c:v>6.9447763006567653</c:v>
                </c:pt>
                <c:pt idx="156">
                  <c:v>6.7584580907851048</c:v>
                </c:pt>
                <c:pt idx="157">
                  <c:v>6.5727385506334759</c:v>
                </c:pt>
                <c:pt idx="158">
                  <c:v>6.3876417758615043</c:v>
                </c:pt>
                <c:pt idx="159">
                  <c:v>6.2031926457174622</c:v>
                </c:pt>
                <c:pt idx="160">
                  <c:v>6.0194168320157448</c:v>
                </c:pt>
                <c:pt idx="161">
                  <c:v>5.8363408066030198</c:v>
                </c:pt>
                <c:pt idx="162">
                  <c:v>5.6539918471433017</c:v>
                </c:pt>
                <c:pt idx="163">
                  <c:v>5.4723980410480557</c:v>
                </c:pt>
                <c:pt idx="164">
                  <c:v>5.2915882873672517</c:v>
                </c:pt>
                <c:pt idx="165">
                  <c:v>5.1115922964527556</c:v>
                </c:pt>
                <c:pt idx="166">
                  <c:v>4.9324405871993529</c:v>
                </c:pt>
                <c:pt idx="167">
                  <c:v>4.7541644816621602</c:v>
                </c:pt>
                <c:pt idx="168">
                  <c:v>4.5767960968482013</c:v>
                </c:pt>
                <c:pt idx="169">
                  <c:v>4.4003683334746988</c:v>
                </c:pt>
                <c:pt idx="170">
                  <c:v>4.224914861487866</c:v>
                </c:pt>
                <c:pt idx="171">
                  <c:v>4.0504701021352414</c:v>
                </c:pt>
                <c:pt idx="172">
                  <c:v>3.8770692063889216</c:v>
                </c:pt>
                <c:pt idx="173">
                  <c:v>3.7047480295187722</c:v>
                </c:pt>
                <c:pt idx="174">
                  <c:v>3.5335431016268664</c:v>
                </c:pt>
                <c:pt idx="175">
                  <c:v>3.3634915939586247</c:v>
                </c:pt>
                <c:pt idx="176">
                  <c:v>3.1946312808224766</c:v>
                </c:pt>
                <c:pt idx="177">
                  <c:v>3.0270004969634283</c:v>
                </c:pt>
                <c:pt idx="178">
                  <c:v>2.8606380902561042</c:v>
                </c:pt>
                <c:pt idx="179">
                  <c:v>2.6955833696015912</c:v>
                </c:pt>
                <c:pt idx="180">
                  <c:v>2.5318760479408438</c:v>
                </c:pt>
                <c:pt idx="181">
                  <c:v>2.3695561803241989</c:v>
                </c:pt>
                <c:pt idx="182">
                  <c:v>2.2086640970082252</c:v>
                </c:pt>
                <c:pt idx="183">
                  <c:v>2.0492403315874883</c:v>
                </c:pt>
                <c:pt idx="184">
                  <c:v>1.8913255442071184</c:v>
                </c:pt>
                <c:pt idx="185">
                  <c:v>1.7349604399429528</c:v>
                </c:pt>
                <c:pt idx="186">
                  <c:v>1.580185682481926</c:v>
                </c:pt>
                <c:pt idx="187">
                  <c:v>1.4270418032825327</c:v>
                </c:pt>
                <c:pt idx="188">
                  <c:v>1.275569106443952</c:v>
                </c:pt>
                <c:pt idx="189">
                  <c:v>1.1258075695632765</c:v>
                </c:pt>
                <c:pt idx="190">
                  <c:v>0.9777967409155498</c:v>
                </c:pt>
                <c:pt idx="191">
                  <c:v>0.83157563334026396</c:v>
                </c:pt>
                <c:pt idx="192">
                  <c:v>0.68718261527382518</c:v>
                </c:pt>
                <c:pt idx="193">
                  <c:v>0.54465529941848045</c:v>
                </c:pt>
                <c:pt idx="194">
                  <c:v>0.40403042958852764</c:v>
                </c:pt>
                <c:pt idx="195">
                  <c:v>0.26534376632163853</c:v>
                </c:pt>
                <c:pt idx="196">
                  <c:v>0.12862997188915193</c:v>
                </c:pt>
                <c:pt idx="197">
                  <c:v>-6.0775046237352189E-3</c:v>
                </c:pt>
                <c:pt idx="198">
                  <c:v>-0.13874654145964938</c:v>
                </c:pt>
                <c:pt idx="199">
                  <c:v>-0.26934645681814984</c:v>
                </c:pt>
                <c:pt idx="200">
                  <c:v>-0.39784811921525509</c:v>
                </c:pt>
                <c:pt idx="201">
                  <c:v>-0.52422405480363077</c:v>
                </c:pt>
                <c:pt idx="202">
                  <c:v>-0.64844855087744524</c:v>
                </c:pt>
                <c:pt idx="203">
                  <c:v>-0.77049775479051996</c:v>
                </c:pt>
                <c:pt idx="204">
                  <c:v>-0.89034976752893669</c:v>
                </c:pt>
                <c:pt idx="205">
                  <c:v>-1.0079847312018886</c:v>
                </c:pt>
                <c:pt idx="206">
                  <c:v>-1.123384909746034</c:v>
                </c:pt>
                <c:pt idx="207">
                  <c:v>-1.2365347621821219</c:v>
                </c:pt>
                <c:pt idx="208">
                  <c:v>-1.3474210078105453</c:v>
                </c:pt>
                <c:pt idx="209">
                  <c:v>-1.4560326827946271</c:v>
                </c:pt>
                <c:pt idx="210">
                  <c:v>-1.5623611876467935</c:v>
                </c:pt>
                <c:pt idx="211">
                  <c:v>-1.6664003252064372</c:v>
                </c:pt>
                <c:pt idx="212">
                  <c:v>-1.7681463287815573</c:v>
                </c:pt>
                <c:pt idx="213">
                  <c:v>-1.8675978802095337</c:v>
                </c:pt>
                <c:pt idx="214">
                  <c:v>-1.9647561176832682</c:v>
                </c:pt>
                <c:pt idx="215">
                  <c:v>-2.0596246332810622</c:v>
                </c:pt>
                <c:pt idx="216">
                  <c:v>-2.152209460229856</c:v>
                </c:pt>
                <c:pt idx="217">
                  <c:v>-2.2425190500267753</c:v>
                </c:pt>
                <c:pt idx="218">
                  <c:v>-2.3305642396309647</c:v>
                </c:pt>
                <c:pt idx="219">
                  <c:v>-2.4163582090285134</c:v>
                </c:pt>
                <c:pt idx="220">
                  <c:v>-2.4999164295533722</c:v>
                </c:pt>
                <c:pt idx="221">
                  <c:v>-2.5812566034256044</c:v>
                </c:pt>
                <c:pt idx="222">
                  <c:v>-2.6603985950391937</c:v>
                </c:pt>
                <c:pt idx="223">
                  <c:v>-2.7373643545916071</c:v>
                </c:pt>
                <c:pt idx="224">
                  <c:v>-2.8121778347051798</c:v>
                </c:pt>
                <c:pt idx="225">
                  <c:v>-2.8848649007317122</c:v>
                </c:pt>
                <c:pt idx="226">
                  <c:v>-2.9554532354700642</c:v>
                </c:pt>
                <c:pt idx="227">
                  <c:v>-3.0239722390522301</c:v>
                </c:pt>
                <c:pt idx="228">
                  <c:v>-3.0904529247680115</c:v>
                </c:pt>
                <c:pt idx="229">
                  <c:v>-3.154927811608403</c:v>
                </c:pt>
                <c:pt idx="230">
                  <c:v>-3.2174308143038162</c:v>
                </c:pt>
                <c:pt idx="231">
                  <c:v>-3.2779971316235876</c:v>
                </c:pt>
                <c:pt idx="232">
                  <c:v>-3.3366631336853998</c:v>
                </c:pt>
                <c:pt idx="233">
                  <c:v>-3.3934662489949274</c:v>
                </c:pt>
                <c:pt idx="234">
                  <c:v>-3.4484448519080462</c:v>
                </c:pt>
                <c:pt idx="235">
                  <c:v>-3.5016381511656016</c:v>
                </c:pt>
                <c:pt idx="236">
                  <c:v>-3.5530860801119282</c:v>
                </c:pt>
                <c:pt idx="237">
                  <c:v>-3.6028291891590909</c:v>
                </c:pt>
                <c:pt idx="238">
                  <c:v>-3.6509085410114572</c:v>
                </c:pt>
                <c:pt idx="239">
                  <c:v>-3.6973656091132758</c:v>
                </c:pt>
                <c:pt idx="240">
                  <c:v>-3.7422421797292085</c:v>
                </c:pt>
                <c:pt idx="241">
                  <c:v>-3.7855802580144502</c:v>
                </c:pt>
                <c:pt idx="242">
                  <c:v>-3.8274219783803636</c:v>
                </c:pt>
                <c:pt idx="243">
                  <c:v>-3.8678095194073983</c:v>
                </c:pt>
                <c:pt idx="244">
                  <c:v>-3.9067850235088937</c:v>
                </c:pt>
                <c:pt idx="245">
                  <c:v>-3.9443905215005777</c:v>
                </c:pt>
                <c:pt idx="246">
                  <c:v>-3.9806678621851521</c:v>
                </c:pt>
                <c:pt idx="247">
                  <c:v>-4.0156586470184736</c:v>
                </c:pt>
                <c:pt idx="248">
                  <c:v>-4.0494041698848502</c:v>
                </c:pt>
                <c:pt idx="249">
                  <c:v>-4.0819453619713926</c:v>
                </c:pt>
                <c:pt idx="250">
                  <c:v>-4.1133227416995997</c:v>
                </c:pt>
                <c:pt idx="251">
                  <c:v>-4.1435763696416137</c:v>
                </c:pt>
                <c:pt idx="252">
                  <c:v>-4.1727458083235138</c:v>
                </c:pt>
                <c:pt idx="253">
                  <c:v>-4.2008700867936746</c:v>
                </c:pt>
                <c:pt idx="254">
                  <c:v>-4.2279876698167387</c:v>
                </c:pt>
                <c:pt idx="255">
                  <c:v>-4.2541364315353007</c:v>
                </c:pt>
                <c:pt idx="256">
                  <c:v>-4.2793536334293387</c:v>
                </c:pt>
                <c:pt idx="257">
                  <c:v>-4.3036759063925869</c:v>
                </c:pt>
                <c:pt idx="258">
                  <c:v>-4.3271392367367687</c:v>
                </c:pt>
                <c:pt idx="259">
                  <c:v>-4.3497789559293629</c:v>
                </c:pt>
                <c:pt idx="260">
                  <c:v>-4.3716297338673149</c:v>
                </c:pt>
                <c:pt idx="261">
                  <c:v>-4.3927255754878312</c:v>
                </c:pt>
                <c:pt idx="262">
                  <c:v>-4.413099820517024</c:v>
                </c:pt>
                <c:pt idx="263">
                  <c:v>-4.4327851461609162</c:v>
                </c:pt>
                <c:pt idx="264">
                  <c:v>-4.4518135725443493</c:v>
                </c:pt>
                <c:pt idx="265">
                  <c:v>-4.4702164707103078</c:v>
                </c:pt>
                <c:pt idx="266">
                  <c:v>-4.4880245729957204</c:v>
                </c:pt>
                <c:pt idx="267">
                  <c:v>-4.5052679856070323</c:v>
                </c:pt>
                <c:pt idx="268">
                  <c:v>-4.5219762032258721</c:v>
                </c:pt>
                <c:pt idx="269">
                  <c:v>-4.5381781254821014</c:v>
                </c:pt>
                <c:pt idx="270">
                  <c:v>-4.5539020751399031</c:v>
                </c:pt>
                <c:pt idx="271">
                  <c:v>-4.5691758178495281</c:v>
                </c:pt>
                <c:pt idx="272">
                  <c:v>-4.5840265833274092</c:v>
                </c:pt>
                <c:pt idx="273">
                  <c:v>-4.5984810878337887</c:v>
                </c:pt>
                <c:pt idx="274">
                  <c:v>-4.612565557825274</c:v>
                </c:pt>
                <c:pt idx="275">
                  <c:v>-4.6263057546688584</c:v>
                </c:pt>
                <c:pt idx="276">
                  <c:v>-4.6397270003110318</c:v>
                </c:pt>
                <c:pt idx="277">
                  <c:v>-4.6528542038031988</c:v>
                </c:pt>
                <c:pt idx="278">
                  <c:v>-4.6657118885903763</c:v>
                </c:pt>
                <c:pt idx="279">
                  <c:v>-4.6783242204809703</c:v>
                </c:pt>
                <c:pt idx="280">
                  <c:v>-4.6907150362168384</c:v>
                </c:pt>
                <c:pt idx="281">
                  <c:v>-4.7029078725727134</c:v>
                </c:pt>
                <c:pt idx="282">
                  <c:v>-4.7149259959173753</c:v>
                </c:pt>
                <c:pt idx="283">
                  <c:v>-4.7267924321758201</c:v>
                </c:pt>
                <c:pt idx="284">
                  <c:v>-4.7385299971340515</c:v>
                </c:pt>
                <c:pt idx="285">
                  <c:v>-4.7501613270348724</c:v>
                </c:pt>
                <c:pt idx="286">
                  <c:v>-4.7617089094145753</c:v>
                </c:pt>
                <c:pt idx="287">
                  <c:v>-4.7731951141337241</c:v>
                </c:pt>
                <c:pt idx="288">
                  <c:v>-4.7846422245596223</c:v>
                </c:pt>
                <c:pt idx="289">
                  <c:v>-4.7960724688575205</c:v>
                </c:pt>
                <c:pt idx="290">
                  <c:v>-4.8075080513506885</c:v>
                </c:pt>
                <c:pt idx="291">
                  <c:v>-4.8189711839101923</c:v>
                </c:pt>
                <c:pt idx="292">
                  <c:v>-4.8304841173352333</c:v>
                </c:pt>
                <c:pt idx="293">
                  <c:v>-4.8420691726853518</c:v>
                </c:pt>
                <c:pt idx="294">
                  <c:v>-4.8537487725238702</c:v>
                </c:pt>
                <c:pt idx="295">
                  <c:v>-4.8655454720333227</c:v>
                </c:pt>
                <c:pt idx="296">
                  <c:v>-4.8774819899581097</c:v>
                </c:pt>
                <c:pt idx="297">
                  <c:v>-4.8895812393315268</c:v>
                </c:pt>
                <c:pt idx="298">
                  <c:v>-4.9018663579379655</c:v>
                </c:pt>
                <c:pt idx="299">
                  <c:v>-4.914360738459763</c:v>
                </c:pt>
                <c:pt idx="300">
                  <c:v>-4.927088058253835</c:v>
                </c:pt>
                <c:pt idx="301">
                  <c:v>-4.940072308699003</c:v>
                </c:pt>
                <c:pt idx="302">
                  <c:v>-4.9533378240494903</c:v>
                </c:pt>
                <c:pt idx="303">
                  <c:v>-4.9669093097256658</c:v>
                </c:pt>
                <c:pt idx="304">
                  <c:v>-4.9808118699662387</c:v>
                </c:pt>
                <c:pt idx="305">
                  <c:v>-4.9950710347615743</c:v>
                </c:pt>
                <c:pt idx="306">
                  <c:v>-5.0097127859786204</c:v>
                </c:pt>
                <c:pt idx="307">
                  <c:v>-5.0247635825835504</c:v>
                </c:pt>
                <c:pt idx="308">
                  <c:v>-5.0402503848594549</c:v>
                </c:pt>
                <c:pt idx="309">
                  <c:v>-5.0562006775085777</c:v>
                </c:pt>
                <c:pt idx="310">
                  <c:v>-5.0726424915214521</c:v>
                </c:pt>
                <c:pt idx="311">
                  <c:v>-5.0896044246870726</c:v>
                </c:pt>
                <c:pt idx="312">
                  <c:v>-5.1071156606096935</c:v>
                </c:pt>
                <c:pt idx="313">
                  <c:v>-5.125205986089874</c:v>
                </c:pt>
                <c:pt idx="314">
                  <c:v>-5.1439058067192702</c:v>
                </c:pt>
                <c:pt idx="315">
                  <c:v>-5.1632461605308979</c:v>
                </c:pt>
                <c:pt idx="316">
                  <c:v>-5.183258729538557</c:v>
                </c:pt>
                <c:pt idx="317">
                  <c:v>-5.2039758489924504</c:v>
                </c:pt>
                <c:pt idx="318">
                  <c:v>-5.225430514170192</c:v>
                </c:pt>
                <c:pt idx="319">
                  <c:v>-5.2476563845184634</c:v>
                </c:pt>
                <c:pt idx="320">
                  <c:v>-5.2706877849535703</c:v>
                </c:pt>
                <c:pt idx="321">
                  <c:v>-5.2945597041254091</c:v>
                </c:pt>
                <c:pt idx="322">
                  <c:v>-5.3193077894489171</c:v>
                </c:pt>
                <c:pt idx="323">
                  <c:v>-5.3449683387020297</c:v>
                </c:pt>
                <c:pt idx="324">
                  <c:v>-5.3715782879927145</c:v>
                </c:pt>
                <c:pt idx="325">
                  <c:v>-5.3991751958979508</c:v>
                </c:pt>
                <c:pt idx="326">
                  <c:v>-5.4277972235844167</c:v>
                </c:pt>
                <c:pt idx="327">
                  <c:v>-5.457483110722487</c:v>
                </c:pt>
                <c:pt idx="328">
                  <c:v>-5.4882721470202931</c:v>
                </c:pt>
                <c:pt idx="329">
                  <c:v>-5.5202041392120114</c:v>
                </c:pt>
                <c:pt idx="330">
                  <c:v>-5.5533193733514779</c:v>
                </c:pt>
                <c:pt idx="331">
                  <c:v>-5.5876585722787562</c:v>
                </c:pt>
                <c:pt idx="332">
                  <c:v>-5.6232628481507705</c:v>
                </c:pt>
                <c:pt idx="333">
                  <c:v>-5.6601736499477457</c:v>
                </c:pt>
                <c:pt idx="334">
                  <c:v>-5.6984327058990738</c:v>
                </c:pt>
                <c:pt idx="335">
                  <c:v>-5.7380819608009412</c:v>
                </c:pt>
                <c:pt idx="336">
                  <c:v>-5.7791635082330419</c:v>
                </c:pt>
                <c:pt idx="337">
                  <c:v>-5.8217195177208039</c:v>
                </c:pt>
                <c:pt idx="338">
                  <c:v>-5.8657921569291895</c:v>
                </c:pt>
                <c:pt idx="339">
                  <c:v>-5.9114235090200538</c:v>
                </c:pt>
                <c:pt idx="340">
                  <c:v>-5.958655485349917</c:v>
                </c:pt>
                <c:pt idx="341">
                  <c:v>-6.0075297337351135</c:v>
                </c:pt>
                <c:pt idx="342">
                  <c:v>-6.0580875425624834</c:v>
                </c:pt>
                <c:pt idx="343">
                  <c:v>-6.1103697410749716</c:v>
                </c:pt>
                <c:pt idx="344">
                  <c:v>-6.1644165962147515</c:v>
                </c:pt>
                <c:pt idx="345">
                  <c:v>-6.2202677064596745</c:v>
                </c:pt>
                <c:pt idx="346">
                  <c:v>-6.2779618931402599</c:v>
                </c:pt>
                <c:pt idx="347">
                  <c:v>-6.3375370897756689</c:v>
                </c:pt>
                <c:pt idx="348">
                  <c:v>-6.3990302300132491</c:v>
                </c:pt>
                <c:pt idx="349">
                  <c:v>-6.4624771348042751</c:v>
                </c:pt>
                <c:pt idx="350">
                  <c:v>-6.5279123994847978</c:v>
                </c:pt>
                <c:pt idx="351">
                  <c:v>-6.5953692814694476</c:v>
                </c:pt>
                <c:pt idx="352">
                  <c:v>-6.6648795892922035</c:v>
                </c:pt>
                <c:pt idx="353">
                  <c:v>-6.7364735737529537</c:v>
                </c:pt>
                <c:pt idx="354">
                  <c:v>-6.8101798219411647</c:v>
                </c:pt>
                <c:pt idx="355">
                  <c:v>-6.8860251549171885</c:v>
                </c:pt>
                <c:pt idx="356">
                  <c:v>-6.9640345298252724</c:v>
                </c:pt>
                <c:pt idx="357">
                  <c:v>-7.0442309472057456</c:v>
                </c:pt>
                <c:pt idx="358">
                  <c:v>-7.1266353642477229</c:v>
                </c:pt>
                <c:pt idx="359">
                  <c:v>-7.2112666146966609</c:v>
                </c:pt>
                <c:pt idx="360">
                  <c:v>-7.2981413360888698</c:v>
                </c:pt>
                <c:pt idx="361">
                  <c:v>-7.3872739049359968</c:v>
                </c:pt>
                <c:pt idx="362">
                  <c:v>-7.4786763804246199</c:v>
                </c:pt>
                <c:pt idx="363">
                  <c:v>-7.5723584571295133</c:v>
                </c:pt>
                <c:pt idx="364">
                  <c:v>-7.6683274271645443</c:v>
                </c:pt>
                <c:pt idx="365">
                  <c:v>-7.7665881521174587</c:v>
                </c:pt>
                <c:pt idx="366">
                  <c:v>-7.8671430450266886</c:v>
                </c:pt>
                <c:pt idx="367">
                  <c:v>-7.9699920625723202</c:v>
                </c:pt>
                <c:pt idx="368">
                  <c:v>-8.0751327075584616</c:v>
                </c:pt>
                <c:pt idx="369">
                  <c:v>-8.1825600416748117</c:v>
                </c:pt>
                <c:pt idx="370">
                  <c:v>-8.2922667084295796</c:v>
                </c:pt>
                <c:pt idx="371">
                  <c:v>-8.4042429660570175</c:v>
                </c:pt>
                <c:pt idx="372">
                  <c:v>-8.5184767301134929</c:v>
                </c:pt>
                <c:pt idx="373">
                  <c:v>-8.6349536253942887</c:v>
                </c:pt>
                <c:pt idx="374">
                  <c:v>-8.7536570467235961</c:v>
                </c:pt>
                <c:pt idx="375">
                  <c:v>-8.8745682280980809</c:v>
                </c:pt>
                <c:pt idx="376">
                  <c:v>-8.9976663196056101</c:v>
                </c:pt>
                <c:pt idx="377">
                  <c:v>-9.1229284714782803</c:v>
                </c:pt>
                <c:pt idx="378">
                  <c:v>-9.2503299245973576</c:v>
                </c:pt>
                <c:pt idx="379">
                  <c:v>-9.3798441067304807</c:v>
                </c:pt>
                <c:pt idx="380">
                  <c:v>-9.5114427337510286</c:v>
                </c:pt>
                <c:pt idx="381">
                  <c:v>-9.6450959150742719</c:v>
                </c:pt>
                <c:pt idx="382">
                  <c:v>-9.7807722625359368</c:v>
                </c:pt>
                <c:pt idx="383">
                  <c:v>-9.9184390019382036</c:v>
                </c:pt>
                <c:pt idx="384">
                  <c:v>-10.058062086500176</c:v>
                </c:pt>
                <c:pt idx="385">
                  <c:v>-10.199606311463167</c:v>
                </c:pt>
                <c:pt idx="386">
                  <c:v>-10.34303542913079</c:v>
                </c:pt>
                <c:pt idx="387">
                  <c:v>-10.488312263651141</c:v>
                </c:pt>
                <c:pt idx="388">
                  <c:v>-10.635398824887934</c:v>
                </c:pt>
                <c:pt idx="389">
                  <c:v>-10.784256420768513</c:v>
                </c:pt>
                <c:pt idx="390">
                  <c:v>-10.934845767542852</c:v>
                </c:pt>
                <c:pt idx="391">
                  <c:v>-11.087127097436287</c:v>
                </c:pt>
                <c:pt idx="392">
                  <c:v>-11.241060263231359</c:v>
                </c:pt>
                <c:pt idx="393">
                  <c:v>-11.396604839364137</c:v>
                </c:pt>
                <c:pt idx="394">
                  <c:v>-11.553720219175807</c:v>
                </c:pt>
                <c:pt idx="395">
                  <c:v>-11.712365708012271</c:v>
                </c:pt>
                <c:pt idx="396">
                  <c:v>-11.872500611915296</c:v>
                </c:pt>
                <c:pt idx="397">
                  <c:v>-12.034084321701673</c:v>
                </c:pt>
                <c:pt idx="398">
                  <c:v>-12.197076392273035</c:v>
                </c:pt>
                <c:pt idx="399">
                  <c:v>-12.36143661704601</c:v>
                </c:pt>
                <c:pt idx="400">
                  <c:v>-12.527125097436226</c:v>
                </c:pt>
                <c:pt idx="401">
                  <c:v>-12.694102307368913</c:v>
                </c:pt>
                <c:pt idx="402">
                  <c:v>-12.86232915282627</c:v>
                </c:pt>
                <c:pt idx="403">
                  <c:v>-13.031767026476738</c:v>
                </c:pt>
                <c:pt idx="404">
                  <c:v>-13.202377857458512</c:v>
                </c:pt>
                <c:pt idx="405">
                  <c:v>-13.37412415642085</c:v>
                </c:pt>
                <c:pt idx="406">
                  <c:v>-13.546969055946247</c:v>
                </c:pt>
                <c:pt idx="407">
                  <c:v>-13.720876346497889</c:v>
                </c:pt>
                <c:pt idx="408">
                  <c:v>-13.895810508056909</c:v>
                </c:pt>
                <c:pt idx="409">
                  <c:v>-14.071736737621476</c:v>
                </c:pt>
                <c:pt idx="410">
                  <c:v>-14.248620972758527</c:v>
                </c:pt>
                <c:pt idx="411">
                  <c:v>-14.426429911399916</c:v>
                </c:pt>
                <c:pt idx="412">
                  <c:v>-14.605131028087879</c:v>
                </c:pt>
                <c:pt idx="413">
                  <c:v>-14.784692586872064</c:v>
                </c:pt>
                <c:pt idx="414">
                  <c:v>-14.965083651067069</c:v>
                </c:pt>
                <c:pt idx="415">
                  <c:v>-15.146274090076266</c:v>
                </c:pt>
                <c:pt idx="416">
                  <c:v>-15.328234583487577</c:v>
                </c:pt>
                <c:pt idx="417">
                  <c:v>-15.51093662264333</c:v>
                </c:pt>
                <c:pt idx="418">
                  <c:v>-15.694352509880662</c:v>
                </c:pt>
                <c:pt idx="419">
                  <c:v>-15.878455355637682</c:v>
                </c:pt>
                <c:pt idx="420">
                  <c:v>-16.0632190736086</c:v>
                </c:pt>
                <c:pt idx="421">
                  <c:v>-16.248618374128622</c:v>
                </c:pt>
                <c:pt idx="422">
                  <c:v>-16.434628755961118</c:v>
                </c:pt>
                <c:pt idx="423">
                  <c:v>-16.621226496649331</c:v>
                </c:pt>
                <c:pt idx="424">
                  <c:v>-16.80838864159039</c:v>
                </c:pt>
                <c:pt idx="425">
                  <c:v>-16.996092991977473</c:v>
                </c:pt>
                <c:pt idx="426">
                  <c:v>-17.184318091751017</c:v>
                </c:pt>
                <c:pt idx="427">
                  <c:v>-17.373043213687826</c:v>
                </c:pt>
                <c:pt idx="428">
                  <c:v>-17.562248344751442</c:v>
                </c:pt>
                <c:pt idx="429">
                  <c:v>-17.751914170818111</c:v>
                </c:pt>
                <c:pt idx="430">
                  <c:v>-17.942022060882742</c:v>
                </c:pt>
                <c:pt idx="431">
                  <c:v>-18.132554050844764</c:v>
                </c:pt>
                <c:pt idx="432">
                  <c:v>-18.323492826963157</c:v>
                </c:pt>
                <c:pt idx="433">
                  <c:v>-18.514821709063959</c:v>
                </c:pt>
                <c:pt idx="434">
                  <c:v>-18.706524633577093</c:v>
                </c:pt>
                <c:pt idx="435">
                  <c:v>-18.898586136471412</c:v>
                </c:pt>
                <c:pt idx="436">
                  <c:v>-19.090991336150481</c:v>
                </c:pt>
                <c:pt idx="437">
                  <c:v>-19.283725916367832</c:v>
                </c:pt>
                <c:pt idx="438">
                  <c:v>-19.476776109211468</c:v>
                </c:pt>
                <c:pt idx="439">
                  <c:v>-19.670128678204549</c:v>
                </c:pt>
                <c:pt idx="440">
                  <c:v>-19.863770901563026</c:v>
                </c:pt>
                <c:pt idx="441">
                  <c:v>-20.057690555646825</c:v>
                </c:pt>
                <c:pt idx="442">
                  <c:v>-20.251875898636822</c:v>
                </c:pt>
                <c:pt idx="443">
                  <c:v>-20.446315654464655</c:v>
                </c:pt>
                <c:pt idx="444">
                  <c:v>-20.640998997020951</c:v>
                </c:pt>
                <c:pt idx="445">
                  <c:v>-20.835915534661975</c:v>
                </c:pt>
                <c:pt idx="446">
                  <c:v>-21.031055295032498</c:v>
                </c:pt>
                <c:pt idx="447">
                  <c:v>-21.226408710219772</c:v>
                </c:pt>
                <c:pt idx="448">
                  <c:v>-21.421966602250361</c:v>
                </c:pt>
                <c:pt idx="449">
                  <c:v>-21.617720168940057</c:v>
                </c:pt>
                <c:pt idx="450">
                  <c:v>-21.813660970103406</c:v>
                </c:pt>
                <c:pt idx="451">
                  <c:v>-22.009780914129145</c:v>
                </c:pt>
                <c:pt idx="452">
                  <c:v>-22.206072244924368</c:v>
                </c:pt>
                <c:pt idx="453">
                  <c:v>-22.40252752923012</c:v>
                </c:pt>
                <c:pt idx="454">
                  <c:v>-22.599139644308082</c:v>
                </c:pt>
                <c:pt idx="455">
                  <c:v>-22.795901765998604</c:v>
                </c:pt>
                <c:pt idx="456">
                  <c:v>-22.992807357146567</c:v>
                </c:pt>
                <c:pt idx="457">
                  <c:v>-23.189850156393938</c:v>
                </c:pt>
                <c:pt idx="458">
                  <c:v>-23.387024167333447</c:v>
                </c:pt>
                <c:pt idx="459">
                  <c:v>-23.584323648019762</c:v>
                </c:pt>
                <c:pt idx="460">
                  <c:v>-23.781743100832298</c:v>
                </c:pt>
                <c:pt idx="461">
                  <c:v>-23.979277262683382</c:v>
                </c:pt>
                <c:pt idx="462">
                  <c:v>-24.176921095566382</c:v>
                </c:pt>
                <c:pt idx="463">
                  <c:v>-24.37466977743561</c:v>
                </c:pt>
                <c:pt idx="464">
                  <c:v>-24.572518693411347</c:v>
                </c:pt>
                <c:pt idx="465">
                  <c:v>-24.770463427302531</c:v>
                </c:pt>
                <c:pt idx="466">
                  <c:v>-24.968499753439247</c:v>
                </c:pt>
                <c:pt idx="467">
                  <c:v>-25.166623628806551</c:v>
                </c:pt>
                <c:pt idx="468">
                  <c:v>-25.364831185472593</c:v>
                </c:pt>
                <c:pt idx="469">
                  <c:v>-25.563118723301493</c:v>
                </c:pt>
                <c:pt idx="470">
                  <c:v>-25.761482702944537</c:v>
                </c:pt>
                <c:pt idx="471">
                  <c:v>-25.959919739099554</c:v>
                </c:pt>
                <c:pt idx="472">
                  <c:v>-26.158426594031212</c:v>
                </c:pt>
                <c:pt idx="473">
                  <c:v>-26.357000171344733</c:v>
                </c:pt>
                <c:pt idx="474">
                  <c:v>-26.555637510004185</c:v>
                </c:pt>
                <c:pt idx="475">
                  <c:v>-26.754335778585904</c:v>
                </c:pt>
                <c:pt idx="476">
                  <c:v>-26.953092269763246</c:v>
                </c:pt>
                <c:pt idx="477">
                  <c:v>-27.151904395010135</c:v>
                </c:pt>
                <c:pt idx="478">
                  <c:v>-27.350769679518908</c:v>
                </c:pt>
                <c:pt idx="479">
                  <c:v>-27.549685757324319</c:v>
                </c:pt>
                <c:pt idx="480">
                  <c:v>-27.748650366625441</c:v>
                </c:pt>
                <c:pt idx="481">
                  <c:v>-27.947661345299682</c:v>
                </c:pt>
                <c:pt idx="482">
                  <c:v>-28.146716626600824</c:v>
                </c:pt>
                <c:pt idx="483">
                  <c:v>-28.345814235034599</c:v>
                </c:pt>
                <c:pt idx="484">
                  <c:v>-28.544952282405966</c:v>
                </c:pt>
                <c:pt idx="485">
                  <c:v>-28.74412896403031</c:v>
                </c:pt>
                <c:pt idx="486">
                  <c:v>-28.94334255510298</c:v>
                </c:pt>
                <c:pt idx="487">
                  <c:v>-29.142591407221943</c:v>
                </c:pt>
                <c:pt idx="488">
                  <c:v>-29.341873945055369</c:v>
                </c:pt>
                <c:pt idx="489">
                  <c:v>-29.541188663151374</c:v>
                </c:pt>
                <c:pt idx="490">
                  <c:v>-29.740534122881236</c:v>
                </c:pt>
                <c:pt idx="491">
                  <c:v>-29.939908949514539</c:v>
                </c:pt>
                <c:pt idx="492">
                  <c:v>-30.139311829416542</c:v>
                </c:pt>
                <c:pt idx="493">
                  <c:v>-30.338741507366809</c:v>
                </c:pt>
                <c:pt idx="494">
                  <c:v>-30.538196783992223</c:v>
                </c:pt>
                <c:pt idx="495">
                  <c:v>-30.737676513309815</c:v>
                </c:pt>
                <c:pt idx="496">
                  <c:v>-30.93717960037544</c:v>
                </c:pt>
                <c:pt idx="497">
                  <c:v>-31.136704999034002</c:v>
                </c:pt>
                <c:pt idx="498">
                  <c:v>-31.336251709766472</c:v>
                </c:pt>
                <c:pt idx="499">
                  <c:v>-31.535818777630173</c:v>
                </c:pt>
                <c:pt idx="500">
                  <c:v>-31.735405290288373</c:v>
                </c:pt>
                <c:pt idx="501">
                  <c:v>-31.935010376125582</c:v>
                </c:pt>
                <c:pt idx="502">
                  <c:v>-32.134633202444427</c:v>
                </c:pt>
                <c:pt idx="503">
                  <c:v>-32.334272973741264</c:v>
                </c:pt>
                <c:pt idx="504">
                  <c:v>-32.533928930057371</c:v>
                </c:pt>
                <c:pt idx="505">
                  <c:v>-32.733600345401527</c:v>
                </c:pt>
                <c:pt idx="506">
                  <c:v>-32.933286526242014</c:v>
                </c:pt>
                <c:pt idx="507">
                  <c:v>-33.132986810064594</c:v>
                </c:pt>
                <c:pt idx="508">
                  <c:v>-33.332700563993868</c:v>
                </c:pt>
                <c:pt idx="509">
                  <c:v>-33.532427183474873</c:v>
                </c:pt>
                <c:pt idx="510">
                  <c:v>-33.732166091012694</c:v>
                </c:pt>
                <c:pt idx="511">
                  <c:v>-33.931916734968112</c:v>
                </c:pt>
                <c:pt idx="512">
                  <c:v>-34.1316785884053</c:v>
                </c:pt>
                <c:pt idx="513">
                  <c:v>-34.331451147991075</c:v>
                </c:pt>
                <c:pt idx="514">
                  <c:v>-34.531233932942946</c:v>
                </c:pt>
                <c:pt idx="515">
                  <c:v>-34.731026484022635</c:v>
                </c:pt>
                <c:pt idx="516">
                  <c:v>-34.930828362575099</c:v>
                </c:pt>
                <c:pt idx="517">
                  <c:v>-35.130639149609394</c:v>
                </c:pt>
                <c:pt idx="518">
                  <c:v>-35.33045844492095</c:v>
                </c:pt>
                <c:pt idx="519">
                  <c:v>-35.530285866251816</c:v>
                </c:pt>
                <c:pt idx="520">
                  <c:v>-35.73012104848911</c:v>
                </c:pt>
                <c:pt idx="521">
                  <c:v>-35.929963642898329</c:v>
                </c:pt>
                <c:pt idx="522">
                  <c:v>-36.129813316391115</c:v>
                </c:pt>
                <c:pt idx="523">
                  <c:v>-36.329669750825182</c:v>
                </c:pt>
                <c:pt idx="524">
                  <c:v>-36.529532642336207</c:v>
                </c:pt>
                <c:pt idx="525">
                  <c:v>-36.729401700697672</c:v>
                </c:pt>
                <c:pt idx="526">
                  <c:v>-36.929276648711856</c:v>
                </c:pt>
                <c:pt idx="527">
                  <c:v>-37.129157221625363</c:v>
                </c:pt>
                <c:pt idx="528">
                  <c:v>-37.329043166571985</c:v>
                </c:pt>
                <c:pt idx="529">
                  <c:v>-37.528934242040521</c:v>
                </c:pt>
                <c:pt idx="530">
                  <c:v>-37.728830217365903</c:v>
                </c:pt>
                <c:pt idx="531">
                  <c:v>-37.928730872242696</c:v>
                </c:pt>
                <c:pt idx="532">
                  <c:v>-38.128635996261515</c:v>
                </c:pt>
                <c:pt idx="533">
                  <c:v>-38.328545388464711</c:v>
                </c:pt>
                <c:pt idx="534">
                  <c:v>-38.528458856922697</c:v>
                </c:pt>
                <c:pt idx="535">
                  <c:v>-38.728376218329366</c:v>
                </c:pt>
                <c:pt idx="536">
                  <c:v>-38.928297297614968</c:v>
                </c:pt>
                <c:pt idx="537">
                  <c:v>-39.128221927576668</c:v>
                </c:pt>
                <c:pt idx="538">
                  <c:v>-39.32814994852577</c:v>
                </c:pt>
                <c:pt idx="539">
                  <c:v>-39.528081207950187</c:v>
                </c:pt>
                <c:pt idx="540">
                  <c:v>-39.728015560192702</c:v>
                </c:pt>
                <c:pt idx="541">
                  <c:v>-39.927952866142974</c:v>
                </c:pt>
              </c:numCache>
            </c:numRef>
          </c:yVal>
          <c:smooth val="1"/>
          <c:extLst>
            <c:ext xmlns:c16="http://schemas.microsoft.com/office/drawing/2014/chart" uri="{C3380CC4-5D6E-409C-BE32-E72D297353CC}">
              <c16:uniqueId val="{00000000-0B5D-4E78-BD48-CC54C4E43363}"/>
            </c:ext>
          </c:extLst>
        </c:ser>
        <c:dLbls>
          <c:showLegendKey val="0"/>
          <c:showVal val="0"/>
          <c:showCatName val="0"/>
          <c:showSerName val="0"/>
          <c:showPercent val="0"/>
          <c:showBubbleSize val="0"/>
        </c:dLbls>
        <c:axId val="555280640"/>
        <c:axId val="365437312"/>
      </c:scatterChart>
      <c:scatterChart>
        <c:scatterStyle val="smoothMarker"/>
        <c:varyColors val="0"/>
        <c:ser>
          <c:idx val="1"/>
          <c:order val="1"/>
          <c:marker>
            <c:symbol val="none"/>
          </c:marker>
          <c:xVal>
            <c:numRef>
              <c:f>Loop_Modeling!$O$19:$O$560</c:f>
              <c:numCache>
                <c:formatCode>0.00</c:formatCode>
                <c:ptCount val="542"/>
                <c:pt idx="0">
                  <c:v>10.232929922807543</c:v>
                </c:pt>
                <c:pt idx="1">
                  <c:v>10.471285480509</c:v>
                </c:pt>
                <c:pt idx="2">
                  <c:v>10.715193052376069</c:v>
                </c:pt>
                <c:pt idx="3">
                  <c:v>10.964781961431854</c:v>
                </c:pt>
                <c:pt idx="4">
                  <c:v>11.220184543019636</c:v>
                </c:pt>
                <c:pt idx="5">
                  <c:v>11.481536214968834</c:v>
                </c:pt>
                <c:pt idx="6">
                  <c:v>11.748975549395301</c:v>
                </c:pt>
                <c:pt idx="7">
                  <c:v>12.022644346174133</c:v>
                </c:pt>
                <c:pt idx="8">
                  <c:v>12.302687708123818</c:v>
                </c:pt>
                <c:pt idx="9">
                  <c:v>12.58925411794168</c:v>
                </c:pt>
                <c:pt idx="10">
                  <c:v>12.882495516931346</c:v>
                </c:pt>
                <c:pt idx="11">
                  <c:v>13.182567385564075</c:v>
                </c:pt>
                <c:pt idx="12">
                  <c:v>13.489628825916535</c:v>
                </c:pt>
                <c:pt idx="13">
                  <c:v>13.803842646028857</c:v>
                </c:pt>
                <c:pt idx="14">
                  <c:v>14.125375446227544</c:v>
                </c:pt>
                <c:pt idx="15">
                  <c:v>14.454397707459275</c:v>
                </c:pt>
                <c:pt idx="16">
                  <c:v>14.791083881682074</c:v>
                </c:pt>
                <c:pt idx="17">
                  <c:v>15.135612484362087</c:v>
                </c:pt>
                <c:pt idx="18">
                  <c:v>15.488166189124817</c:v>
                </c:pt>
                <c:pt idx="19">
                  <c:v>15.848931924611136</c:v>
                </c:pt>
                <c:pt idx="20">
                  <c:v>16.218100973589298</c:v>
                </c:pt>
                <c:pt idx="21">
                  <c:v>16.595869074375614</c:v>
                </c:pt>
                <c:pt idx="22">
                  <c:v>16.982436524617448</c:v>
                </c:pt>
                <c:pt idx="23">
                  <c:v>17.378008287493756</c:v>
                </c:pt>
                <c:pt idx="24">
                  <c:v>17.782794100389236</c:v>
                </c:pt>
                <c:pt idx="25">
                  <c:v>18.197008586099841</c:v>
                </c:pt>
                <c:pt idx="26">
                  <c:v>18.62087136662868</c:v>
                </c:pt>
                <c:pt idx="27">
                  <c:v>19.054607179632477</c:v>
                </c:pt>
                <c:pt idx="28">
                  <c:v>19.498445997580465</c:v>
                </c:pt>
                <c:pt idx="29">
                  <c:v>19.952623149688804</c:v>
                </c:pt>
                <c:pt idx="30">
                  <c:v>20.4173794466953</c:v>
                </c:pt>
                <c:pt idx="31">
                  <c:v>20.8929613085404</c:v>
                </c:pt>
                <c:pt idx="32">
                  <c:v>21.379620895022335</c:v>
                </c:pt>
                <c:pt idx="33">
                  <c:v>21.877616239495538</c:v>
                </c:pt>
                <c:pt idx="34">
                  <c:v>22.387211385683404</c:v>
                </c:pt>
                <c:pt idx="35">
                  <c:v>22.908676527677727</c:v>
                </c:pt>
                <c:pt idx="36">
                  <c:v>23.442288153199236</c:v>
                </c:pt>
                <c:pt idx="37">
                  <c:v>23.988329190194907</c:v>
                </c:pt>
                <c:pt idx="38">
                  <c:v>24.547089156850316</c:v>
                </c:pt>
                <c:pt idx="39">
                  <c:v>25.118864315095799</c:v>
                </c:pt>
                <c:pt idx="40">
                  <c:v>25.703957827688647</c:v>
                </c:pt>
                <c:pt idx="41">
                  <c:v>26.302679918953825</c:v>
                </c:pt>
                <c:pt idx="42">
                  <c:v>26.915348039269158</c:v>
                </c:pt>
                <c:pt idx="43">
                  <c:v>27.542287033381665</c:v>
                </c:pt>
                <c:pt idx="44">
                  <c:v>28.183829312644548</c:v>
                </c:pt>
                <c:pt idx="45">
                  <c:v>28.840315031266066</c:v>
                </c:pt>
                <c:pt idx="46">
                  <c:v>29.512092266663863</c:v>
                </c:pt>
                <c:pt idx="47">
                  <c:v>30.199517204020164</c:v>
                </c:pt>
                <c:pt idx="48">
                  <c:v>30.902954325135919</c:v>
                </c:pt>
                <c:pt idx="49">
                  <c:v>31.622776601683803</c:v>
                </c:pt>
                <c:pt idx="50">
                  <c:v>32.359365692962832</c:v>
                </c:pt>
                <c:pt idx="51">
                  <c:v>33.113112148259127</c:v>
                </c:pt>
                <c:pt idx="52">
                  <c:v>33.884415613920268</c:v>
                </c:pt>
                <c:pt idx="53">
                  <c:v>34.67368504525318</c:v>
                </c:pt>
                <c:pt idx="54">
                  <c:v>35.481338923357555</c:v>
                </c:pt>
                <c:pt idx="55">
                  <c:v>36.307805477010156</c:v>
                </c:pt>
                <c:pt idx="56">
                  <c:v>37.15352290971726</c:v>
                </c:pt>
                <c:pt idx="57">
                  <c:v>38.018939632056139</c:v>
                </c:pt>
                <c:pt idx="58">
                  <c:v>38.904514499428053</c:v>
                </c:pt>
                <c:pt idx="59">
                  <c:v>39.810717055349755</c:v>
                </c:pt>
                <c:pt idx="60">
                  <c:v>40.738027780411279</c:v>
                </c:pt>
                <c:pt idx="61">
                  <c:v>41.686938347033561</c:v>
                </c:pt>
                <c:pt idx="62">
                  <c:v>42.657951880159267</c:v>
                </c:pt>
                <c:pt idx="63">
                  <c:v>43.651583224016633</c:v>
                </c:pt>
                <c:pt idx="64">
                  <c:v>44.668359215096324</c:v>
                </c:pt>
                <c:pt idx="65">
                  <c:v>45.70881896148753</c:v>
                </c:pt>
                <c:pt idx="66">
                  <c:v>46.773514128719818</c:v>
                </c:pt>
                <c:pt idx="67">
                  <c:v>47.863009232263877</c:v>
                </c:pt>
                <c:pt idx="68">
                  <c:v>48.977881936844632</c:v>
                </c:pt>
                <c:pt idx="69">
                  <c:v>50.118723362727238</c:v>
                </c:pt>
                <c:pt idx="70">
                  <c:v>51.28613839913649</c:v>
                </c:pt>
                <c:pt idx="71">
                  <c:v>52.480746024977286</c:v>
                </c:pt>
                <c:pt idx="72">
                  <c:v>53.703179637025293</c:v>
                </c:pt>
                <c:pt idx="73">
                  <c:v>54.95408738576247</c:v>
                </c:pt>
                <c:pt idx="74">
                  <c:v>56.234132519034915</c:v>
                </c:pt>
                <c:pt idx="75">
                  <c:v>57.543993733715695</c:v>
                </c:pt>
                <c:pt idx="76">
                  <c:v>58.884365535558949</c:v>
                </c:pt>
                <c:pt idx="77">
                  <c:v>60.255958607435822</c:v>
                </c:pt>
                <c:pt idx="78">
                  <c:v>61.659500186148257</c:v>
                </c:pt>
                <c:pt idx="79">
                  <c:v>63.095734448019364</c:v>
                </c:pt>
                <c:pt idx="80">
                  <c:v>64.565422903465588</c:v>
                </c:pt>
                <c:pt idx="81">
                  <c:v>66.069344800759623</c:v>
                </c:pt>
                <c:pt idx="82">
                  <c:v>67.60829753919819</c:v>
                </c:pt>
                <c:pt idx="83">
                  <c:v>69.183097091893657</c:v>
                </c:pt>
                <c:pt idx="84">
                  <c:v>70.794578438413865</c:v>
                </c:pt>
                <c:pt idx="85">
                  <c:v>72.443596007499011</c:v>
                </c:pt>
                <c:pt idx="86">
                  <c:v>74.131024130091816</c:v>
                </c:pt>
                <c:pt idx="87">
                  <c:v>75.857757502918361</c:v>
                </c:pt>
                <c:pt idx="88">
                  <c:v>77.624711662869217</c:v>
                </c:pt>
                <c:pt idx="89">
                  <c:v>79.432823472428197</c:v>
                </c:pt>
                <c:pt idx="90">
                  <c:v>81.283051616409963</c:v>
                </c:pt>
                <c:pt idx="91">
                  <c:v>83.176377110267126</c:v>
                </c:pt>
                <c:pt idx="92">
                  <c:v>85.113803820237734</c:v>
                </c:pt>
                <c:pt idx="93">
                  <c:v>87.096358995608071</c:v>
                </c:pt>
                <c:pt idx="94">
                  <c:v>89.125093813374562</c:v>
                </c:pt>
                <c:pt idx="95">
                  <c:v>91.201083935590972</c:v>
                </c:pt>
                <c:pt idx="96">
                  <c:v>93.325430079699174</c:v>
                </c:pt>
                <c:pt idx="97">
                  <c:v>95.499258602143655</c:v>
                </c:pt>
                <c:pt idx="98">
                  <c:v>97.723722095581124</c:v>
                </c:pt>
                <c:pt idx="99">
                  <c:v>100</c:v>
                </c:pt>
                <c:pt idx="100">
                  <c:v>102.32929922807544</c:v>
                </c:pt>
                <c:pt idx="101">
                  <c:v>104.71285480508998</c:v>
                </c:pt>
                <c:pt idx="102">
                  <c:v>107.15193052376065</c:v>
                </c:pt>
                <c:pt idx="103">
                  <c:v>109.64781961431861</c:v>
                </c:pt>
                <c:pt idx="104">
                  <c:v>112.20184543019634</c:v>
                </c:pt>
                <c:pt idx="105">
                  <c:v>114.81536214968835</c:v>
                </c:pt>
                <c:pt idx="106">
                  <c:v>117.48975549395293</c:v>
                </c:pt>
                <c:pt idx="107">
                  <c:v>120.22644346174135</c:v>
                </c:pt>
                <c:pt idx="108">
                  <c:v>123.02687708123821</c:v>
                </c:pt>
                <c:pt idx="109">
                  <c:v>125.89254117941677</c:v>
                </c:pt>
                <c:pt idx="110">
                  <c:v>128.82495516931343</c:v>
                </c:pt>
                <c:pt idx="111">
                  <c:v>131.82567385564084</c:v>
                </c:pt>
                <c:pt idx="112">
                  <c:v>134.89628825916537</c:v>
                </c:pt>
                <c:pt idx="113">
                  <c:v>138.0384264602886</c:v>
                </c:pt>
                <c:pt idx="114">
                  <c:v>141.25375446227542</c:v>
                </c:pt>
                <c:pt idx="115">
                  <c:v>144.54397707459285</c:v>
                </c:pt>
                <c:pt idx="116">
                  <c:v>147.91083881682084</c:v>
                </c:pt>
                <c:pt idx="117">
                  <c:v>151.3561248436209</c:v>
                </c:pt>
                <c:pt idx="118">
                  <c:v>154.8816618912482</c:v>
                </c:pt>
                <c:pt idx="119">
                  <c:v>158.48931924611153</c:v>
                </c:pt>
                <c:pt idx="120">
                  <c:v>162.18100973589304</c:v>
                </c:pt>
                <c:pt idx="121">
                  <c:v>165.95869074375622</c:v>
                </c:pt>
                <c:pt idx="122">
                  <c:v>169.82436524617444</c:v>
                </c:pt>
                <c:pt idx="123">
                  <c:v>173.78008287493768</c:v>
                </c:pt>
                <c:pt idx="124">
                  <c:v>177.82794100389242</c:v>
                </c:pt>
                <c:pt idx="125">
                  <c:v>181.9700858609983</c:v>
                </c:pt>
                <c:pt idx="126">
                  <c:v>186.20871366628685</c:v>
                </c:pt>
                <c:pt idx="127">
                  <c:v>190.54607179632498</c:v>
                </c:pt>
                <c:pt idx="128">
                  <c:v>194.98445997580458</c:v>
                </c:pt>
                <c:pt idx="129">
                  <c:v>199.52623149688802</c:v>
                </c:pt>
                <c:pt idx="130">
                  <c:v>204.17379446695315</c:v>
                </c:pt>
                <c:pt idx="131">
                  <c:v>208.92961308540396</c:v>
                </c:pt>
                <c:pt idx="132">
                  <c:v>213.79620895022339</c:v>
                </c:pt>
                <c:pt idx="133">
                  <c:v>218.77616239495524</c:v>
                </c:pt>
                <c:pt idx="134">
                  <c:v>223.87211385683412</c:v>
                </c:pt>
                <c:pt idx="135">
                  <c:v>229.08676527677744</c:v>
                </c:pt>
                <c:pt idx="136">
                  <c:v>234.42288153199232</c:v>
                </c:pt>
                <c:pt idx="137">
                  <c:v>239.88329190194912</c:v>
                </c:pt>
                <c:pt idx="138">
                  <c:v>245.4708915685033</c:v>
                </c:pt>
                <c:pt idx="139">
                  <c:v>251.18864315095806</c:v>
                </c:pt>
                <c:pt idx="140">
                  <c:v>257.03957827688663</c:v>
                </c:pt>
                <c:pt idx="141">
                  <c:v>263.02679918953817</c:v>
                </c:pt>
                <c:pt idx="142">
                  <c:v>269.15348039269179</c:v>
                </c:pt>
                <c:pt idx="143">
                  <c:v>275.42287033381683</c:v>
                </c:pt>
                <c:pt idx="144">
                  <c:v>281.83829312644554</c:v>
                </c:pt>
                <c:pt idx="145">
                  <c:v>288.40315031266073</c:v>
                </c:pt>
                <c:pt idx="146">
                  <c:v>295.12092266663871</c:v>
                </c:pt>
                <c:pt idx="147">
                  <c:v>301.99517204020168</c:v>
                </c:pt>
                <c:pt idx="148">
                  <c:v>309.02954325135937</c:v>
                </c:pt>
                <c:pt idx="149">
                  <c:v>316.22776601683825</c:v>
                </c:pt>
                <c:pt idx="150">
                  <c:v>323.59365692962825</c:v>
                </c:pt>
                <c:pt idx="151">
                  <c:v>331.13112148259137</c:v>
                </c:pt>
                <c:pt idx="152">
                  <c:v>338.84415613920277</c:v>
                </c:pt>
                <c:pt idx="153">
                  <c:v>346.73685045253183</c:v>
                </c:pt>
                <c:pt idx="154">
                  <c:v>354.81338923357566</c:v>
                </c:pt>
                <c:pt idx="155">
                  <c:v>363.07805477010152</c:v>
                </c:pt>
                <c:pt idx="156">
                  <c:v>371.53522909717265</c:v>
                </c:pt>
                <c:pt idx="157">
                  <c:v>380.18939632056163</c:v>
                </c:pt>
                <c:pt idx="158">
                  <c:v>389.04514499428063</c:v>
                </c:pt>
                <c:pt idx="159">
                  <c:v>398.10717055349761</c:v>
                </c:pt>
                <c:pt idx="160">
                  <c:v>407.38027780411272</c:v>
                </c:pt>
                <c:pt idx="161">
                  <c:v>416.86938347033572</c:v>
                </c:pt>
                <c:pt idx="162">
                  <c:v>426.57951880159294</c:v>
                </c:pt>
                <c:pt idx="163">
                  <c:v>436.51583224016622</c:v>
                </c:pt>
                <c:pt idx="164">
                  <c:v>446.68359215096331</c:v>
                </c:pt>
                <c:pt idx="165">
                  <c:v>457.0881896148756</c:v>
                </c:pt>
                <c:pt idx="166">
                  <c:v>467.7351412871983</c:v>
                </c:pt>
                <c:pt idx="167">
                  <c:v>478.63009232263886</c:v>
                </c:pt>
                <c:pt idx="168">
                  <c:v>489.77881936844625</c:v>
                </c:pt>
                <c:pt idx="169">
                  <c:v>501.18723362727269</c:v>
                </c:pt>
                <c:pt idx="170">
                  <c:v>512.86138399136519</c:v>
                </c:pt>
                <c:pt idx="171">
                  <c:v>524.80746024977248</c:v>
                </c:pt>
                <c:pt idx="172">
                  <c:v>537.03179637025301</c:v>
                </c:pt>
                <c:pt idx="173">
                  <c:v>549.54087385762534</c:v>
                </c:pt>
                <c:pt idx="174">
                  <c:v>562.34132519034927</c:v>
                </c:pt>
                <c:pt idx="175">
                  <c:v>575.43993733715706</c:v>
                </c:pt>
                <c:pt idx="176">
                  <c:v>588.84365535558959</c:v>
                </c:pt>
                <c:pt idx="177">
                  <c:v>602.55958607435832</c:v>
                </c:pt>
                <c:pt idx="178">
                  <c:v>616.59500186148273</c:v>
                </c:pt>
                <c:pt idx="179">
                  <c:v>630.95734448019323</c:v>
                </c:pt>
                <c:pt idx="180">
                  <c:v>645.65422903465594</c:v>
                </c:pt>
                <c:pt idx="181">
                  <c:v>660.69344800759643</c:v>
                </c:pt>
                <c:pt idx="182">
                  <c:v>676.08297539198213</c:v>
                </c:pt>
                <c:pt idx="183">
                  <c:v>691.83097091893671</c:v>
                </c:pt>
                <c:pt idx="184">
                  <c:v>707.94578438413873</c:v>
                </c:pt>
                <c:pt idx="185">
                  <c:v>724.43596007499025</c:v>
                </c:pt>
                <c:pt idx="186">
                  <c:v>741.31024130091828</c:v>
                </c:pt>
                <c:pt idx="187">
                  <c:v>758.57757502918378</c:v>
                </c:pt>
                <c:pt idx="188">
                  <c:v>776.24711662869231</c:v>
                </c:pt>
                <c:pt idx="189">
                  <c:v>794.32823472428208</c:v>
                </c:pt>
                <c:pt idx="190">
                  <c:v>812.83051616409978</c:v>
                </c:pt>
                <c:pt idx="191">
                  <c:v>831.7637711026714</c:v>
                </c:pt>
                <c:pt idx="192">
                  <c:v>851.13803820237763</c:v>
                </c:pt>
                <c:pt idx="193">
                  <c:v>870.96358995608091</c:v>
                </c:pt>
                <c:pt idx="194">
                  <c:v>891.25093813374656</c:v>
                </c:pt>
                <c:pt idx="195">
                  <c:v>912.01083935590987</c:v>
                </c:pt>
                <c:pt idx="196">
                  <c:v>933.25430079699106</c:v>
                </c:pt>
                <c:pt idx="197">
                  <c:v>954.99258602143675</c:v>
                </c:pt>
                <c:pt idx="198">
                  <c:v>977.23722095581138</c:v>
                </c:pt>
                <c:pt idx="199">
                  <c:v>1000</c:v>
                </c:pt>
                <c:pt idx="200">
                  <c:v>1023.2929922807547</c:v>
                </c:pt>
                <c:pt idx="201">
                  <c:v>1047.1285480509</c:v>
                </c:pt>
                <c:pt idx="202">
                  <c:v>1071.5193052376069</c:v>
                </c:pt>
                <c:pt idx="203">
                  <c:v>1096.4781961431863</c:v>
                </c:pt>
                <c:pt idx="204">
                  <c:v>1122.0184543019636</c:v>
                </c:pt>
                <c:pt idx="205">
                  <c:v>1148.1536214968839</c:v>
                </c:pt>
                <c:pt idx="206">
                  <c:v>1174.8975549395295</c:v>
                </c:pt>
                <c:pt idx="207">
                  <c:v>1202.2644346174138</c:v>
                </c:pt>
                <c:pt idx="208">
                  <c:v>1230.2687708123824</c:v>
                </c:pt>
                <c:pt idx="209">
                  <c:v>1258.925411794168</c:v>
                </c:pt>
                <c:pt idx="210">
                  <c:v>1288.2495516931347</c:v>
                </c:pt>
                <c:pt idx="211">
                  <c:v>1318.2567385564089</c:v>
                </c:pt>
                <c:pt idx="212">
                  <c:v>1348.9628825916541</c:v>
                </c:pt>
                <c:pt idx="213">
                  <c:v>1380.3842646028863</c:v>
                </c:pt>
                <c:pt idx="214">
                  <c:v>1412.5375446227545</c:v>
                </c:pt>
                <c:pt idx="215">
                  <c:v>1445.4397707459289</c:v>
                </c:pt>
                <c:pt idx="216">
                  <c:v>1479.1083881682086</c:v>
                </c:pt>
                <c:pt idx="217">
                  <c:v>1513.5612484362093</c:v>
                </c:pt>
                <c:pt idx="218">
                  <c:v>1548.8166189124822</c:v>
                </c:pt>
                <c:pt idx="219">
                  <c:v>1584.8931924611156</c:v>
                </c:pt>
                <c:pt idx="220">
                  <c:v>1621.8100973589308</c:v>
                </c:pt>
                <c:pt idx="221">
                  <c:v>1659.5869074375626</c:v>
                </c:pt>
                <c:pt idx="222">
                  <c:v>1698.2436524617447</c:v>
                </c:pt>
                <c:pt idx="223">
                  <c:v>1737.8008287493772</c:v>
                </c:pt>
                <c:pt idx="224">
                  <c:v>1778.2794100389244</c:v>
                </c:pt>
                <c:pt idx="225">
                  <c:v>1819.7008586099832</c:v>
                </c:pt>
                <c:pt idx="226">
                  <c:v>1862.0871366628687</c:v>
                </c:pt>
                <c:pt idx="227">
                  <c:v>1905.4607179632501</c:v>
                </c:pt>
                <c:pt idx="228">
                  <c:v>1949.8445997580463</c:v>
                </c:pt>
                <c:pt idx="229">
                  <c:v>1995.2623149688804</c:v>
                </c:pt>
                <c:pt idx="230">
                  <c:v>2041.7379446695318</c:v>
                </c:pt>
                <c:pt idx="231">
                  <c:v>2089.2961308540398</c:v>
                </c:pt>
                <c:pt idx="232">
                  <c:v>2137.9620895022344</c:v>
                </c:pt>
                <c:pt idx="233">
                  <c:v>2187.7616239495528</c:v>
                </c:pt>
                <c:pt idx="234">
                  <c:v>2238.7211385683418</c:v>
                </c:pt>
                <c:pt idx="235">
                  <c:v>2290.8676527677749</c:v>
                </c:pt>
                <c:pt idx="236">
                  <c:v>2344.2288153199238</c:v>
                </c:pt>
                <c:pt idx="237">
                  <c:v>2398.8329190194918</c:v>
                </c:pt>
                <c:pt idx="238">
                  <c:v>2454.7089156850338</c:v>
                </c:pt>
                <c:pt idx="239">
                  <c:v>2511.8864315095811</c:v>
                </c:pt>
                <c:pt idx="240">
                  <c:v>2570.3957827688669</c:v>
                </c:pt>
                <c:pt idx="241">
                  <c:v>2630.2679918953822</c:v>
                </c:pt>
                <c:pt idx="242">
                  <c:v>2691.5348039269184</c:v>
                </c:pt>
                <c:pt idx="243">
                  <c:v>2754.228703338169</c:v>
                </c:pt>
                <c:pt idx="244">
                  <c:v>2818.3829312644561</c:v>
                </c:pt>
                <c:pt idx="245">
                  <c:v>2884.0315031266077</c:v>
                </c:pt>
                <c:pt idx="246">
                  <c:v>2951.2092266663876</c:v>
                </c:pt>
                <c:pt idx="247">
                  <c:v>3019.9517204020176</c:v>
                </c:pt>
                <c:pt idx="248">
                  <c:v>3090.295432513592</c:v>
                </c:pt>
                <c:pt idx="249">
                  <c:v>3162.2776601683804</c:v>
                </c:pt>
                <c:pt idx="250">
                  <c:v>3235.9365692962833</c:v>
                </c:pt>
                <c:pt idx="251">
                  <c:v>3311.3112148259115</c:v>
                </c:pt>
                <c:pt idx="252">
                  <c:v>3388.4415613920314</c:v>
                </c:pt>
                <c:pt idx="253">
                  <c:v>3467.3685045253224</c:v>
                </c:pt>
                <c:pt idx="254">
                  <c:v>3548.1338923357539</c:v>
                </c:pt>
                <c:pt idx="255">
                  <c:v>3630.7805477010188</c:v>
                </c:pt>
                <c:pt idx="256">
                  <c:v>3715.352290971724</c:v>
                </c:pt>
                <c:pt idx="257">
                  <c:v>3801.8939632056172</c:v>
                </c:pt>
                <c:pt idx="258">
                  <c:v>3890.451449942811</c:v>
                </c:pt>
                <c:pt idx="259">
                  <c:v>3981.0717055349769</c:v>
                </c:pt>
                <c:pt idx="260">
                  <c:v>4073.8027780411317</c:v>
                </c:pt>
                <c:pt idx="261">
                  <c:v>4168.6938347033583</c:v>
                </c:pt>
                <c:pt idx="262">
                  <c:v>4265.7951880159299</c:v>
                </c:pt>
                <c:pt idx="263">
                  <c:v>4365.1583224016631</c:v>
                </c:pt>
                <c:pt idx="264">
                  <c:v>4466.8359215096343</c:v>
                </c:pt>
                <c:pt idx="265">
                  <c:v>4570.8818961487532</c:v>
                </c:pt>
                <c:pt idx="266">
                  <c:v>4677.3514128719844</c:v>
                </c:pt>
                <c:pt idx="267">
                  <c:v>4786.3009232263848</c:v>
                </c:pt>
                <c:pt idx="268">
                  <c:v>4897.7881936844633</c:v>
                </c:pt>
                <c:pt idx="269">
                  <c:v>5011.8723362727324</c:v>
                </c:pt>
                <c:pt idx="270">
                  <c:v>5128.6138399136489</c:v>
                </c:pt>
                <c:pt idx="271">
                  <c:v>5248.0746024977261</c:v>
                </c:pt>
                <c:pt idx="272">
                  <c:v>5370.3179637025269</c:v>
                </c:pt>
                <c:pt idx="273">
                  <c:v>5495.4087385762541</c:v>
                </c:pt>
                <c:pt idx="274">
                  <c:v>5623.4132519034993</c:v>
                </c:pt>
                <c:pt idx="275">
                  <c:v>5754.399373371567</c:v>
                </c:pt>
                <c:pt idx="276">
                  <c:v>5888.4365535558973</c:v>
                </c:pt>
                <c:pt idx="277">
                  <c:v>6025.595860743585</c:v>
                </c:pt>
                <c:pt idx="278">
                  <c:v>6165.9500186148289</c:v>
                </c:pt>
                <c:pt idx="279">
                  <c:v>6309.5734448019384</c:v>
                </c:pt>
                <c:pt idx="280">
                  <c:v>6456.5422903465615</c:v>
                </c:pt>
                <c:pt idx="281">
                  <c:v>6606.9344800759654</c:v>
                </c:pt>
                <c:pt idx="282">
                  <c:v>6760.8297539198229</c:v>
                </c:pt>
                <c:pt idx="283">
                  <c:v>6918.3097091893687</c:v>
                </c:pt>
                <c:pt idx="284">
                  <c:v>7079.4578438413828</c:v>
                </c:pt>
                <c:pt idx="285">
                  <c:v>7244.3596007499036</c:v>
                </c:pt>
                <c:pt idx="286">
                  <c:v>7413.1024130091773</c:v>
                </c:pt>
                <c:pt idx="287">
                  <c:v>7585.7757502918394</c:v>
                </c:pt>
                <c:pt idx="288">
                  <c:v>7762.4711662869322</c:v>
                </c:pt>
                <c:pt idx="289">
                  <c:v>7943.2823472428154</c:v>
                </c:pt>
                <c:pt idx="290">
                  <c:v>8128.3051616410066</c:v>
                </c:pt>
                <c:pt idx="291">
                  <c:v>8317.6377110267094</c:v>
                </c:pt>
                <c:pt idx="292">
                  <c:v>8511.3803820237772</c:v>
                </c:pt>
                <c:pt idx="293">
                  <c:v>8709.6358995608189</c:v>
                </c:pt>
                <c:pt idx="294">
                  <c:v>8912.5093813374679</c:v>
                </c:pt>
                <c:pt idx="295">
                  <c:v>9120.1083935591087</c:v>
                </c:pt>
                <c:pt idx="296">
                  <c:v>9332.5430079699217</c:v>
                </c:pt>
                <c:pt idx="297">
                  <c:v>9549.9258602143691</c:v>
                </c:pt>
                <c:pt idx="298">
                  <c:v>9772.3722095581161</c:v>
                </c:pt>
                <c:pt idx="299">
                  <c:v>10000</c:v>
                </c:pt>
                <c:pt idx="300">
                  <c:v>10232.929922807549</c:v>
                </c:pt>
                <c:pt idx="301">
                  <c:v>10471.285480509003</c:v>
                </c:pt>
                <c:pt idx="302">
                  <c:v>10715.193052376071</c:v>
                </c:pt>
                <c:pt idx="303">
                  <c:v>10964.781961431856</c:v>
                </c:pt>
                <c:pt idx="304">
                  <c:v>11220.184543019639</c:v>
                </c:pt>
                <c:pt idx="305">
                  <c:v>11481.536214968832</c:v>
                </c:pt>
                <c:pt idx="306">
                  <c:v>11748.975549395318</c:v>
                </c:pt>
                <c:pt idx="307">
                  <c:v>12022.644346174151</c:v>
                </c:pt>
                <c:pt idx="308">
                  <c:v>12302.687708123816</c:v>
                </c:pt>
                <c:pt idx="309">
                  <c:v>12589.254117941671</c:v>
                </c:pt>
                <c:pt idx="310">
                  <c:v>12882.49551693136</c:v>
                </c:pt>
                <c:pt idx="311">
                  <c:v>13182.567385564091</c:v>
                </c:pt>
                <c:pt idx="312">
                  <c:v>13489.628825916556</c:v>
                </c:pt>
                <c:pt idx="313">
                  <c:v>13803.842646028841</c:v>
                </c:pt>
                <c:pt idx="314">
                  <c:v>14125.375446227561</c:v>
                </c:pt>
                <c:pt idx="315">
                  <c:v>14454.397707459291</c:v>
                </c:pt>
                <c:pt idx="316">
                  <c:v>14791.083881682089</c:v>
                </c:pt>
                <c:pt idx="317">
                  <c:v>15135.612484362096</c:v>
                </c:pt>
                <c:pt idx="318">
                  <c:v>15488.166189124853</c:v>
                </c:pt>
                <c:pt idx="319">
                  <c:v>15848.931924611146</c:v>
                </c:pt>
                <c:pt idx="320">
                  <c:v>16218.100973589309</c:v>
                </c:pt>
                <c:pt idx="321">
                  <c:v>16595.869074375616</c:v>
                </c:pt>
                <c:pt idx="322">
                  <c:v>16982.436524617482</c:v>
                </c:pt>
                <c:pt idx="323">
                  <c:v>17378.008287493791</c:v>
                </c:pt>
                <c:pt idx="324">
                  <c:v>17782.794100389234</c:v>
                </c:pt>
                <c:pt idx="325">
                  <c:v>18197.008586099837</c:v>
                </c:pt>
                <c:pt idx="326">
                  <c:v>18620.871366628675</c:v>
                </c:pt>
                <c:pt idx="327">
                  <c:v>19054.607179632505</c:v>
                </c:pt>
                <c:pt idx="328">
                  <c:v>19498.445997580486</c:v>
                </c:pt>
                <c:pt idx="329">
                  <c:v>19952.623149688792</c:v>
                </c:pt>
                <c:pt idx="330">
                  <c:v>20417.379446695286</c:v>
                </c:pt>
                <c:pt idx="331">
                  <c:v>20892.961308540423</c:v>
                </c:pt>
                <c:pt idx="332">
                  <c:v>21379.620895022348</c:v>
                </c:pt>
                <c:pt idx="333">
                  <c:v>21877.61623949555</c:v>
                </c:pt>
                <c:pt idx="334">
                  <c:v>22387.211385683382</c:v>
                </c:pt>
                <c:pt idx="335">
                  <c:v>22908.676527677751</c:v>
                </c:pt>
                <c:pt idx="336">
                  <c:v>23442.288153199243</c:v>
                </c:pt>
                <c:pt idx="337">
                  <c:v>23988.329190194923</c:v>
                </c:pt>
                <c:pt idx="338">
                  <c:v>24547.089156850321</c:v>
                </c:pt>
                <c:pt idx="339">
                  <c:v>25118.86431509586</c:v>
                </c:pt>
                <c:pt idx="340">
                  <c:v>25703.95782768865</c:v>
                </c:pt>
                <c:pt idx="341">
                  <c:v>26302.679918953829</c:v>
                </c:pt>
                <c:pt idx="342">
                  <c:v>26915.348039269167</c:v>
                </c:pt>
                <c:pt idx="343">
                  <c:v>27542.287033381719</c:v>
                </c:pt>
                <c:pt idx="344">
                  <c:v>28183.829312644593</c:v>
                </c:pt>
                <c:pt idx="345">
                  <c:v>28840.315031266062</c:v>
                </c:pt>
                <c:pt idx="346">
                  <c:v>29512.092266663854</c:v>
                </c:pt>
                <c:pt idx="347">
                  <c:v>30199.517204020212</c:v>
                </c:pt>
                <c:pt idx="348">
                  <c:v>30902.954325135954</c:v>
                </c:pt>
                <c:pt idx="349">
                  <c:v>31622.77660168384</c:v>
                </c:pt>
                <c:pt idx="350">
                  <c:v>32359.365692962871</c:v>
                </c:pt>
                <c:pt idx="351">
                  <c:v>33113.11214825909</c:v>
                </c:pt>
                <c:pt idx="352">
                  <c:v>33884.41561392029</c:v>
                </c:pt>
                <c:pt idx="353">
                  <c:v>34673.685045253202</c:v>
                </c:pt>
                <c:pt idx="354">
                  <c:v>35481.33892335758</c:v>
                </c:pt>
                <c:pt idx="355">
                  <c:v>36307.805477010232</c:v>
                </c:pt>
                <c:pt idx="356">
                  <c:v>37153.522909717351</c:v>
                </c:pt>
                <c:pt idx="357">
                  <c:v>38018.939632056143</c:v>
                </c:pt>
                <c:pt idx="358">
                  <c:v>38904.514499428085</c:v>
                </c:pt>
                <c:pt idx="359">
                  <c:v>39810.717055349742</c:v>
                </c:pt>
                <c:pt idx="360">
                  <c:v>40738.027780411358</c:v>
                </c:pt>
                <c:pt idx="361">
                  <c:v>41686.938347033625</c:v>
                </c:pt>
                <c:pt idx="362">
                  <c:v>42657.951880159271</c:v>
                </c:pt>
                <c:pt idx="363">
                  <c:v>43651.583224016598</c:v>
                </c:pt>
                <c:pt idx="364">
                  <c:v>44668.359215096389</c:v>
                </c:pt>
                <c:pt idx="365">
                  <c:v>45708.818961487581</c:v>
                </c:pt>
                <c:pt idx="366">
                  <c:v>46773.514128719893</c:v>
                </c:pt>
                <c:pt idx="367">
                  <c:v>47863.009232263823</c:v>
                </c:pt>
                <c:pt idx="368">
                  <c:v>48977.881936844598</c:v>
                </c:pt>
                <c:pt idx="369">
                  <c:v>50118.723362727294</c:v>
                </c:pt>
                <c:pt idx="370">
                  <c:v>51286.138399136544</c:v>
                </c:pt>
                <c:pt idx="371">
                  <c:v>52480.746024977314</c:v>
                </c:pt>
                <c:pt idx="372">
                  <c:v>53703.179637025423</c:v>
                </c:pt>
                <c:pt idx="373">
                  <c:v>54954.087385762505</c:v>
                </c:pt>
                <c:pt idx="374">
                  <c:v>56234.132519034953</c:v>
                </c:pt>
                <c:pt idx="375">
                  <c:v>57543.993733715732</c:v>
                </c:pt>
                <c:pt idx="376">
                  <c:v>58884.365535558936</c:v>
                </c:pt>
                <c:pt idx="377">
                  <c:v>60255.95860743591</c:v>
                </c:pt>
                <c:pt idx="378">
                  <c:v>61659.500186148245</c:v>
                </c:pt>
                <c:pt idx="379">
                  <c:v>63095.734448019342</c:v>
                </c:pt>
                <c:pt idx="380">
                  <c:v>64565.422903465682</c:v>
                </c:pt>
                <c:pt idx="381">
                  <c:v>66069.344800759733</c:v>
                </c:pt>
                <c:pt idx="382">
                  <c:v>67608.297539198305</c:v>
                </c:pt>
                <c:pt idx="383">
                  <c:v>69183.097091893651</c:v>
                </c:pt>
                <c:pt idx="384">
                  <c:v>70794.578438413781</c:v>
                </c:pt>
                <c:pt idx="385">
                  <c:v>72443.596007499116</c:v>
                </c:pt>
                <c:pt idx="386">
                  <c:v>74131.024130091857</c:v>
                </c:pt>
                <c:pt idx="387">
                  <c:v>75857.757502918481</c:v>
                </c:pt>
                <c:pt idx="388">
                  <c:v>77624.711662869129</c:v>
                </c:pt>
                <c:pt idx="389">
                  <c:v>79432.823472428237</c:v>
                </c:pt>
                <c:pt idx="390">
                  <c:v>81283.051616410012</c:v>
                </c:pt>
                <c:pt idx="391">
                  <c:v>83176.377110267174</c:v>
                </c:pt>
                <c:pt idx="392">
                  <c:v>85113.803820237721</c:v>
                </c:pt>
                <c:pt idx="393">
                  <c:v>87096.358995608127</c:v>
                </c:pt>
                <c:pt idx="394">
                  <c:v>89125.093813374609</c:v>
                </c:pt>
                <c:pt idx="395">
                  <c:v>91201.083935591028</c:v>
                </c:pt>
                <c:pt idx="396">
                  <c:v>93325.430079699145</c:v>
                </c:pt>
                <c:pt idx="397">
                  <c:v>95499.258602143804</c:v>
                </c:pt>
                <c:pt idx="398">
                  <c:v>97723.722095581266</c:v>
                </c:pt>
                <c:pt idx="399">
                  <c:v>100000</c:v>
                </c:pt>
                <c:pt idx="400">
                  <c:v>102329.29922807543</c:v>
                </c:pt>
                <c:pt idx="401">
                  <c:v>104712.85480508996</c:v>
                </c:pt>
                <c:pt idx="402">
                  <c:v>107151.93052376082</c:v>
                </c:pt>
                <c:pt idx="403">
                  <c:v>109647.81961431868</c:v>
                </c:pt>
                <c:pt idx="404">
                  <c:v>112201.84543019651</c:v>
                </c:pt>
                <c:pt idx="405">
                  <c:v>114815.36214968823</c:v>
                </c:pt>
                <c:pt idx="406">
                  <c:v>117489.75549395311</c:v>
                </c:pt>
                <c:pt idx="407">
                  <c:v>120226.44346174144</c:v>
                </c:pt>
                <c:pt idx="408">
                  <c:v>123026.87708123829</c:v>
                </c:pt>
                <c:pt idx="409">
                  <c:v>125892.54117941685</c:v>
                </c:pt>
                <c:pt idx="410">
                  <c:v>128824.95516931375</c:v>
                </c:pt>
                <c:pt idx="411">
                  <c:v>131825.67385564081</c:v>
                </c:pt>
                <c:pt idx="412">
                  <c:v>134896.28825916545</c:v>
                </c:pt>
                <c:pt idx="413">
                  <c:v>138038.42646028858</c:v>
                </c:pt>
                <c:pt idx="414">
                  <c:v>141253.75446227577</c:v>
                </c:pt>
                <c:pt idx="415">
                  <c:v>144543.97707459307</c:v>
                </c:pt>
                <c:pt idx="416">
                  <c:v>147910.83881682079</c:v>
                </c:pt>
                <c:pt idx="417">
                  <c:v>151356.12484362084</c:v>
                </c:pt>
                <c:pt idx="418">
                  <c:v>154881.66189124843</c:v>
                </c:pt>
                <c:pt idx="419">
                  <c:v>158489.31924611164</c:v>
                </c:pt>
                <c:pt idx="420">
                  <c:v>162181.00973589328</c:v>
                </c:pt>
                <c:pt idx="421">
                  <c:v>165958.69074375604</c:v>
                </c:pt>
                <c:pt idx="422">
                  <c:v>169824.36524617471</c:v>
                </c:pt>
                <c:pt idx="423">
                  <c:v>173780.0828749378</c:v>
                </c:pt>
                <c:pt idx="424">
                  <c:v>177827.94100389251</c:v>
                </c:pt>
                <c:pt idx="425">
                  <c:v>181970.08586099857</c:v>
                </c:pt>
                <c:pt idx="426">
                  <c:v>186208.71366628664</c:v>
                </c:pt>
                <c:pt idx="427">
                  <c:v>190546.07179632492</c:v>
                </c:pt>
                <c:pt idx="428">
                  <c:v>194984.45997580473</c:v>
                </c:pt>
                <c:pt idx="429">
                  <c:v>199526.23149688813</c:v>
                </c:pt>
                <c:pt idx="430">
                  <c:v>204173.79446695308</c:v>
                </c:pt>
                <c:pt idx="431">
                  <c:v>208929.61308540447</c:v>
                </c:pt>
                <c:pt idx="432">
                  <c:v>213796.20895022334</c:v>
                </c:pt>
                <c:pt idx="433">
                  <c:v>218776.16239495538</c:v>
                </c:pt>
                <c:pt idx="434">
                  <c:v>223872.11385683404</c:v>
                </c:pt>
                <c:pt idx="435">
                  <c:v>229086.76527677779</c:v>
                </c:pt>
                <c:pt idx="436">
                  <c:v>234422.88153199267</c:v>
                </c:pt>
                <c:pt idx="437">
                  <c:v>239883.29190194907</c:v>
                </c:pt>
                <c:pt idx="438">
                  <c:v>245470.89156850305</c:v>
                </c:pt>
                <c:pt idx="439">
                  <c:v>251188.64315095844</c:v>
                </c:pt>
                <c:pt idx="440">
                  <c:v>257039.57827688678</c:v>
                </c:pt>
                <c:pt idx="441">
                  <c:v>263026.79918953858</c:v>
                </c:pt>
                <c:pt idx="442">
                  <c:v>269153.48039269145</c:v>
                </c:pt>
                <c:pt idx="443">
                  <c:v>275422.87033381703</c:v>
                </c:pt>
                <c:pt idx="444">
                  <c:v>281838.29312644573</c:v>
                </c:pt>
                <c:pt idx="445">
                  <c:v>288403.1503126609</c:v>
                </c:pt>
                <c:pt idx="446">
                  <c:v>295120.92266663886</c:v>
                </c:pt>
                <c:pt idx="447">
                  <c:v>301995.17204020242</c:v>
                </c:pt>
                <c:pt idx="448">
                  <c:v>309029.54325135931</c:v>
                </c:pt>
                <c:pt idx="449">
                  <c:v>316227.7660168382</c:v>
                </c:pt>
                <c:pt idx="450">
                  <c:v>323593.65692962846</c:v>
                </c:pt>
                <c:pt idx="451">
                  <c:v>331131.12148259126</c:v>
                </c:pt>
                <c:pt idx="452">
                  <c:v>338844.15613920329</c:v>
                </c:pt>
                <c:pt idx="453">
                  <c:v>346736.85045253241</c:v>
                </c:pt>
                <c:pt idx="454">
                  <c:v>354813.38923357555</c:v>
                </c:pt>
                <c:pt idx="455">
                  <c:v>363078.05477010203</c:v>
                </c:pt>
                <c:pt idx="456">
                  <c:v>371535.2290971732</c:v>
                </c:pt>
                <c:pt idx="457">
                  <c:v>380189.39632056188</c:v>
                </c:pt>
                <c:pt idx="458">
                  <c:v>389045.14499428123</c:v>
                </c:pt>
                <c:pt idx="459">
                  <c:v>398107.17055349716</c:v>
                </c:pt>
                <c:pt idx="460">
                  <c:v>407380.27780411334</c:v>
                </c:pt>
                <c:pt idx="461">
                  <c:v>416869.38347033598</c:v>
                </c:pt>
                <c:pt idx="462">
                  <c:v>426579.51880159322</c:v>
                </c:pt>
                <c:pt idx="463">
                  <c:v>436515.83224016649</c:v>
                </c:pt>
                <c:pt idx="464">
                  <c:v>446683.59215096442</c:v>
                </c:pt>
                <c:pt idx="465">
                  <c:v>457088.18961487547</c:v>
                </c:pt>
                <c:pt idx="466">
                  <c:v>467735.14128719864</c:v>
                </c:pt>
                <c:pt idx="467">
                  <c:v>478630.09232263872</c:v>
                </c:pt>
                <c:pt idx="468">
                  <c:v>489778.81936844654</c:v>
                </c:pt>
                <c:pt idx="469">
                  <c:v>501187.23362727347</c:v>
                </c:pt>
                <c:pt idx="470">
                  <c:v>512861.38399136515</c:v>
                </c:pt>
                <c:pt idx="471">
                  <c:v>524807.46024977288</c:v>
                </c:pt>
                <c:pt idx="472">
                  <c:v>537031.7963702539</c:v>
                </c:pt>
                <c:pt idx="473">
                  <c:v>549540.87385762564</c:v>
                </c:pt>
                <c:pt idx="474">
                  <c:v>562341.32519035018</c:v>
                </c:pt>
                <c:pt idx="475">
                  <c:v>575439.93733715697</c:v>
                </c:pt>
                <c:pt idx="476">
                  <c:v>588843.65535558888</c:v>
                </c:pt>
                <c:pt idx="477">
                  <c:v>602559.58607435878</c:v>
                </c:pt>
                <c:pt idx="478">
                  <c:v>616595.00186148309</c:v>
                </c:pt>
                <c:pt idx="479">
                  <c:v>630957.34448019415</c:v>
                </c:pt>
                <c:pt idx="480">
                  <c:v>645654.22903465747</c:v>
                </c:pt>
                <c:pt idx="481">
                  <c:v>660693.44800759677</c:v>
                </c:pt>
                <c:pt idx="482">
                  <c:v>676082.97539198259</c:v>
                </c:pt>
                <c:pt idx="483">
                  <c:v>691830.97091893724</c:v>
                </c:pt>
                <c:pt idx="484">
                  <c:v>707945.78438413853</c:v>
                </c:pt>
                <c:pt idx="485">
                  <c:v>724435.96007499192</c:v>
                </c:pt>
                <c:pt idx="486">
                  <c:v>741310.24130091805</c:v>
                </c:pt>
                <c:pt idx="487">
                  <c:v>758577.57502918423</c:v>
                </c:pt>
                <c:pt idx="488">
                  <c:v>776247.11662869214</c:v>
                </c:pt>
                <c:pt idx="489">
                  <c:v>794328.23472428333</c:v>
                </c:pt>
                <c:pt idx="490">
                  <c:v>812830.51616410096</c:v>
                </c:pt>
                <c:pt idx="491">
                  <c:v>831763.77110267128</c:v>
                </c:pt>
                <c:pt idx="492">
                  <c:v>851138.03820237669</c:v>
                </c:pt>
                <c:pt idx="493">
                  <c:v>870963.58995608077</c:v>
                </c:pt>
                <c:pt idx="494">
                  <c:v>891250.93813374708</c:v>
                </c:pt>
                <c:pt idx="495">
                  <c:v>912010.83935591124</c:v>
                </c:pt>
                <c:pt idx="496">
                  <c:v>933254.30079699249</c:v>
                </c:pt>
                <c:pt idx="497">
                  <c:v>954992.58602143743</c:v>
                </c:pt>
                <c:pt idx="498">
                  <c:v>977237.22095581202</c:v>
                </c:pt>
                <c:pt idx="499">
                  <c:v>1000000</c:v>
                </c:pt>
                <c:pt idx="500">
                  <c:v>1023292.9922807553</c:v>
                </c:pt>
                <c:pt idx="501">
                  <c:v>1047128.5480509007</c:v>
                </c:pt>
                <c:pt idx="502">
                  <c:v>1071519.3052376076</c:v>
                </c:pt>
                <c:pt idx="503">
                  <c:v>1096478.196143186</c:v>
                </c:pt>
                <c:pt idx="504">
                  <c:v>1122018.4543019643</c:v>
                </c:pt>
                <c:pt idx="505">
                  <c:v>1148153.6214968837</c:v>
                </c:pt>
                <c:pt idx="506">
                  <c:v>1174897.5549395324</c:v>
                </c:pt>
                <c:pt idx="507">
                  <c:v>1202264.4346174158</c:v>
                </c:pt>
                <c:pt idx="508">
                  <c:v>1230268.770812382</c:v>
                </c:pt>
                <c:pt idx="509">
                  <c:v>1258925.4117941677</c:v>
                </c:pt>
                <c:pt idx="510">
                  <c:v>1288249.5516931366</c:v>
                </c:pt>
                <c:pt idx="511">
                  <c:v>1318256.7385564097</c:v>
                </c:pt>
                <c:pt idx="512">
                  <c:v>1348962.8825916562</c:v>
                </c:pt>
                <c:pt idx="513">
                  <c:v>1380384.2646028849</c:v>
                </c:pt>
                <c:pt idx="514">
                  <c:v>1412537.5446227565</c:v>
                </c:pt>
                <c:pt idx="515">
                  <c:v>1445439.7707459298</c:v>
                </c:pt>
                <c:pt idx="516">
                  <c:v>1479108.3881682095</c:v>
                </c:pt>
                <c:pt idx="517">
                  <c:v>1513561.2484362102</c:v>
                </c:pt>
                <c:pt idx="518">
                  <c:v>1548816.6189124861</c:v>
                </c:pt>
                <c:pt idx="519">
                  <c:v>1584893.1924611153</c:v>
                </c:pt>
                <c:pt idx="520">
                  <c:v>1621810.0973589318</c:v>
                </c:pt>
                <c:pt idx="521">
                  <c:v>1659586.9074375622</c:v>
                </c:pt>
                <c:pt idx="522">
                  <c:v>1698243.6524617488</c:v>
                </c:pt>
                <c:pt idx="523">
                  <c:v>1737800.8287493798</c:v>
                </c:pt>
                <c:pt idx="524">
                  <c:v>1778279.4100389241</c:v>
                </c:pt>
                <c:pt idx="525">
                  <c:v>1819700.8586099846</c:v>
                </c:pt>
                <c:pt idx="526">
                  <c:v>1862087.1366628683</c:v>
                </c:pt>
                <c:pt idx="527">
                  <c:v>1905460.7179632513</c:v>
                </c:pt>
                <c:pt idx="528">
                  <c:v>1949844.5997580495</c:v>
                </c:pt>
                <c:pt idx="529">
                  <c:v>1995262.31496888</c:v>
                </c:pt>
                <c:pt idx="530">
                  <c:v>2041737.9446695296</c:v>
                </c:pt>
                <c:pt idx="531">
                  <c:v>2089296.1308540432</c:v>
                </c:pt>
                <c:pt idx="532">
                  <c:v>2137962.0895022359</c:v>
                </c:pt>
                <c:pt idx="533">
                  <c:v>2187761.6239495561</c:v>
                </c:pt>
                <c:pt idx="534">
                  <c:v>2238721.1385683389</c:v>
                </c:pt>
                <c:pt idx="535">
                  <c:v>2290867.6527677765</c:v>
                </c:pt>
                <c:pt idx="536">
                  <c:v>2344228.8153199251</c:v>
                </c:pt>
                <c:pt idx="537">
                  <c:v>2398832.9190194933</c:v>
                </c:pt>
                <c:pt idx="538">
                  <c:v>2454708.915685033</c:v>
                </c:pt>
                <c:pt idx="539">
                  <c:v>2511886.431509587</c:v>
                </c:pt>
                <c:pt idx="540">
                  <c:v>2570395.782768866</c:v>
                </c:pt>
                <c:pt idx="541">
                  <c:v>2630267.9918953842</c:v>
                </c:pt>
              </c:numCache>
            </c:numRef>
          </c:xVal>
          <c:yVal>
            <c:numRef>
              <c:f>Loop_Modeling!$BE$19:$BE$560</c:f>
              <c:numCache>
                <c:formatCode>General</c:formatCode>
                <c:ptCount val="542"/>
                <c:pt idx="0">
                  <c:v>90.420042226781135</c:v>
                </c:pt>
                <c:pt idx="1">
                  <c:v>90.429825870232378</c:v>
                </c:pt>
                <c:pt idx="2">
                  <c:v>90.439837375630759</c:v>
                </c:pt>
                <c:pt idx="3">
                  <c:v>90.450082048533034</c:v>
                </c:pt>
                <c:pt idx="4">
                  <c:v>90.46056531793306</c:v>
                </c:pt>
                <c:pt idx="5">
                  <c:v>90.471292739126667</c:v>
                </c:pt>
                <c:pt idx="6">
                  <c:v>90.482269996642529</c:v>
                </c:pt>
                <c:pt idx="7">
                  <c:v>90.493502907240426</c:v>
                </c:pt>
                <c:pt idx="8">
                  <c:v>90.504997422978533</c:v>
                </c:pt>
                <c:pt idx="9">
                  <c:v>90.516759634351246</c:v>
                </c:pt>
                <c:pt idx="10">
                  <c:v>90.528795773499141</c:v>
                </c:pt>
                <c:pt idx="11">
                  <c:v>90.541112217492639</c:v>
                </c:pt>
                <c:pt idx="12">
                  <c:v>90.55371549169098</c:v>
                </c:pt>
                <c:pt idx="13">
                  <c:v>90.566612273178293</c:v>
                </c:pt>
                <c:pt idx="14">
                  <c:v>90.57980939427847</c:v>
                </c:pt>
                <c:pt idx="15">
                  <c:v>90.593313846150323</c:v>
                </c:pt>
                <c:pt idx="16">
                  <c:v>90.607132782465357</c:v>
                </c:pt>
                <c:pt idx="17">
                  <c:v>90.621273523169151</c:v>
                </c:pt>
                <c:pt idx="18">
                  <c:v>90.635743558329182</c:v>
                </c:pt>
                <c:pt idx="19">
                  <c:v>90.650550552069959</c:v>
                </c:pt>
                <c:pt idx="20">
                  <c:v>90.665702346598209</c:v>
                </c:pt>
                <c:pt idx="21">
                  <c:v>90.681206966319664</c:v>
                </c:pt>
                <c:pt idx="22">
                  <c:v>90.697072622049362</c:v>
                </c:pt>
                <c:pt idx="23">
                  <c:v>90.713307715317782</c:v>
                </c:pt>
                <c:pt idx="24">
                  <c:v>90.72992084277459</c:v>
                </c:pt>
                <c:pt idx="25">
                  <c:v>90.746920800692351</c:v>
                </c:pt>
                <c:pt idx="26">
                  <c:v>90.764316589572076</c:v>
                </c:pt>
                <c:pt idx="27">
                  <c:v>90.782117418852863</c:v>
                </c:pt>
                <c:pt idx="28">
                  <c:v>90.800332711728018</c:v>
                </c:pt>
                <c:pt idx="29">
                  <c:v>90.818972110069538</c:v>
                </c:pt>
                <c:pt idx="30">
                  <c:v>90.838045479463588</c:v>
                </c:pt>
                <c:pt idx="31">
                  <c:v>90.857562914358937</c:v>
                </c:pt>
                <c:pt idx="32">
                  <c:v>90.877534743330997</c:v>
                </c:pt>
                <c:pt idx="33">
                  <c:v>90.897971534463622</c:v>
                </c:pt>
                <c:pt idx="34">
                  <c:v>90.918884100851187</c:v>
                </c:pt>
                <c:pt idx="35">
                  <c:v>90.940283506223267</c:v>
                </c:pt>
                <c:pt idx="36">
                  <c:v>90.962181070694584</c:v>
                </c:pt>
                <c:pt idx="37">
                  <c:v>90.984588376642449</c:v>
                </c:pt>
                <c:pt idx="38">
                  <c:v>91.007517274714502</c:v>
                </c:pt>
                <c:pt idx="39">
                  <c:v>91.030979889969046</c:v>
                </c:pt>
                <c:pt idx="40">
                  <c:v>91.054988628150724</c:v>
                </c:pt>
                <c:pt idx="41">
                  <c:v>91.079556182104099</c:v>
                </c:pt>
                <c:pt idx="42">
                  <c:v>91.104695538327704</c:v>
                </c:pt>
                <c:pt idx="43">
                  <c:v>91.130419983671302</c:v>
                </c:pt>
                <c:pt idx="44">
                  <c:v>91.156743112178845</c:v>
                </c:pt>
                <c:pt idx="45">
                  <c:v>91.183678832080034</c:v>
                </c:pt>
                <c:pt idx="46">
                  <c:v>91.211241372932918</c:v>
                </c:pt>
                <c:pt idx="47">
                  <c:v>91.23944529292045</c:v>
                </c:pt>
                <c:pt idx="48">
                  <c:v>91.268305486303504</c:v>
                </c:pt>
                <c:pt idx="49">
                  <c:v>91.297837191033125</c:v>
                </c:pt>
                <c:pt idx="50">
                  <c:v>91.328055996524753</c:v>
                </c:pt>
                <c:pt idx="51">
                  <c:v>91.358977851596933</c:v>
                </c:pt>
                <c:pt idx="52">
                  <c:v>91.390619072577351</c:v>
                </c:pt>
                <c:pt idx="53">
                  <c:v>91.422996351578817</c:v>
                </c:pt>
                <c:pt idx="54">
                  <c:v>91.456126764947584</c:v>
                </c:pt>
                <c:pt idx="55">
                  <c:v>91.490027781886894</c:v>
                </c:pt>
                <c:pt idx="56">
                  <c:v>91.524717273258062</c:v>
                </c:pt>
                <c:pt idx="57">
                  <c:v>91.560213520561717</c:v>
                </c:pt>
                <c:pt idx="58">
                  <c:v>91.596535225101576</c:v>
                </c:pt>
                <c:pt idx="59">
                  <c:v>91.633701517332995</c:v>
                </c:pt>
                <c:pt idx="60">
                  <c:v>91.671731966398866</c:v>
                </c:pt>
                <c:pt idx="61">
                  <c:v>91.710646589854747</c:v>
                </c:pt>
                <c:pt idx="62">
                  <c:v>91.750465863585518</c:v>
                </c:pt>
                <c:pt idx="63">
                  <c:v>91.791210731915371</c:v>
                </c:pt>
                <c:pt idx="64">
                  <c:v>91.832902617913163</c:v>
                </c:pt>
                <c:pt idx="65">
                  <c:v>91.875563433894825</c:v>
                </c:pt>
                <c:pt idx="66">
                  <c:v>91.919215592123962</c:v>
                </c:pt>
                <c:pt idx="67">
                  <c:v>91.963882015712727</c:v>
                </c:pt>
                <c:pt idx="68">
                  <c:v>92.009586149723489</c:v>
                </c:pt>
                <c:pt idx="69">
                  <c:v>92.056351972472527</c:v>
                </c:pt>
                <c:pt idx="70">
                  <c:v>92.104204007036586</c:v>
                </c:pt>
                <c:pt idx="71">
                  <c:v>92.153167332962354</c:v>
                </c:pt>
                <c:pt idx="72">
                  <c:v>92.203267598179409</c:v>
                </c:pt>
                <c:pt idx="73">
                  <c:v>92.254531031116315</c:v>
                </c:pt>
                <c:pt idx="74">
                  <c:v>92.306984453019226</c:v>
                </c:pt>
                <c:pt idx="75">
                  <c:v>92.360655290472593</c:v>
                </c:pt>
                <c:pt idx="76">
                  <c:v>92.415571588119903</c:v>
                </c:pt>
                <c:pt idx="77">
                  <c:v>92.471762021583572</c:v>
                </c:pt>
                <c:pt idx="78">
                  <c:v>92.529255910581284</c:v>
                </c:pt>
                <c:pt idx="79">
                  <c:v>92.588083232236002</c:v>
                </c:pt>
                <c:pt idx="80">
                  <c:v>92.648274634576637</c:v>
                </c:pt>
                <c:pt idx="81">
                  <c:v>92.709861450225176</c:v>
                </c:pt>
                <c:pt idx="82">
                  <c:v>92.772875710265993</c:v>
                </c:pt>
                <c:pt idx="83">
                  <c:v>92.837350158291457</c:v>
                </c:pt>
                <c:pt idx="84">
                  <c:v>92.903318264618619</c:v>
                </c:pt>
                <c:pt idx="85">
                  <c:v>92.970814240669014</c:v>
                </c:pt>
                <c:pt idx="86">
                  <c:v>93.039873053504678</c:v>
                </c:pt>
                <c:pt idx="87">
                  <c:v>93.110530440510985</c:v>
                </c:pt>
                <c:pt idx="88">
                  <c:v>93.182822924216538</c:v>
                </c:pt>
                <c:pt idx="89">
                  <c:v>93.256787827239322</c:v>
                </c:pt>
                <c:pt idx="90">
                  <c:v>93.332463287346755</c:v>
                </c:pt>
                <c:pt idx="91">
                  <c:v>93.409888272616016</c:v>
                </c:pt>
                <c:pt idx="92">
                  <c:v>93.489102596680013</c:v>
                </c:pt>
                <c:pt idx="93">
                  <c:v>93.570146934042214</c:v>
                </c:pt>
                <c:pt idx="94">
                  <c:v>93.653062835442697</c:v>
                </c:pt>
                <c:pt idx="95">
                  <c:v>93.737892743255358</c:v>
                </c:pt>
                <c:pt idx="96">
                  <c:v>93.82468000689461</c:v>
                </c:pt>
                <c:pt idx="97">
                  <c:v>93.913468898208507</c:v>
                </c:pt>
                <c:pt idx="98">
                  <c:v>94.004304626831725</c:v>
                </c:pt>
                <c:pt idx="99">
                  <c:v>94.097233355471445</c:v>
                </c:pt>
                <c:pt idx="100">
                  <c:v>94.192302215094642</c:v>
                </c:pt>
                <c:pt idx="101">
                  <c:v>94.289559319984889</c:v>
                </c:pt>
                <c:pt idx="102">
                  <c:v>94.389053782632246</c:v>
                </c:pt>
                <c:pt idx="103">
                  <c:v>94.490835728417764</c:v>
                </c:pt>
                <c:pt idx="104">
                  <c:v>94.594956310051117</c:v>
                </c:pt>
                <c:pt idx="105">
                  <c:v>94.701467721715844</c:v>
                </c:pt>
                <c:pt idx="106">
                  <c:v>94.810423212873928</c:v>
                </c:pt>
                <c:pt idx="107">
                  <c:v>94.921877101677282</c:v>
                </c:pt>
                <c:pt idx="108">
                  <c:v>95.03588478792966</c:v>
                </c:pt>
                <c:pt idx="109">
                  <c:v>95.152502765538642</c:v>
                </c:pt>
                <c:pt idx="110">
                  <c:v>95.271788634392323</c:v>
                </c:pt>
                <c:pt idx="111">
                  <c:v>95.393801111591557</c:v>
                </c:pt>
                <c:pt idx="112">
                  <c:v>95.518600041962017</c:v>
                </c:pt>
                <c:pt idx="113">
                  <c:v>95.646246407766867</c:v>
                </c:pt>
                <c:pt idx="114">
                  <c:v>95.776802337533908</c:v>
                </c:pt>
                <c:pt idx="115">
                  <c:v>95.9103311139054</c:v>
                </c:pt>
                <c:pt idx="116">
                  <c:v>96.046897180413396</c:v>
                </c:pt>
                <c:pt idx="117">
                  <c:v>96.18656614707551</c:v>
                </c:pt>
                <c:pt idx="118">
                  <c:v>96.329404794700181</c:v>
                </c:pt>
                <c:pt idx="119">
                  <c:v>96.475481077783314</c:v>
                </c:pt>
                <c:pt idx="120">
                  <c:v>96.624864125869138</c:v>
                </c:pt>
                <c:pt idx="121">
                  <c:v>96.777624243243395</c:v>
                </c:pt>
                <c:pt idx="122">
                  <c:v>96.933832906813905</c:v>
                </c:pt>
                <c:pt idx="123">
                  <c:v>97.093562762030203</c:v>
                </c:pt>
                <c:pt idx="124">
                  <c:v>97.256887616680743</c:v>
                </c:pt>
                <c:pt idx="125">
                  <c:v>97.423882432399665</c:v>
                </c:pt>
                <c:pt idx="126">
                  <c:v>97.594623313703693</c:v>
                </c:pt>
                <c:pt idx="127">
                  <c:v>97.769187494370087</c:v>
                </c:pt>
                <c:pt idx="128">
                  <c:v>97.947653320957599</c:v>
                </c:pt>
                <c:pt idx="129">
                  <c:v>98.130100233260109</c:v>
                </c:pt>
                <c:pt idx="130">
                  <c:v>98.316608741472294</c:v>
                </c:pt>
                <c:pt idx="131">
                  <c:v>98.507260399836682</c:v>
                </c:pt>
                <c:pt idx="132">
                  <c:v>98.702137776527152</c:v>
                </c:pt>
                <c:pt idx="133">
                  <c:v>98.901324419517891</c:v>
                </c:pt>
                <c:pt idx="134">
                  <c:v>99.104904818168905</c:v>
                </c:pt>
                <c:pt idx="135">
                  <c:v>99.312964360252408</c:v>
                </c:pt>
                <c:pt idx="136">
                  <c:v>99.525589284131271</c:v>
                </c:pt>
                <c:pt idx="137">
                  <c:v>99.74286662578919</c:v>
                </c:pt>
                <c:pt idx="138">
                  <c:v>99.964884160400928</c:v>
                </c:pt>
                <c:pt idx="139">
                  <c:v>100.19173033812218</c:v>
                </c:pt>
                <c:pt idx="140">
                  <c:v>100.42349421376476</c:v>
                </c:pt>
                <c:pt idx="141">
                  <c:v>100.6602653700178</c:v>
                </c:pt>
                <c:pt idx="142">
                  <c:v>100.90213383386194</c:v>
                </c:pt>
                <c:pt idx="143">
                  <c:v>101.14918998581925</c:v>
                </c:pt>
                <c:pt idx="144">
                  <c:v>101.40152446167357</c:v>
                </c:pt>
                <c:pt idx="145">
                  <c:v>101.65922804629</c:v>
                </c:pt>
                <c:pt idx="146">
                  <c:v>101.92239155915874</c:v>
                </c:pt>
                <c:pt idx="147">
                  <c:v>102.19110573128832</c:v>
                </c:pt>
                <c:pt idx="148">
                  <c:v>102.46546107306948</c:v>
                </c:pt>
                <c:pt idx="149">
                  <c:v>102.7455477327385</c:v>
                </c:pt>
                <c:pt idx="150">
                  <c:v>103.03145534507006</c:v>
                </c:pt>
                <c:pt idx="151">
                  <c:v>103.32327286993925</c:v>
                </c:pt>
                <c:pt idx="152">
                  <c:v>103.62108842040777</c:v>
                </c:pt>
                <c:pt idx="153">
                  <c:v>103.92498907999729</c:v>
                </c:pt>
                <c:pt idx="154">
                  <c:v>104.23506070884247</c:v>
                </c:pt>
                <c:pt idx="155">
                  <c:v>104.55138773843203</c:v>
                </c:pt>
                <c:pt idx="156">
                  <c:v>104.8740529546827</c:v>
                </c:pt>
                <c:pt idx="157">
                  <c:v>105.20313726912087</c:v>
                </c:pt>
                <c:pt idx="158">
                  <c:v>105.53871947799232</c:v>
                </c:pt>
                <c:pt idx="159">
                  <c:v>105.88087600916303</c:v>
                </c:pt>
                <c:pt idx="160">
                  <c:v>106.22968065673498</c:v>
                </c:pt>
                <c:pt idx="161">
                  <c:v>106.5852043033528</c:v>
                </c:pt>
                <c:pt idx="162">
                  <c:v>106.94751463025761</c:v>
                </c:pt>
                <c:pt idx="163">
                  <c:v>107.31667581521006</c:v>
                </c:pt>
                <c:pt idx="164">
                  <c:v>107.69274821849964</c:v>
                </c:pt>
                <c:pt idx="165">
                  <c:v>108.07578805734259</c:v>
                </c:pt>
                <c:pt idx="166">
                  <c:v>108.46584706907761</c:v>
                </c:pt>
                <c:pt idx="167">
                  <c:v>108.86297216368011</c:v>
                </c:pt>
                <c:pt idx="168">
                  <c:v>109.26720506622995</c:v>
                </c:pt>
                <c:pt idx="169">
                  <c:v>109.67858195010068</c:v>
                </c:pt>
                <c:pt idx="170">
                  <c:v>110.09713306177163</c:v>
                </c:pt>
                <c:pt idx="171">
                  <c:v>110.52288233830795</c:v>
                </c:pt>
                <c:pt idx="172">
                  <c:v>110.9558470187026</c:v>
                </c:pt>
                <c:pt idx="173">
                  <c:v>111.39603725043597</c:v>
                </c:pt>
                <c:pt idx="174">
                  <c:v>111.84345569276179</c:v>
                </c:pt>
                <c:pt idx="175">
                  <c:v>112.29809711840302</c:v>
                </c:pt>
                <c:pt idx="176">
                  <c:v>112.75994801550006</c:v>
                </c:pt>
                <c:pt idx="177">
                  <c:v>113.22898619182888</c:v>
                </c:pt>
                <c:pt idx="178">
                  <c:v>113.70518038346771</c:v>
                </c:pt>
                <c:pt idx="179">
                  <c:v>114.18848987025697</c:v>
                </c:pt>
                <c:pt idx="180">
                  <c:v>114.67886410055283</c:v>
                </c:pt>
                <c:pt idx="181">
                  <c:v>115.1762423279213</c:v>
                </c:pt>
                <c:pt idx="182">
                  <c:v>115.68055326255606</c:v>
                </c:pt>
                <c:pt idx="183">
                  <c:v>116.191714740325</c:v>
                </c:pt>
                <c:pt idx="184">
                  <c:v>116.70963341244979</c:v>
                </c:pt>
                <c:pt idx="185">
                  <c:v>117.23420445890734</c:v>
                </c:pt>
                <c:pt idx="186">
                  <c:v>117.76531132869654</c:v>
                </c:pt>
                <c:pt idx="187">
                  <c:v>118.30282551014031</c:v>
                </c:pt>
                <c:pt idx="188">
                  <c:v>118.84660633439047</c:v>
                </c:pt>
                <c:pt idx="189">
                  <c:v>119.39650081527083</c:v>
                </c:pt>
                <c:pt idx="190">
                  <c:v>119.95234352850579</c:v>
                </c:pt>
                <c:pt idx="191">
                  <c:v>120.51395653328478</c:v>
                </c:pt>
                <c:pt idx="192">
                  <c:v>121.08114933894259</c:v>
                </c:pt>
                <c:pt idx="193">
                  <c:v>121.65371891934713</c:v>
                </c:pt>
                <c:pt idx="194">
                  <c:v>122.23144977734189</c:v>
                </c:pt>
                <c:pt idx="195">
                  <c:v>122.814114061303</c:v>
                </c:pt>
                <c:pt idx="196">
                  <c:v>123.40147173554963</c:v>
                </c:pt>
                <c:pt idx="197">
                  <c:v>123.99327080597276</c:v>
                </c:pt>
                <c:pt idx="198">
                  <c:v>124.58924760184408</c:v>
                </c:pt>
                <c:pt idx="199">
                  <c:v>125.18912711432517</c:v>
                </c:pt>
                <c:pt idx="200">
                  <c:v>125.79262339172539</c:v>
                </c:pt>
                <c:pt idx="201">
                  <c:v>126.39943999105873</c:v>
                </c:pt>
                <c:pt idx="202">
                  <c:v>127.00927048493554</c:v>
                </c:pt>
                <c:pt idx="203">
                  <c:v>127.62179902229629</c:v>
                </c:pt>
                <c:pt idx="204">
                  <c:v>128.2367009409582</c:v>
                </c:pt>
                <c:pt idx="205">
                  <c:v>128.8536434294202</c:v>
                </c:pt>
                <c:pt idx="206">
                  <c:v>129.47228623484489</c:v>
                </c:pt>
                <c:pt idx="207">
                  <c:v>130.09228241364463</c:v>
                </c:pt>
                <c:pt idx="208">
                  <c:v>130.71327912061884</c:v>
                </c:pt>
                <c:pt idx="209">
                  <c:v>131.33491843216115</c:v>
                </c:pt>
                <c:pt idx="210">
                  <c:v>131.95683819865607</c:v>
                </c:pt>
                <c:pt idx="211">
                  <c:v>132.57867292084993</c:v>
                </c:pt>
                <c:pt idx="212">
                  <c:v>133.20005464469406</c:v>
                </c:pt>
                <c:pt idx="213">
                  <c:v>133.82061386893662</c:v>
                </c:pt>
                <c:pt idx="214">
                  <c:v>134.43998045958793</c:v>
                </c:pt>
                <c:pt idx="215">
                  <c:v>135.05778456529595</c:v>
                </c:pt>
                <c:pt idx="216">
                  <c:v>135.67365752765957</c:v>
                </c:pt>
                <c:pt idx="217">
                  <c:v>136.28723278056194</c:v>
                </c:pt>
                <c:pt idx="218">
                  <c:v>136.89814673273582</c:v>
                </c:pt>
                <c:pt idx="219">
                  <c:v>137.50603962797447</c:v>
                </c:pt>
                <c:pt idx="220">
                  <c:v>138.11055637765267</c:v>
                </c:pt>
                <c:pt idx="221">
                  <c:v>138.71134736055768</c:v>
                </c:pt>
                <c:pt idx="222">
                  <c:v>139.30806918538482</c:v>
                </c:pt>
                <c:pt idx="223">
                  <c:v>139.90038541169758</c:v>
                </c:pt>
                <c:pt idx="224">
                  <c:v>140.4879672255835</c:v>
                </c:pt>
                <c:pt idx="225">
                  <c:v>141.07049406675532</c:v>
                </c:pt>
                <c:pt idx="226">
                  <c:v>141.64765420434034</c:v>
                </c:pt>
                <c:pt idx="227">
                  <c:v>142.21914525913678</c:v>
                </c:pt>
                <c:pt idx="228">
                  <c:v>142.78467467065295</c:v>
                </c:pt>
                <c:pt idx="229">
                  <c:v>143.34396010776851</c:v>
                </c:pt>
                <c:pt idx="230">
                  <c:v>143.8967298223877</c:v>
                </c:pt>
                <c:pt idx="231">
                  <c:v>144.44272294595217</c:v>
                </c:pt>
                <c:pt idx="232">
                  <c:v>144.98168972916676</c:v>
                </c:pt>
                <c:pt idx="233">
                  <c:v>145.5133917257514</c:v>
                </c:pt>
                <c:pt idx="234">
                  <c:v>146.03760192143591</c:v>
                </c:pt>
                <c:pt idx="235">
                  <c:v>146.55410480981683</c:v>
                </c:pt>
                <c:pt idx="236">
                  <c:v>147.06269641702639</c:v>
                </c:pt>
                <c:pt idx="237">
                  <c:v>147.56318427746777</c:v>
                </c:pt>
                <c:pt idx="238">
                  <c:v>148.05538736313258</c:v>
                </c:pt>
                <c:pt idx="239">
                  <c:v>148.53913596922533</c:v>
                </c:pt>
                <c:pt idx="240">
                  <c:v>149.0142715589962</c:v>
                </c:pt>
                <c:pt idx="241">
                  <c:v>149.4806465708142</c:v>
                </c:pt>
                <c:pt idx="242">
                  <c:v>149.93812419059756</c:v>
                </c:pt>
                <c:pt idx="243">
                  <c:v>150.38657809277501</c:v>
                </c:pt>
                <c:pt idx="244">
                  <c:v>150.82589215296949</c:v>
                </c:pt>
                <c:pt idx="245">
                  <c:v>151.25596013557484</c:v>
                </c:pt>
                <c:pt idx="246">
                  <c:v>151.67668535935758</c:v>
                </c:pt>
                <c:pt idx="247">
                  <c:v>152.08798034414093</c:v>
                </c:pt>
                <c:pt idx="248">
                  <c:v>152.48976644153873</c:v>
                </c:pt>
                <c:pt idx="249">
                  <c:v>152.88197345258934</c:v>
                </c:pt>
                <c:pt idx="250">
                  <c:v>153.2645392350172</c:v>
                </c:pt>
                <c:pt idx="251">
                  <c:v>153.63740930270433</c:v>
                </c:pt>
                <c:pt idx="252">
                  <c:v>154.00053641980298</c:v>
                </c:pt>
                <c:pt idx="253">
                  <c:v>154.35388019176423</c:v>
                </c:pt>
                <c:pt idx="254">
                  <c:v>154.69740665539348</c:v>
                </c:pt>
                <c:pt idx="255">
                  <c:v>155.03108786987639</c:v>
                </c:pt>
                <c:pt idx="256">
                  <c:v>155.35490151056001</c:v>
                </c:pt>
                <c:pt idx="257">
                  <c:v>155.66883046710282</c:v>
                </c:pt>
                <c:pt idx="258">
                  <c:v>155.972862447452</c:v>
                </c:pt>
                <c:pt idx="259">
                  <c:v>156.26698958895304</c:v>
                </c:pt>
                <c:pt idx="260">
                  <c:v>156.55120807774179</c:v>
                </c:pt>
                <c:pt idx="261">
                  <c:v>156.82551777743117</c:v>
                </c:pt>
                <c:pt idx="262">
                  <c:v>157.08992186797124</c:v>
                </c:pt>
                <c:pt idx="263">
                  <c:v>157.3444264954295</c:v>
                </c:pt>
                <c:pt idx="264">
                  <c:v>157.58904043332655</c:v>
                </c:pt>
                <c:pt idx="265">
                  <c:v>157.8237747560494</c:v>
                </c:pt>
                <c:pt idx="266">
                  <c:v>158.048642524766</c:v>
                </c:pt>
                <c:pt idx="267">
                  <c:v>158.26365848617237</c:v>
                </c:pt>
                <c:pt idx="268">
                  <c:v>158.46883878432436</c:v>
                </c:pt>
                <c:pt idx="269">
                  <c:v>158.66420068572663</c:v>
                </c:pt>
                <c:pt idx="270">
                  <c:v>158.84976231779174</c:v>
                </c:pt>
                <c:pt idx="271">
                  <c:v>159.02554242072208</c:v>
                </c:pt>
                <c:pt idx="272">
                  <c:v>159.19156011281675</c:v>
                </c:pt>
                <c:pt idx="273">
                  <c:v>159.34783466916511</c:v>
                </c:pt>
                <c:pt idx="274">
                  <c:v>159.494385313652</c:v>
                </c:pt>
                <c:pt idx="275">
                  <c:v>159.63123102417131</c:v>
                </c:pt>
                <c:pt idx="276">
                  <c:v>159.75839035091875</c:v>
                </c:pt>
                <c:pt idx="277">
                  <c:v>159.87588124762189</c:v>
                </c:pt>
                <c:pt idx="278">
                  <c:v>159.98372091554947</c:v>
                </c:pt>
                <c:pt idx="279">
                  <c:v>160.08192566013278</c:v>
                </c:pt>
                <c:pt idx="280">
                  <c:v>160.17051076003585</c:v>
                </c:pt>
                <c:pt idx="281">
                  <c:v>160.24949034850292</c:v>
                </c:pt>
                <c:pt idx="282">
                  <c:v>160.31887730682001</c:v>
                </c:pt>
                <c:pt idx="283">
                  <c:v>160.37868316973774</c:v>
                </c:pt>
                <c:pt idx="284">
                  <c:v>160.42891804270326</c:v>
                </c:pt>
                <c:pt idx="285">
                  <c:v>160.46959053077344</c:v>
                </c:pt>
                <c:pt idx="286">
                  <c:v>160.50070767908394</c:v>
                </c:pt>
                <c:pt idx="287">
                  <c:v>160.52227492477624</c:v>
                </c:pt>
                <c:pt idx="288">
                  <c:v>160.53429606029295</c:v>
                </c:pt>
                <c:pt idx="289">
                  <c:v>160.53677320797703</c:v>
                </c:pt>
                <c:pt idx="290">
                  <c:v>160.52970680592892</c:v>
                </c:pt>
                <c:pt idx="291">
                  <c:v>160.51309560509191</c:v>
                </c:pt>
                <c:pt idx="292">
                  <c:v>160.48693667756467</c:v>
                </c:pt>
                <c:pt idx="293">
                  <c:v>160.45122543615366</c:v>
                </c:pt>
                <c:pt idx="294">
                  <c:v>160.40595566520193</c:v>
                </c:pt>
                <c:pt idx="295">
                  <c:v>160.35111956275117</c:v>
                </c:pt>
                <c:pt idx="296">
                  <c:v>160.2867077941126</c:v>
                </c:pt>
                <c:pt idx="297">
                  <c:v>160.21270955694135</c:v>
                </c:pt>
                <c:pt idx="298">
                  <c:v>160.12911265792326</c:v>
                </c:pt>
                <c:pt idx="299">
                  <c:v>160.03590360120577</c:v>
                </c:pt>
                <c:pt idx="300">
                  <c:v>159.93306768870676</c:v>
                </c:pt>
                <c:pt idx="301">
                  <c:v>159.82058913245851</c:v>
                </c:pt>
                <c:pt idx="302">
                  <c:v>159.69845117914352</c:v>
                </c:pt>
                <c:pt idx="303">
                  <c:v>159.56663624698948</c:v>
                </c:pt>
                <c:pt idx="304">
                  <c:v>159.4251260751914</c:v>
                </c:pt>
                <c:pt idx="305">
                  <c:v>159.27390188602763</c:v>
                </c:pt>
                <c:pt idx="306">
                  <c:v>159.11294455983221</c:v>
                </c:pt>
                <c:pt idx="307">
                  <c:v>158.94223482297349</c:v>
                </c:pt>
                <c:pt idx="308">
                  <c:v>158.76175344897848</c:v>
                </c:pt>
                <c:pt idx="309">
                  <c:v>158.57148147291727</c:v>
                </c:pt>
                <c:pt idx="310">
                  <c:v>158.37140041913912</c:v>
                </c:pt>
                <c:pt idx="311">
                  <c:v>158.16149254241856</c:v>
                </c:pt>
                <c:pt idx="312">
                  <c:v>157.94174108253216</c:v>
                </c:pt>
                <c:pt idx="313">
                  <c:v>157.71213053223806</c:v>
                </c:pt>
                <c:pt idx="314">
                  <c:v>157.4726469185801</c:v>
                </c:pt>
                <c:pt idx="315">
                  <c:v>157.22327809737362</c:v>
                </c:pt>
                <c:pt idx="316">
                  <c:v>156.96401406066622</c:v>
                </c:pt>
                <c:pt idx="317">
                  <c:v>156.69484725688045</c:v>
                </c:pt>
                <c:pt idx="318">
                  <c:v>156.41577292326809</c:v>
                </c:pt>
                <c:pt idx="319">
                  <c:v>156.12678943020228</c:v>
                </c:pt>
                <c:pt idx="320">
                  <c:v>155.82789863673398</c:v>
                </c:pt>
                <c:pt idx="321">
                  <c:v>155.51910625672735</c:v>
                </c:pt>
                <c:pt idx="322">
                  <c:v>155.20042223475704</c:v>
                </c:pt>
                <c:pt idx="323">
                  <c:v>154.87186113083604</c:v>
                </c:pt>
                <c:pt idx="324">
                  <c:v>154.53344251288763</c:v>
                </c:pt>
                <c:pt idx="325">
                  <c:v>154.18519135574323</c:v>
                </c:pt>
                <c:pt idx="326">
                  <c:v>153.82713844528328</c:v>
                </c:pt>
                <c:pt idx="327">
                  <c:v>153.45932078619472</c:v>
                </c:pt>
                <c:pt idx="328">
                  <c:v>153.08178201164341</c:v>
                </c:pt>
                <c:pt idx="329">
                  <c:v>152.69457279300306</c:v>
                </c:pt>
                <c:pt idx="330">
                  <c:v>152.29775124761824</c:v>
                </c:pt>
                <c:pt idx="331">
                  <c:v>151.89138334240727</c:v>
                </c:pt>
                <c:pt idx="332">
                  <c:v>151.47554329096013</c:v>
                </c:pt>
                <c:pt idx="333">
                  <c:v>151.0503139416175</c:v>
                </c:pt>
                <c:pt idx="334">
                  <c:v>150.61578715388816</c:v>
                </c:pt>
                <c:pt idx="335">
                  <c:v>150.17206416040688</c:v>
                </c:pt>
                <c:pt idx="336">
                  <c:v>149.7192559115322</c:v>
                </c:pt>
                <c:pt idx="337">
                  <c:v>149.25748339956141</c:v>
                </c:pt>
                <c:pt idx="338">
                  <c:v>148.78687795947695</c:v>
                </c:pt>
                <c:pt idx="339">
                  <c:v>148.30758154306139</c:v>
                </c:pt>
                <c:pt idx="340">
                  <c:v>147.81974696320211</c:v>
                </c:pt>
                <c:pt idx="341">
                  <c:v>147.32353810519552</c:v>
                </c:pt>
                <c:pt idx="342">
                  <c:v>146.81913010190169</c:v>
                </c:pt>
                <c:pt idx="343">
                  <c:v>146.30670946966663</c:v>
                </c:pt>
                <c:pt idx="344">
                  <c:v>145.78647420204013</c:v>
                </c:pt>
                <c:pt idx="345">
                  <c:v>145.25863381846571</c:v>
                </c:pt>
                <c:pt idx="346">
                  <c:v>144.7234093653118</c:v>
                </c:pt>
                <c:pt idx="347">
                  <c:v>144.18103336685527</c:v>
                </c:pt>
                <c:pt idx="348">
                  <c:v>143.63174972409243</c:v>
                </c:pt>
                <c:pt idx="349">
                  <c:v>143.07581355959314</c:v>
                </c:pt>
                <c:pt idx="350">
                  <c:v>142.51349100696126</c:v>
                </c:pt>
                <c:pt idx="351">
                  <c:v>141.94505894387416</c:v>
                </c:pt>
                <c:pt idx="352">
                  <c:v>141.37080466810792</c:v>
                </c:pt>
                <c:pt idx="353">
                  <c:v>140.79102551642555</c:v>
                </c:pt>
                <c:pt idx="354">
                  <c:v>140.20602842669123</c:v>
                </c:pt>
                <c:pt idx="355">
                  <c:v>139.61612944410578</c:v>
                </c:pt>
                <c:pt idx="356">
                  <c:v>139.02165317296055</c:v>
                </c:pt>
                <c:pt idx="357">
                  <c:v>138.42293217586621</c:v>
                </c:pt>
                <c:pt idx="358">
                  <c:v>137.82030632292674</c:v>
                </c:pt>
                <c:pt idx="359">
                  <c:v>137.21412209386054</c:v>
                </c:pt>
                <c:pt idx="360">
                  <c:v>136.60473183656867</c:v>
                </c:pt>
                <c:pt idx="361">
                  <c:v>135.99249298613401</c:v>
                </c:pt>
                <c:pt idx="362">
                  <c:v>135.37776724866711</c:v>
                </c:pt>
                <c:pt idx="363">
                  <c:v>134.7609197548237</c:v>
                </c:pt>
                <c:pt idx="364">
                  <c:v>134.14231818816256</c:v>
                </c:pt>
                <c:pt idx="365">
                  <c:v>133.52233189380425</c:v>
                </c:pt>
                <c:pt idx="366">
                  <c:v>132.90133097308654</c:v>
                </c:pt>
                <c:pt idx="367">
                  <c:v>132.27968537007322</c:v>
                </c:pt>
                <c:pt idx="368">
                  <c:v>131.65776395586926</c:v>
                </c:pt>
                <c:pt idx="369">
                  <c:v>131.03593361672094</c:v>
                </c:pt>
                <c:pt idx="370">
                  <c:v>130.41455835182765</c:v>
                </c:pt>
                <c:pt idx="371">
                  <c:v>129.79399838668104</c:v>
                </c:pt>
                <c:pt idx="372">
                  <c:v>129.17460930755013</c:v>
                </c:pt>
                <c:pt idx="373">
                  <c:v>128.55674122249079</c:v>
                </c:pt>
                <c:pt idx="374">
                  <c:v>127.94073795393435</c:v>
                </c:pt>
                <c:pt idx="375">
                  <c:v>127.32693626755797</c:v>
                </c:pt>
                <c:pt idx="376">
                  <c:v>126.71566514170404</c:v>
                </c:pt>
                <c:pt idx="377">
                  <c:v>126.10724508119054</c:v>
                </c:pt>
                <c:pt idx="378">
                  <c:v>125.50198747883866</c:v>
                </c:pt>
                <c:pt idx="379">
                  <c:v>124.90019402755597</c:v>
                </c:pt>
                <c:pt idx="380">
                  <c:v>124.30215618527161</c:v>
                </c:pt>
                <c:pt idx="381">
                  <c:v>123.70815469450213</c:v>
                </c:pt>
                <c:pt idx="382">
                  <c:v>123.11845915777725</c:v>
                </c:pt>
                <c:pt idx="383">
                  <c:v>122.53332766964621</c:v>
                </c:pt>
                <c:pt idx="384">
                  <c:v>121.9530065054695</c:v>
                </c:pt>
                <c:pt idx="385">
                  <c:v>121.37772986671958</c:v>
                </c:pt>
                <c:pt idx="386">
                  <c:v>120.8077196820483</c:v>
                </c:pt>
                <c:pt idx="387">
                  <c:v>120.24318546297019</c:v>
                </c:pt>
                <c:pt idx="388">
                  <c:v>119.68432421259976</c:v>
                </c:pt>
                <c:pt idx="389">
                  <c:v>119.13132038555841</c:v>
                </c:pt>
                <c:pt idx="390">
                  <c:v>118.5843458968349</c:v>
                </c:pt>
                <c:pt idx="391">
                  <c:v>118.04356017713556</c:v>
                </c:pt>
                <c:pt idx="392">
                  <c:v>117.50911027203794</c:v>
                </c:pt>
                <c:pt idx="393">
                  <c:v>116.98113098207475</c:v>
                </c:pt>
                <c:pt idx="394">
                  <c:v>116.45974504075289</c:v>
                </c:pt>
                <c:pt idx="395">
                  <c:v>115.94506332740916</c:v>
                </c:pt>
                <c:pt idx="396">
                  <c:v>115.43718511174504</c:v>
                </c:pt>
                <c:pt idx="397">
                  <c:v>114.93619832687673</c:v>
                </c:pt>
                <c:pt idx="398">
                  <c:v>114.44217986772837</c:v>
                </c:pt>
                <c:pt idx="399">
                  <c:v>113.95519591165562</c:v>
                </c:pt>
                <c:pt idx="400">
                  <c:v>113.47530225824575</c:v>
                </c:pt>
                <c:pt idx="401">
                  <c:v>113.00254468533538</c:v>
                </c:pt>
                <c:pt idx="402">
                  <c:v>112.53695931839673</c:v>
                </c:pt>
                <c:pt idx="403">
                  <c:v>112.07857301057682</c:v>
                </c:pt>
                <c:pt idx="404">
                  <c:v>111.62740373080432</c:v>
                </c:pt>
                <c:pt idx="405">
                  <c:v>111.18346095754615</c:v>
                </c:pt>
                <c:pt idx="406">
                  <c:v>110.74674607594291</c:v>
                </c:pt>
                <c:pt idx="407">
                  <c:v>110.31725277622188</c:v>
                </c:pt>
                <c:pt idx="408">
                  <c:v>109.89496745145843</c:v>
                </c:pt>
                <c:pt idx="409">
                  <c:v>109.47986959291345</c:v>
                </c:pt>
                <c:pt idx="410">
                  <c:v>109.07193218135444</c:v>
                </c:pt>
                <c:pt idx="411">
                  <c:v>108.67112207291909</c:v>
                </c:pt>
                <c:pt idx="412">
                  <c:v>108.27740037825144</c:v>
                </c:pt>
                <c:pt idx="413">
                  <c:v>107.89072283378106</c:v>
                </c:pt>
                <c:pt idx="414">
                  <c:v>107.51104016417715</c:v>
                </c:pt>
                <c:pt idx="415">
                  <c:v>107.13829843513666</c:v>
                </c:pt>
                <c:pt idx="416">
                  <c:v>106.77243939580667</c:v>
                </c:pt>
                <c:pt idx="417">
                  <c:v>106.41340081025787</c:v>
                </c:pt>
                <c:pt idx="418">
                  <c:v>106.06111677754937</c:v>
                </c:pt>
                <c:pt idx="419">
                  <c:v>105.71551804002189</c:v>
                </c:pt>
                <c:pt idx="420">
                  <c:v>105.37653227956243</c:v>
                </c:pt>
                <c:pt idx="421">
                  <c:v>105.04408440166883</c:v>
                </c:pt>
                <c:pt idx="422">
                  <c:v>104.71809680722765</c:v>
                </c:pt>
                <c:pt idx="423">
                  <c:v>104.3984896519824</c:v>
                </c:pt>
                <c:pt idx="424">
                  <c:v>104.08518109374977</c:v>
                </c:pt>
                <c:pt idx="425">
                  <c:v>103.77808752748496</c:v>
                </c:pt>
                <c:pt idx="426">
                  <c:v>103.47712380835507</c:v>
                </c:pt>
                <c:pt idx="427">
                  <c:v>103.18220346302553</c:v>
                </c:pt>
                <c:pt idx="428">
                  <c:v>102.8932388893974</c:v>
                </c:pt>
                <c:pt idx="429">
                  <c:v>102.61014154506844</c:v>
                </c:pt>
                <c:pt idx="430">
                  <c:v>102.3328221248203</c:v>
                </c:pt>
                <c:pt idx="431">
                  <c:v>102.06119072745274</c:v>
                </c:pt>
                <c:pt idx="432">
                  <c:v>101.7951570123054</c:v>
                </c:pt>
                <c:pt idx="433">
                  <c:v>101.53463034582066</c:v>
                </c:pt>
                <c:pt idx="434">
                  <c:v>101.27951993851417</c:v>
                </c:pt>
                <c:pt idx="435">
                  <c:v>101.02973497272197</c:v>
                </c:pt>
                <c:pt idx="436">
                  <c:v>100.78518472150009</c:v>
                </c:pt>
                <c:pt idx="437">
                  <c:v>100.5457786590546</c:v>
                </c:pt>
                <c:pt idx="438">
                  <c:v>100.31142656307658</c:v>
                </c:pt>
                <c:pt idx="439">
                  <c:v>100.08203860935402</c:v>
                </c:pt>
                <c:pt idx="440">
                  <c:v>99.857525459033013</c:v>
                </c:pt>
                <c:pt idx="441">
                  <c:v>99.637798338884735</c:v>
                </c:pt>
                <c:pt idx="442">
                  <c:v>99.422769114938063</c:v>
                </c:pt>
                <c:pt idx="443">
                  <c:v>99.212350359822125</c:v>
                </c:pt>
                <c:pt idx="444">
                  <c:v>99.006455414155567</c:v>
                </c:pt>
                <c:pt idx="445">
                  <c:v>98.804998442311458</c:v>
                </c:pt>
                <c:pt idx="446">
                  <c:v>98.607894482873277</c:v>
                </c:pt>
                <c:pt idx="447">
                  <c:v>98.41505949408851</c:v>
                </c:pt>
                <c:pt idx="448">
                  <c:v>98.226410394614476</c:v>
                </c:pt>
                <c:pt idx="449">
                  <c:v>98.041865099839313</c:v>
                </c:pt>
                <c:pt idx="450">
                  <c:v>97.861342554050026</c:v>
                </c:pt>
                <c:pt idx="451">
                  <c:v>97.684762758708032</c:v>
                </c:pt>
                <c:pt idx="452">
                  <c:v>97.512046797080814</c:v>
                </c:pt>
                <c:pt idx="453">
                  <c:v>97.343116855466405</c:v>
                </c:pt>
                <c:pt idx="454">
                  <c:v>97.177896241238685</c:v>
                </c:pt>
                <c:pt idx="455">
                  <c:v>97.016309397926406</c:v>
                </c:pt>
                <c:pt idx="456">
                  <c:v>96.858281917532722</c:v>
                </c:pt>
                <c:pt idx="457">
                  <c:v>96.703740550287691</c:v>
                </c:pt>
                <c:pt idx="458">
                  <c:v>96.552613212018201</c:v>
                </c:pt>
                <c:pt idx="459">
                  <c:v>96.404828989309934</c:v>
                </c:pt>
                <c:pt idx="460">
                  <c:v>96.260318142625096</c:v>
                </c:pt>
                <c:pt idx="461">
                  <c:v>96.119012107532015</c:v>
                </c:pt>
                <c:pt idx="462">
                  <c:v>95.980843494192939</c:v>
                </c:pt>
                <c:pt idx="463">
                  <c:v>95.845746085248209</c:v>
                </c:pt>
                <c:pt idx="464">
                  <c:v>95.713654832227192</c:v>
                </c:pt>
                <c:pt idx="465">
                  <c:v>95.584505850608053</c:v>
                </c:pt>
                <c:pt idx="466">
                  <c:v>95.458236413641146</c:v>
                </c:pt>
                <c:pt idx="467">
                  <c:v>95.334784945044802</c:v>
                </c:pt>
                <c:pt idx="468">
                  <c:v>95.214091010673087</c:v>
                </c:pt>
                <c:pt idx="469">
                  <c:v>95.096095309252533</c:v>
                </c:pt>
                <c:pt idx="470">
                  <c:v>94.980739662274175</c:v>
                </c:pt>
                <c:pt idx="471">
                  <c:v>94.867967003125386</c:v>
                </c:pt>
                <c:pt idx="472">
                  <c:v>94.757721365539382</c:v>
                </c:pt>
                <c:pt idx="473">
                  <c:v>94.649947871432943</c:v>
                </c:pt>
                <c:pt idx="474">
                  <c:v>94.544592718201429</c:v>
                </c:pt>
                <c:pt idx="475">
                  <c:v>94.441603165533706</c:v>
                </c:pt>
                <c:pt idx="476">
                  <c:v>94.340927521804403</c:v>
                </c:pt>
                <c:pt idx="477">
                  <c:v>94.242515130099648</c:v>
                </c:pt>
                <c:pt idx="478">
                  <c:v>94.14631635392503</c:v>
                </c:pt>
                <c:pt idx="479">
                  <c:v>94.052282562644152</c:v>
                </c:pt>
                <c:pt idx="480">
                  <c:v>93.960366116689983</c:v>
                </c:pt>
                <c:pt idx="481">
                  <c:v>93.870520352590404</c:v>
                </c:pt>
                <c:pt idx="482">
                  <c:v>93.782699567844276</c:v>
                </c:pt>
                <c:pt idx="483">
                  <c:v>93.696859005682683</c:v>
                </c:pt>
                <c:pt idx="484">
                  <c:v>93.612954839747132</c:v>
                </c:pt>
                <c:pt idx="485">
                  <c:v>93.530944158714178</c:v>
                </c:pt>
                <c:pt idx="486">
                  <c:v>93.450784950892469</c:v>
                </c:pt>
                <c:pt idx="487">
                  <c:v>93.372436088817693</c:v>
                </c:pt>
                <c:pt idx="488">
                  <c:v>93.295857313868169</c:v>
                </c:pt>
                <c:pt idx="489">
                  <c:v>93.221009220920607</c:v>
                </c:pt>
                <c:pt idx="490">
                  <c:v>93.147853243066592</c:v>
                </c:pt>
                <c:pt idx="491">
                  <c:v>93.076351636405676</c:v>
                </c:pt>
                <c:pt idx="492">
                  <c:v>93.006467464931418</c:v>
                </c:pt>
                <c:pt idx="493">
                  <c:v>92.938164585524802</c:v>
                </c:pt>
                <c:pt idx="494">
                  <c:v>92.871407633067022</c:v>
                </c:pt>
                <c:pt idx="495">
                  <c:v>92.806162005684399</c:v>
                </c:pt>
                <c:pt idx="496">
                  <c:v>92.742393850134818</c:v>
                </c:pt>
                <c:pt idx="497">
                  <c:v>92.680070047346007</c:v>
                </c:pt>
                <c:pt idx="498">
                  <c:v>92.619158198113112</c:v>
                </c:pt>
                <c:pt idx="499">
                  <c:v>92.559626608963384</c:v>
                </c:pt>
                <c:pt idx="500">
                  <c:v>92.501444278194839</c:v>
                </c:pt>
                <c:pt idx="501">
                  <c:v>92.444580882093788</c:v>
                </c:pt>
                <c:pt idx="502">
                  <c:v>92.389006761336915</c:v>
                </c:pt>
                <c:pt idx="503">
                  <c:v>92.334692907581754</c:v>
                </c:pt>
                <c:pt idx="504">
                  <c:v>92.281610950249529</c:v>
                </c:pt>
                <c:pt idx="505">
                  <c:v>92.229733143502941</c:v>
                </c:pt>
                <c:pt idx="506">
                  <c:v>92.179032353421761</c:v>
                </c:pt>
                <c:pt idx="507">
                  <c:v>92.129482045378083</c:v>
                </c:pt>
                <c:pt idx="508">
                  <c:v>92.081056271612781</c:v>
                </c:pt>
                <c:pt idx="509">
                  <c:v>92.033729659014043</c:v>
                </c:pt>
                <c:pt idx="510">
                  <c:v>91.987477397099042</c:v>
                </c:pt>
                <c:pt idx="511">
                  <c:v>91.942275226198802</c:v>
                </c:pt>
                <c:pt idx="512">
                  <c:v>91.898099425846283</c:v>
                </c:pt>
                <c:pt idx="513">
                  <c:v>91.854926803367505</c:v>
                </c:pt>
                <c:pt idx="514">
                  <c:v>91.812734682675085</c:v>
                </c:pt>
                <c:pt idx="515">
                  <c:v>91.771500893263266</c:v>
                </c:pt>
                <c:pt idx="516">
                  <c:v>91.731203759403584</c:v>
                </c:pt>
                <c:pt idx="517">
                  <c:v>91.6918220895395</c:v>
                </c:pt>
                <c:pt idx="518">
                  <c:v>91.65333516587927</c:v>
                </c:pt>
                <c:pt idx="519">
                  <c:v>91.615722734184587</c:v>
                </c:pt>
                <c:pt idx="520">
                  <c:v>91.578964993753772</c:v>
                </c:pt>
                <c:pt idx="521">
                  <c:v>91.54304258759754</c:v>
                </c:pt>
                <c:pt idx="522">
                  <c:v>91.507936592805166</c:v>
                </c:pt>
                <c:pt idx="523">
                  <c:v>91.473628511098894</c:v>
                </c:pt>
                <c:pt idx="524">
                  <c:v>91.440100259574464</c:v>
                </c:pt>
                <c:pt idx="525">
                  <c:v>91.407334161625599</c:v>
                </c:pt>
                <c:pt idx="526">
                  <c:v>91.37531293804949</c:v>
                </c:pt>
                <c:pt idx="527">
                  <c:v>91.344019698331593</c:v>
                </c:pt>
                <c:pt idx="528">
                  <c:v>91.313437932106538</c:v>
                </c:pt>
                <c:pt idx="529">
                  <c:v>91.283551500792996</c:v>
                </c:pt>
                <c:pt idx="530">
                  <c:v>91.254344629399853</c:v>
                </c:pt>
                <c:pt idx="531">
                  <c:v>91.225801898500876</c:v>
                </c:pt>
                <c:pt idx="532">
                  <c:v>91.197908236375483</c:v>
                </c:pt>
                <c:pt idx="533">
                  <c:v>91.170648911312682</c:v>
                </c:pt>
                <c:pt idx="534">
                  <c:v>91.144009524075813</c:v>
                </c:pt>
                <c:pt idx="535">
                  <c:v>91.117976000524948</c:v>
                </c:pt>
                <c:pt idx="536">
                  <c:v>91.092534584394983</c:v>
                </c:pt>
                <c:pt idx="537">
                  <c:v>91.067671830225692</c:v>
                </c:pt>
                <c:pt idx="538">
                  <c:v>91.043374596442192</c:v>
                </c:pt>
                <c:pt idx="539">
                  <c:v>91.019630038582179</c:v>
                </c:pt>
                <c:pt idx="540">
                  <c:v>90.996425602668097</c:v>
                </c:pt>
                <c:pt idx="541">
                  <c:v>90.97374901872071</c:v>
                </c:pt>
              </c:numCache>
            </c:numRef>
          </c:yVal>
          <c:smooth val="1"/>
          <c:extLst>
            <c:ext xmlns:c16="http://schemas.microsoft.com/office/drawing/2014/chart" uri="{C3380CC4-5D6E-409C-BE32-E72D297353CC}">
              <c16:uniqueId val="{00000001-0B5D-4E78-BD48-CC54C4E43363}"/>
            </c:ext>
          </c:extLst>
        </c:ser>
        <c:dLbls>
          <c:showLegendKey val="0"/>
          <c:showVal val="0"/>
          <c:showCatName val="0"/>
          <c:showSerName val="0"/>
          <c:showPercent val="0"/>
          <c:showBubbleSize val="0"/>
        </c:dLbls>
        <c:axId val="365441024"/>
        <c:axId val="365439232"/>
      </c:scatterChart>
      <c:valAx>
        <c:axId val="555280640"/>
        <c:scaling>
          <c:logBase val="10"/>
          <c:orientation val="minMax"/>
          <c:max val="2200000"/>
          <c:min val="10"/>
        </c:scaling>
        <c:delete val="0"/>
        <c:axPos val="b"/>
        <c:minorGridlines/>
        <c:title>
          <c:tx>
            <c:rich>
              <a:bodyPr/>
              <a:lstStyle/>
              <a:p>
                <a:pPr>
                  <a:defRPr/>
                </a:pPr>
                <a:r>
                  <a:rPr lang="en-US"/>
                  <a:t>Frequency</a:t>
                </a:r>
                <a:r>
                  <a:rPr lang="en-US" baseline="0"/>
                  <a:t> (Hz)</a:t>
                </a:r>
                <a:endParaRPr lang="en-US"/>
              </a:p>
            </c:rich>
          </c:tx>
          <c:overlay val="0"/>
        </c:title>
        <c:numFmt formatCode="0" sourceLinked="0"/>
        <c:majorTickMark val="out"/>
        <c:minorTickMark val="none"/>
        <c:tickLblPos val="low"/>
        <c:crossAx val="365437312"/>
        <c:crosses val="autoZero"/>
        <c:crossBetween val="midCat"/>
      </c:valAx>
      <c:valAx>
        <c:axId val="365437312"/>
        <c:scaling>
          <c:orientation val="minMax"/>
          <c:max val="40"/>
          <c:min val="-40"/>
        </c:scaling>
        <c:delete val="0"/>
        <c:axPos val="l"/>
        <c:majorGridlines/>
        <c:minorGridlines/>
        <c:title>
          <c:tx>
            <c:rich>
              <a:bodyPr rot="-5400000" vert="horz"/>
              <a:lstStyle/>
              <a:p>
                <a:pPr>
                  <a:defRPr/>
                </a:pPr>
                <a:r>
                  <a:rPr lang="en-US"/>
                  <a:t>Gain</a:t>
                </a:r>
                <a:r>
                  <a:rPr lang="en-US" baseline="0"/>
                  <a:t> (dB)</a:t>
                </a:r>
                <a:endParaRPr lang="en-US"/>
              </a:p>
            </c:rich>
          </c:tx>
          <c:overlay val="0"/>
        </c:title>
        <c:numFmt formatCode="General" sourceLinked="0"/>
        <c:majorTickMark val="out"/>
        <c:minorTickMark val="none"/>
        <c:tickLblPos val="nextTo"/>
        <c:crossAx val="555280640"/>
        <c:crosses val="autoZero"/>
        <c:crossBetween val="midCat"/>
        <c:majorUnit val="20"/>
        <c:minorUnit val="10"/>
      </c:valAx>
      <c:valAx>
        <c:axId val="365439232"/>
        <c:scaling>
          <c:orientation val="minMax"/>
          <c:max val="180"/>
          <c:min val="-180"/>
        </c:scaling>
        <c:delete val="0"/>
        <c:axPos val="r"/>
        <c:numFmt formatCode="General" sourceLinked="1"/>
        <c:majorTickMark val="out"/>
        <c:minorTickMark val="none"/>
        <c:tickLblPos val="nextTo"/>
        <c:crossAx val="365441024"/>
        <c:crosses val="max"/>
        <c:crossBetween val="midCat"/>
        <c:majorUnit val="90"/>
        <c:minorUnit val="45"/>
      </c:valAx>
      <c:valAx>
        <c:axId val="365441024"/>
        <c:scaling>
          <c:logBase val="10"/>
          <c:orientation val="minMax"/>
        </c:scaling>
        <c:delete val="1"/>
        <c:axPos val="b"/>
        <c:numFmt formatCode="0.00" sourceLinked="1"/>
        <c:majorTickMark val="out"/>
        <c:minorTickMark val="none"/>
        <c:tickLblPos val="nextTo"/>
        <c:crossAx val="365439232"/>
        <c:crosses val="autoZero"/>
        <c:crossBetween val="midCat"/>
      </c:valAx>
    </c:plotArea>
    <c:legend>
      <c:legendPos val="r"/>
      <c:layout>
        <c:manualLayout>
          <c:xMode val="edge"/>
          <c:yMode val="edge"/>
          <c:x val="0.79880558209512509"/>
          <c:y val="0.14321997959862004"/>
          <c:w val="0.13485048155591431"/>
          <c:h val="0.10528624969913696"/>
        </c:manualLayout>
      </c:layout>
      <c:overlay val="1"/>
      <c:spPr>
        <a:solidFill>
          <a:schemeClr val="bg1"/>
        </a:solidFill>
      </c:spPr>
    </c:legend>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CCM Control Loop Transfer Function</a:t>
            </a:r>
          </a:p>
        </c:rich>
      </c:tx>
      <c:overlay val="0"/>
    </c:title>
    <c:autoTitleDeleted val="0"/>
    <c:plotArea>
      <c:layout/>
      <c:scatterChart>
        <c:scatterStyle val="smoothMarker"/>
        <c:varyColors val="0"/>
        <c:ser>
          <c:idx val="0"/>
          <c:order val="0"/>
          <c:tx>
            <c:v>Gain (dB)</c:v>
          </c:tx>
          <c:spPr>
            <a:ln w="38100">
              <a:solidFill>
                <a:srgbClr val="FF0000"/>
              </a:solidFill>
            </a:ln>
          </c:spPr>
          <c:marker>
            <c:symbol val="none"/>
          </c:marker>
          <c:xVal>
            <c:numRef>
              <c:f>Loop_Modeling!$O$19:$O$560</c:f>
              <c:numCache>
                <c:formatCode>0.00</c:formatCode>
                <c:ptCount val="542"/>
                <c:pt idx="0">
                  <c:v>10.232929922807543</c:v>
                </c:pt>
                <c:pt idx="1">
                  <c:v>10.471285480509</c:v>
                </c:pt>
                <c:pt idx="2">
                  <c:v>10.715193052376069</c:v>
                </c:pt>
                <c:pt idx="3">
                  <c:v>10.964781961431854</c:v>
                </c:pt>
                <c:pt idx="4">
                  <c:v>11.220184543019636</c:v>
                </c:pt>
                <c:pt idx="5">
                  <c:v>11.481536214968834</c:v>
                </c:pt>
                <c:pt idx="6">
                  <c:v>11.748975549395301</c:v>
                </c:pt>
                <c:pt idx="7">
                  <c:v>12.022644346174133</c:v>
                </c:pt>
                <c:pt idx="8">
                  <c:v>12.302687708123818</c:v>
                </c:pt>
                <c:pt idx="9">
                  <c:v>12.58925411794168</c:v>
                </c:pt>
                <c:pt idx="10">
                  <c:v>12.882495516931346</c:v>
                </c:pt>
                <c:pt idx="11">
                  <c:v>13.182567385564075</c:v>
                </c:pt>
                <c:pt idx="12">
                  <c:v>13.489628825916535</c:v>
                </c:pt>
                <c:pt idx="13">
                  <c:v>13.803842646028857</c:v>
                </c:pt>
                <c:pt idx="14">
                  <c:v>14.125375446227544</c:v>
                </c:pt>
                <c:pt idx="15">
                  <c:v>14.454397707459275</c:v>
                </c:pt>
                <c:pt idx="16">
                  <c:v>14.791083881682074</c:v>
                </c:pt>
                <c:pt idx="17">
                  <c:v>15.135612484362087</c:v>
                </c:pt>
                <c:pt idx="18">
                  <c:v>15.488166189124817</c:v>
                </c:pt>
                <c:pt idx="19">
                  <c:v>15.848931924611136</c:v>
                </c:pt>
                <c:pt idx="20">
                  <c:v>16.218100973589298</c:v>
                </c:pt>
                <c:pt idx="21">
                  <c:v>16.595869074375614</c:v>
                </c:pt>
                <c:pt idx="22">
                  <c:v>16.982436524617448</c:v>
                </c:pt>
                <c:pt idx="23">
                  <c:v>17.378008287493756</c:v>
                </c:pt>
                <c:pt idx="24">
                  <c:v>17.782794100389236</c:v>
                </c:pt>
                <c:pt idx="25">
                  <c:v>18.197008586099841</c:v>
                </c:pt>
                <c:pt idx="26">
                  <c:v>18.62087136662868</c:v>
                </c:pt>
                <c:pt idx="27">
                  <c:v>19.054607179632477</c:v>
                </c:pt>
                <c:pt idx="28">
                  <c:v>19.498445997580465</c:v>
                </c:pt>
                <c:pt idx="29">
                  <c:v>19.952623149688804</c:v>
                </c:pt>
                <c:pt idx="30">
                  <c:v>20.4173794466953</c:v>
                </c:pt>
                <c:pt idx="31">
                  <c:v>20.8929613085404</c:v>
                </c:pt>
                <c:pt idx="32">
                  <c:v>21.379620895022335</c:v>
                </c:pt>
                <c:pt idx="33">
                  <c:v>21.877616239495538</c:v>
                </c:pt>
                <c:pt idx="34">
                  <c:v>22.387211385683404</c:v>
                </c:pt>
                <c:pt idx="35">
                  <c:v>22.908676527677727</c:v>
                </c:pt>
                <c:pt idx="36">
                  <c:v>23.442288153199236</c:v>
                </c:pt>
                <c:pt idx="37">
                  <c:v>23.988329190194907</c:v>
                </c:pt>
                <c:pt idx="38">
                  <c:v>24.547089156850316</c:v>
                </c:pt>
                <c:pt idx="39">
                  <c:v>25.118864315095799</c:v>
                </c:pt>
                <c:pt idx="40">
                  <c:v>25.703957827688647</c:v>
                </c:pt>
                <c:pt idx="41">
                  <c:v>26.302679918953825</c:v>
                </c:pt>
                <c:pt idx="42">
                  <c:v>26.915348039269158</c:v>
                </c:pt>
                <c:pt idx="43">
                  <c:v>27.542287033381665</c:v>
                </c:pt>
                <c:pt idx="44">
                  <c:v>28.183829312644548</c:v>
                </c:pt>
                <c:pt idx="45">
                  <c:v>28.840315031266066</c:v>
                </c:pt>
                <c:pt idx="46">
                  <c:v>29.512092266663863</c:v>
                </c:pt>
                <c:pt idx="47">
                  <c:v>30.199517204020164</c:v>
                </c:pt>
                <c:pt idx="48">
                  <c:v>30.902954325135919</c:v>
                </c:pt>
                <c:pt idx="49">
                  <c:v>31.622776601683803</c:v>
                </c:pt>
                <c:pt idx="50">
                  <c:v>32.359365692962832</c:v>
                </c:pt>
                <c:pt idx="51">
                  <c:v>33.113112148259127</c:v>
                </c:pt>
                <c:pt idx="52">
                  <c:v>33.884415613920268</c:v>
                </c:pt>
                <c:pt idx="53">
                  <c:v>34.67368504525318</c:v>
                </c:pt>
                <c:pt idx="54">
                  <c:v>35.481338923357555</c:v>
                </c:pt>
                <c:pt idx="55">
                  <c:v>36.307805477010156</c:v>
                </c:pt>
                <c:pt idx="56">
                  <c:v>37.15352290971726</c:v>
                </c:pt>
                <c:pt idx="57">
                  <c:v>38.018939632056139</c:v>
                </c:pt>
                <c:pt idx="58">
                  <c:v>38.904514499428053</c:v>
                </c:pt>
                <c:pt idx="59">
                  <c:v>39.810717055349755</c:v>
                </c:pt>
                <c:pt idx="60">
                  <c:v>40.738027780411279</c:v>
                </c:pt>
                <c:pt idx="61">
                  <c:v>41.686938347033561</c:v>
                </c:pt>
                <c:pt idx="62">
                  <c:v>42.657951880159267</c:v>
                </c:pt>
                <c:pt idx="63">
                  <c:v>43.651583224016633</c:v>
                </c:pt>
                <c:pt idx="64">
                  <c:v>44.668359215096324</c:v>
                </c:pt>
                <c:pt idx="65">
                  <c:v>45.70881896148753</c:v>
                </c:pt>
                <c:pt idx="66">
                  <c:v>46.773514128719818</c:v>
                </c:pt>
                <c:pt idx="67">
                  <c:v>47.863009232263877</c:v>
                </c:pt>
                <c:pt idx="68">
                  <c:v>48.977881936844632</c:v>
                </c:pt>
                <c:pt idx="69">
                  <c:v>50.118723362727238</c:v>
                </c:pt>
                <c:pt idx="70">
                  <c:v>51.28613839913649</c:v>
                </c:pt>
                <c:pt idx="71">
                  <c:v>52.480746024977286</c:v>
                </c:pt>
                <c:pt idx="72">
                  <c:v>53.703179637025293</c:v>
                </c:pt>
                <c:pt idx="73">
                  <c:v>54.95408738576247</c:v>
                </c:pt>
                <c:pt idx="74">
                  <c:v>56.234132519034915</c:v>
                </c:pt>
                <c:pt idx="75">
                  <c:v>57.543993733715695</c:v>
                </c:pt>
                <c:pt idx="76">
                  <c:v>58.884365535558949</c:v>
                </c:pt>
                <c:pt idx="77">
                  <c:v>60.255958607435822</c:v>
                </c:pt>
                <c:pt idx="78">
                  <c:v>61.659500186148257</c:v>
                </c:pt>
                <c:pt idx="79">
                  <c:v>63.095734448019364</c:v>
                </c:pt>
                <c:pt idx="80">
                  <c:v>64.565422903465588</c:v>
                </c:pt>
                <c:pt idx="81">
                  <c:v>66.069344800759623</c:v>
                </c:pt>
                <c:pt idx="82">
                  <c:v>67.60829753919819</c:v>
                </c:pt>
                <c:pt idx="83">
                  <c:v>69.183097091893657</c:v>
                </c:pt>
                <c:pt idx="84">
                  <c:v>70.794578438413865</c:v>
                </c:pt>
                <c:pt idx="85">
                  <c:v>72.443596007499011</c:v>
                </c:pt>
                <c:pt idx="86">
                  <c:v>74.131024130091816</c:v>
                </c:pt>
                <c:pt idx="87">
                  <c:v>75.857757502918361</c:v>
                </c:pt>
                <c:pt idx="88">
                  <c:v>77.624711662869217</c:v>
                </c:pt>
                <c:pt idx="89">
                  <c:v>79.432823472428197</c:v>
                </c:pt>
                <c:pt idx="90">
                  <c:v>81.283051616409963</c:v>
                </c:pt>
                <c:pt idx="91">
                  <c:v>83.176377110267126</c:v>
                </c:pt>
                <c:pt idx="92">
                  <c:v>85.113803820237734</c:v>
                </c:pt>
                <c:pt idx="93">
                  <c:v>87.096358995608071</c:v>
                </c:pt>
                <c:pt idx="94">
                  <c:v>89.125093813374562</c:v>
                </c:pt>
                <c:pt idx="95">
                  <c:v>91.201083935590972</c:v>
                </c:pt>
                <c:pt idx="96">
                  <c:v>93.325430079699174</c:v>
                </c:pt>
                <c:pt idx="97">
                  <c:v>95.499258602143655</c:v>
                </c:pt>
                <c:pt idx="98">
                  <c:v>97.723722095581124</c:v>
                </c:pt>
                <c:pt idx="99">
                  <c:v>100</c:v>
                </c:pt>
                <c:pt idx="100">
                  <c:v>102.32929922807544</c:v>
                </c:pt>
                <c:pt idx="101">
                  <c:v>104.71285480508998</c:v>
                </c:pt>
                <c:pt idx="102">
                  <c:v>107.15193052376065</c:v>
                </c:pt>
                <c:pt idx="103">
                  <c:v>109.64781961431861</c:v>
                </c:pt>
                <c:pt idx="104">
                  <c:v>112.20184543019634</c:v>
                </c:pt>
                <c:pt idx="105">
                  <c:v>114.81536214968835</c:v>
                </c:pt>
                <c:pt idx="106">
                  <c:v>117.48975549395293</c:v>
                </c:pt>
                <c:pt idx="107">
                  <c:v>120.22644346174135</c:v>
                </c:pt>
                <c:pt idx="108">
                  <c:v>123.02687708123821</c:v>
                </c:pt>
                <c:pt idx="109">
                  <c:v>125.89254117941677</c:v>
                </c:pt>
                <c:pt idx="110">
                  <c:v>128.82495516931343</c:v>
                </c:pt>
                <c:pt idx="111">
                  <c:v>131.82567385564084</c:v>
                </c:pt>
                <c:pt idx="112">
                  <c:v>134.89628825916537</c:v>
                </c:pt>
                <c:pt idx="113">
                  <c:v>138.0384264602886</c:v>
                </c:pt>
                <c:pt idx="114">
                  <c:v>141.25375446227542</c:v>
                </c:pt>
                <c:pt idx="115">
                  <c:v>144.54397707459285</c:v>
                </c:pt>
                <c:pt idx="116">
                  <c:v>147.91083881682084</c:v>
                </c:pt>
                <c:pt idx="117">
                  <c:v>151.3561248436209</c:v>
                </c:pt>
                <c:pt idx="118">
                  <c:v>154.8816618912482</c:v>
                </c:pt>
                <c:pt idx="119">
                  <c:v>158.48931924611153</c:v>
                </c:pt>
                <c:pt idx="120">
                  <c:v>162.18100973589304</c:v>
                </c:pt>
                <c:pt idx="121">
                  <c:v>165.95869074375622</c:v>
                </c:pt>
                <c:pt idx="122">
                  <c:v>169.82436524617444</c:v>
                </c:pt>
                <c:pt idx="123">
                  <c:v>173.78008287493768</c:v>
                </c:pt>
                <c:pt idx="124">
                  <c:v>177.82794100389242</c:v>
                </c:pt>
                <c:pt idx="125">
                  <c:v>181.9700858609983</c:v>
                </c:pt>
                <c:pt idx="126">
                  <c:v>186.20871366628685</c:v>
                </c:pt>
                <c:pt idx="127">
                  <c:v>190.54607179632498</c:v>
                </c:pt>
                <c:pt idx="128">
                  <c:v>194.98445997580458</c:v>
                </c:pt>
                <c:pt idx="129">
                  <c:v>199.52623149688802</c:v>
                </c:pt>
                <c:pt idx="130">
                  <c:v>204.17379446695315</c:v>
                </c:pt>
                <c:pt idx="131">
                  <c:v>208.92961308540396</c:v>
                </c:pt>
                <c:pt idx="132">
                  <c:v>213.79620895022339</c:v>
                </c:pt>
                <c:pt idx="133">
                  <c:v>218.77616239495524</c:v>
                </c:pt>
                <c:pt idx="134">
                  <c:v>223.87211385683412</c:v>
                </c:pt>
                <c:pt idx="135">
                  <c:v>229.08676527677744</c:v>
                </c:pt>
                <c:pt idx="136">
                  <c:v>234.42288153199232</c:v>
                </c:pt>
                <c:pt idx="137">
                  <c:v>239.88329190194912</c:v>
                </c:pt>
                <c:pt idx="138">
                  <c:v>245.4708915685033</c:v>
                </c:pt>
                <c:pt idx="139">
                  <c:v>251.18864315095806</c:v>
                </c:pt>
                <c:pt idx="140">
                  <c:v>257.03957827688663</c:v>
                </c:pt>
                <c:pt idx="141">
                  <c:v>263.02679918953817</c:v>
                </c:pt>
                <c:pt idx="142">
                  <c:v>269.15348039269179</c:v>
                </c:pt>
                <c:pt idx="143">
                  <c:v>275.42287033381683</c:v>
                </c:pt>
                <c:pt idx="144">
                  <c:v>281.83829312644554</c:v>
                </c:pt>
                <c:pt idx="145">
                  <c:v>288.40315031266073</c:v>
                </c:pt>
                <c:pt idx="146">
                  <c:v>295.12092266663871</c:v>
                </c:pt>
                <c:pt idx="147">
                  <c:v>301.99517204020168</c:v>
                </c:pt>
                <c:pt idx="148">
                  <c:v>309.02954325135937</c:v>
                </c:pt>
                <c:pt idx="149">
                  <c:v>316.22776601683825</c:v>
                </c:pt>
                <c:pt idx="150">
                  <c:v>323.59365692962825</c:v>
                </c:pt>
                <c:pt idx="151">
                  <c:v>331.13112148259137</c:v>
                </c:pt>
                <c:pt idx="152">
                  <c:v>338.84415613920277</c:v>
                </c:pt>
                <c:pt idx="153">
                  <c:v>346.73685045253183</c:v>
                </c:pt>
                <c:pt idx="154">
                  <c:v>354.81338923357566</c:v>
                </c:pt>
                <c:pt idx="155">
                  <c:v>363.07805477010152</c:v>
                </c:pt>
                <c:pt idx="156">
                  <c:v>371.53522909717265</c:v>
                </c:pt>
                <c:pt idx="157">
                  <c:v>380.18939632056163</c:v>
                </c:pt>
                <c:pt idx="158">
                  <c:v>389.04514499428063</c:v>
                </c:pt>
                <c:pt idx="159">
                  <c:v>398.10717055349761</c:v>
                </c:pt>
                <c:pt idx="160">
                  <c:v>407.38027780411272</c:v>
                </c:pt>
                <c:pt idx="161">
                  <c:v>416.86938347033572</c:v>
                </c:pt>
                <c:pt idx="162">
                  <c:v>426.57951880159294</c:v>
                </c:pt>
                <c:pt idx="163">
                  <c:v>436.51583224016622</c:v>
                </c:pt>
                <c:pt idx="164">
                  <c:v>446.68359215096331</c:v>
                </c:pt>
                <c:pt idx="165">
                  <c:v>457.0881896148756</c:v>
                </c:pt>
                <c:pt idx="166">
                  <c:v>467.7351412871983</c:v>
                </c:pt>
                <c:pt idx="167">
                  <c:v>478.63009232263886</c:v>
                </c:pt>
                <c:pt idx="168">
                  <c:v>489.77881936844625</c:v>
                </c:pt>
                <c:pt idx="169">
                  <c:v>501.18723362727269</c:v>
                </c:pt>
                <c:pt idx="170">
                  <c:v>512.86138399136519</c:v>
                </c:pt>
                <c:pt idx="171">
                  <c:v>524.80746024977248</c:v>
                </c:pt>
                <c:pt idx="172">
                  <c:v>537.03179637025301</c:v>
                </c:pt>
                <c:pt idx="173">
                  <c:v>549.54087385762534</c:v>
                </c:pt>
                <c:pt idx="174">
                  <c:v>562.34132519034927</c:v>
                </c:pt>
                <c:pt idx="175">
                  <c:v>575.43993733715706</c:v>
                </c:pt>
                <c:pt idx="176">
                  <c:v>588.84365535558959</c:v>
                </c:pt>
                <c:pt idx="177">
                  <c:v>602.55958607435832</c:v>
                </c:pt>
                <c:pt idx="178">
                  <c:v>616.59500186148273</c:v>
                </c:pt>
                <c:pt idx="179">
                  <c:v>630.95734448019323</c:v>
                </c:pt>
                <c:pt idx="180">
                  <c:v>645.65422903465594</c:v>
                </c:pt>
                <c:pt idx="181">
                  <c:v>660.69344800759643</c:v>
                </c:pt>
                <c:pt idx="182">
                  <c:v>676.08297539198213</c:v>
                </c:pt>
                <c:pt idx="183">
                  <c:v>691.83097091893671</c:v>
                </c:pt>
                <c:pt idx="184">
                  <c:v>707.94578438413873</c:v>
                </c:pt>
                <c:pt idx="185">
                  <c:v>724.43596007499025</c:v>
                </c:pt>
                <c:pt idx="186">
                  <c:v>741.31024130091828</c:v>
                </c:pt>
                <c:pt idx="187">
                  <c:v>758.57757502918378</c:v>
                </c:pt>
                <c:pt idx="188">
                  <c:v>776.24711662869231</c:v>
                </c:pt>
                <c:pt idx="189">
                  <c:v>794.32823472428208</c:v>
                </c:pt>
                <c:pt idx="190">
                  <c:v>812.83051616409978</c:v>
                </c:pt>
                <c:pt idx="191">
                  <c:v>831.7637711026714</c:v>
                </c:pt>
                <c:pt idx="192">
                  <c:v>851.13803820237763</c:v>
                </c:pt>
                <c:pt idx="193">
                  <c:v>870.96358995608091</c:v>
                </c:pt>
                <c:pt idx="194">
                  <c:v>891.25093813374656</c:v>
                </c:pt>
                <c:pt idx="195">
                  <c:v>912.01083935590987</c:v>
                </c:pt>
                <c:pt idx="196">
                  <c:v>933.25430079699106</c:v>
                </c:pt>
                <c:pt idx="197">
                  <c:v>954.99258602143675</c:v>
                </c:pt>
                <c:pt idx="198">
                  <c:v>977.23722095581138</c:v>
                </c:pt>
                <c:pt idx="199">
                  <c:v>1000</c:v>
                </c:pt>
                <c:pt idx="200">
                  <c:v>1023.2929922807547</c:v>
                </c:pt>
                <c:pt idx="201">
                  <c:v>1047.1285480509</c:v>
                </c:pt>
                <c:pt idx="202">
                  <c:v>1071.5193052376069</c:v>
                </c:pt>
                <c:pt idx="203">
                  <c:v>1096.4781961431863</c:v>
                </c:pt>
                <c:pt idx="204">
                  <c:v>1122.0184543019636</c:v>
                </c:pt>
                <c:pt idx="205">
                  <c:v>1148.1536214968839</c:v>
                </c:pt>
                <c:pt idx="206">
                  <c:v>1174.8975549395295</c:v>
                </c:pt>
                <c:pt idx="207">
                  <c:v>1202.2644346174138</c:v>
                </c:pt>
                <c:pt idx="208">
                  <c:v>1230.2687708123824</c:v>
                </c:pt>
                <c:pt idx="209">
                  <c:v>1258.925411794168</c:v>
                </c:pt>
                <c:pt idx="210">
                  <c:v>1288.2495516931347</c:v>
                </c:pt>
                <c:pt idx="211">
                  <c:v>1318.2567385564089</c:v>
                </c:pt>
                <c:pt idx="212">
                  <c:v>1348.9628825916541</c:v>
                </c:pt>
                <c:pt idx="213">
                  <c:v>1380.3842646028863</c:v>
                </c:pt>
                <c:pt idx="214">
                  <c:v>1412.5375446227545</c:v>
                </c:pt>
                <c:pt idx="215">
                  <c:v>1445.4397707459289</c:v>
                </c:pt>
                <c:pt idx="216">
                  <c:v>1479.1083881682086</c:v>
                </c:pt>
                <c:pt idx="217">
                  <c:v>1513.5612484362093</c:v>
                </c:pt>
                <c:pt idx="218">
                  <c:v>1548.8166189124822</c:v>
                </c:pt>
                <c:pt idx="219">
                  <c:v>1584.8931924611156</c:v>
                </c:pt>
                <c:pt idx="220">
                  <c:v>1621.8100973589308</c:v>
                </c:pt>
                <c:pt idx="221">
                  <c:v>1659.5869074375626</c:v>
                </c:pt>
                <c:pt idx="222">
                  <c:v>1698.2436524617447</c:v>
                </c:pt>
                <c:pt idx="223">
                  <c:v>1737.8008287493772</c:v>
                </c:pt>
                <c:pt idx="224">
                  <c:v>1778.2794100389244</c:v>
                </c:pt>
                <c:pt idx="225">
                  <c:v>1819.7008586099832</c:v>
                </c:pt>
                <c:pt idx="226">
                  <c:v>1862.0871366628687</c:v>
                </c:pt>
                <c:pt idx="227">
                  <c:v>1905.4607179632501</c:v>
                </c:pt>
                <c:pt idx="228">
                  <c:v>1949.8445997580463</c:v>
                </c:pt>
                <c:pt idx="229">
                  <c:v>1995.2623149688804</c:v>
                </c:pt>
                <c:pt idx="230">
                  <c:v>2041.7379446695318</c:v>
                </c:pt>
                <c:pt idx="231">
                  <c:v>2089.2961308540398</c:v>
                </c:pt>
                <c:pt idx="232">
                  <c:v>2137.9620895022344</c:v>
                </c:pt>
                <c:pt idx="233">
                  <c:v>2187.7616239495528</c:v>
                </c:pt>
                <c:pt idx="234">
                  <c:v>2238.7211385683418</c:v>
                </c:pt>
                <c:pt idx="235">
                  <c:v>2290.8676527677749</c:v>
                </c:pt>
                <c:pt idx="236">
                  <c:v>2344.2288153199238</c:v>
                </c:pt>
                <c:pt idx="237">
                  <c:v>2398.8329190194918</c:v>
                </c:pt>
                <c:pt idx="238">
                  <c:v>2454.7089156850338</c:v>
                </c:pt>
                <c:pt idx="239">
                  <c:v>2511.8864315095811</c:v>
                </c:pt>
                <c:pt idx="240">
                  <c:v>2570.3957827688669</c:v>
                </c:pt>
                <c:pt idx="241">
                  <c:v>2630.2679918953822</c:v>
                </c:pt>
                <c:pt idx="242">
                  <c:v>2691.5348039269184</c:v>
                </c:pt>
                <c:pt idx="243">
                  <c:v>2754.228703338169</c:v>
                </c:pt>
                <c:pt idx="244">
                  <c:v>2818.3829312644561</c:v>
                </c:pt>
                <c:pt idx="245">
                  <c:v>2884.0315031266077</c:v>
                </c:pt>
                <c:pt idx="246">
                  <c:v>2951.2092266663876</c:v>
                </c:pt>
                <c:pt idx="247">
                  <c:v>3019.9517204020176</c:v>
                </c:pt>
                <c:pt idx="248">
                  <c:v>3090.295432513592</c:v>
                </c:pt>
                <c:pt idx="249">
                  <c:v>3162.2776601683804</c:v>
                </c:pt>
                <c:pt idx="250">
                  <c:v>3235.9365692962833</c:v>
                </c:pt>
                <c:pt idx="251">
                  <c:v>3311.3112148259115</c:v>
                </c:pt>
                <c:pt idx="252">
                  <c:v>3388.4415613920314</c:v>
                </c:pt>
                <c:pt idx="253">
                  <c:v>3467.3685045253224</c:v>
                </c:pt>
                <c:pt idx="254">
                  <c:v>3548.1338923357539</c:v>
                </c:pt>
                <c:pt idx="255">
                  <c:v>3630.7805477010188</c:v>
                </c:pt>
                <c:pt idx="256">
                  <c:v>3715.352290971724</c:v>
                </c:pt>
                <c:pt idx="257">
                  <c:v>3801.8939632056172</c:v>
                </c:pt>
                <c:pt idx="258">
                  <c:v>3890.451449942811</c:v>
                </c:pt>
                <c:pt idx="259">
                  <c:v>3981.0717055349769</c:v>
                </c:pt>
                <c:pt idx="260">
                  <c:v>4073.8027780411317</c:v>
                </c:pt>
                <c:pt idx="261">
                  <c:v>4168.6938347033583</c:v>
                </c:pt>
                <c:pt idx="262">
                  <c:v>4265.7951880159299</c:v>
                </c:pt>
                <c:pt idx="263">
                  <c:v>4365.1583224016631</c:v>
                </c:pt>
                <c:pt idx="264">
                  <c:v>4466.8359215096343</c:v>
                </c:pt>
                <c:pt idx="265">
                  <c:v>4570.8818961487532</c:v>
                </c:pt>
                <c:pt idx="266">
                  <c:v>4677.3514128719844</c:v>
                </c:pt>
                <c:pt idx="267">
                  <c:v>4786.3009232263848</c:v>
                </c:pt>
                <c:pt idx="268">
                  <c:v>4897.7881936844633</c:v>
                </c:pt>
                <c:pt idx="269">
                  <c:v>5011.8723362727324</c:v>
                </c:pt>
                <c:pt idx="270">
                  <c:v>5128.6138399136489</c:v>
                </c:pt>
                <c:pt idx="271">
                  <c:v>5248.0746024977261</c:v>
                </c:pt>
                <c:pt idx="272">
                  <c:v>5370.3179637025269</c:v>
                </c:pt>
                <c:pt idx="273">
                  <c:v>5495.4087385762541</c:v>
                </c:pt>
                <c:pt idx="274">
                  <c:v>5623.4132519034993</c:v>
                </c:pt>
                <c:pt idx="275">
                  <c:v>5754.399373371567</c:v>
                </c:pt>
                <c:pt idx="276">
                  <c:v>5888.4365535558973</c:v>
                </c:pt>
                <c:pt idx="277">
                  <c:v>6025.595860743585</c:v>
                </c:pt>
                <c:pt idx="278">
                  <c:v>6165.9500186148289</c:v>
                </c:pt>
                <c:pt idx="279">
                  <c:v>6309.5734448019384</c:v>
                </c:pt>
                <c:pt idx="280">
                  <c:v>6456.5422903465615</c:v>
                </c:pt>
                <c:pt idx="281">
                  <c:v>6606.9344800759654</c:v>
                </c:pt>
                <c:pt idx="282">
                  <c:v>6760.8297539198229</c:v>
                </c:pt>
                <c:pt idx="283">
                  <c:v>6918.3097091893687</c:v>
                </c:pt>
                <c:pt idx="284">
                  <c:v>7079.4578438413828</c:v>
                </c:pt>
                <c:pt idx="285">
                  <c:v>7244.3596007499036</c:v>
                </c:pt>
                <c:pt idx="286">
                  <c:v>7413.1024130091773</c:v>
                </c:pt>
                <c:pt idx="287">
                  <c:v>7585.7757502918394</c:v>
                </c:pt>
                <c:pt idx="288">
                  <c:v>7762.4711662869322</c:v>
                </c:pt>
                <c:pt idx="289">
                  <c:v>7943.2823472428154</c:v>
                </c:pt>
                <c:pt idx="290">
                  <c:v>8128.3051616410066</c:v>
                </c:pt>
                <c:pt idx="291">
                  <c:v>8317.6377110267094</c:v>
                </c:pt>
                <c:pt idx="292">
                  <c:v>8511.3803820237772</c:v>
                </c:pt>
                <c:pt idx="293">
                  <c:v>8709.6358995608189</c:v>
                </c:pt>
                <c:pt idx="294">
                  <c:v>8912.5093813374679</c:v>
                </c:pt>
                <c:pt idx="295">
                  <c:v>9120.1083935591087</c:v>
                </c:pt>
                <c:pt idx="296">
                  <c:v>9332.5430079699217</c:v>
                </c:pt>
                <c:pt idx="297">
                  <c:v>9549.9258602143691</c:v>
                </c:pt>
                <c:pt idx="298">
                  <c:v>9772.3722095581161</c:v>
                </c:pt>
                <c:pt idx="299">
                  <c:v>10000</c:v>
                </c:pt>
                <c:pt idx="300">
                  <c:v>10232.929922807549</c:v>
                </c:pt>
                <c:pt idx="301">
                  <c:v>10471.285480509003</c:v>
                </c:pt>
                <c:pt idx="302">
                  <c:v>10715.193052376071</c:v>
                </c:pt>
                <c:pt idx="303">
                  <c:v>10964.781961431856</c:v>
                </c:pt>
                <c:pt idx="304">
                  <c:v>11220.184543019639</c:v>
                </c:pt>
                <c:pt idx="305">
                  <c:v>11481.536214968832</c:v>
                </c:pt>
                <c:pt idx="306">
                  <c:v>11748.975549395318</c:v>
                </c:pt>
                <c:pt idx="307">
                  <c:v>12022.644346174151</c:v>
                </c:pt>
                <c:pt idx="308">
                  <c:v>12302.687708123816</c:v>
                </c:pt>
                <c:pt idx="309">
                  <c:v>12589.254117941671</c:v>
                </c:pt>
                <c:pt idx="310">
                  <c:v>12882.49551693136</c:v>
                </c:pt>
                <c:pt idx="311">
                  <c:v>13182.567385564091</c:v>
                </c:pt>
                <c:pt idx="312">
                  <c:v>13489.628825916556</c:v>
                </c:pt>
                <c:pt idx="313">
                  <c:v>13803.842646028841</c:v>
                </c:pt>
                <c:pt idx="314">
                  <c:v>14125.375446227561</c:v>
                </c:pt>
                <c:pt idx="315">
                  <c:v>14454.397707459291</c:v>
                </c:pt>
                <c:pt idx="316">
                  <c:v>14791.083881682089</c:v>
                </c:pt>
                <c:pt idx="317">
                  <c:v>15135.612484362096</c:v>
                </c:pt>
                <c:pt idx="318">
                  <c:v>15488.166189124853</c:v>
                </c:pt>
                <c:pt idx="319">
                  <c:v>15848.931924611146</c:v>
                </c:pt>
                <c:pt idx="320">
                  <c:v>16218.100973589309</c:v>
                </c:pt>
                <c:pt idx="321">
                  <c:v>16595.869074375616</c:v>
                </c:pt>
                <c:pt idx="322">
                  <c:v>16982.436524617482</c:v>
                </c:pt>
                <c:pt idx="323">
                  <c:v>17378.008287493791</c:v>
                </c:pt>
                <c:pt idx="324">
                  <c:v>17782.794100389234</c:v>
                </c:pt>
                <c:pt idx="325">
                  <c:v>18197.008586099837</c:v>
                </c:pt>
                <c:pt idx="326">
                  <c:v>18620.871366628675</c:v>
                </c:pt>
                <c:pt idx="327">
                  <c:v>19054.607179632505</c:v>
                </c:pt>
                <c:pt idx="328">
                  <c:v>19498.445997580486</c:v>
                </c:pt>
                <c:pt idx="329">
                  <c:v>19952.623149688792</c:v>
                </c:pt>
                <c:pt idx="330">
                  <c:v>20417.379446695286</c:v>
                </c:pt>
                <c:pt idx="331">
                  <c:v>20892.961308540423</c:v>
                </c:pt>
                <c:pt idx="332">
                  <c:v>21379.620895022348</c:v>
                </c:pt>
                <c:pt idx="333">
                  <c:v>21877.61623949555</c:v>
                </c:pt>
                <c:pt idx="334">
                  <c:v>22387.211385683382</c:v>
                </c:pt>
                <c:pt idx="335">
                  <c:v>22908.676527677751</c:v>
                </c:pt>
                <c:pt idx="336">
                  <c:v>23442.288153199243</c:v>
                </c:pt>
                <c:pt idx="337">
                  <c:v>23988.329190194923</c:v>
                </c:pt>
                <c:pt idx="338">
                  <c:v>24547.089156850321</c:v>
                </c:pt>
                <c:pt idx="339">
                  <c:v>25118.86431509586</c:v>
                </c:pt>
                <c:pt idx="340">
                  <c:v>25703.95782768865</c:v>
                </c:pt>
                <c:pt idx="341">
                  <c:v>26302.679918953829</c:v>
                </c:pt>
                <c:pt idx="342">
                  <c:v>26915.348039269167</c:v>
                </c:pt>
                <c:pt idx="343">
                  <c:v>27542.287033381719</c:v>
                </c:pt>
                <c:pt idx="344">
                  <c:v>28183.829312644593</c:v>
                </c:pt>
                <c:pt idx="345">
                  <c:v>28840.315031266062</c:v>
                </c:pt>
                <c:pt idx="346">
                  <c:v>29512.092266663854</c:v>
                </c:pt>
                <c:pt idx="347">
                  <c:v>30199.517204020212</c:v>
                </c:pt>
                <c:pt idx="348">
                  <c:v>30902.954325135954</c:v>
                </c:pt>
                <c:pt idx="349">
                  <c:v>31622.77660168384</c:v>
                </c:pt>
                <c:pt idx="350">
                  <c:v>32359.365692962871</c:v>
                </c:pt>
                <c:pt idx="351">
                  <c:v>33113.11214825909</c:v>
                </c:pt>
                <c:pt idx="352">
                  <c:v>33884.41561392029</c:v>
                </c:pt>
                <c:pt idx="353">
                  <c:v>34673.685045253202</c:v>
                </c:pt>
                <c:pt idx="354">
                  <c:v>35481.33892335758</c:v>
                </c:pt>
                <c:pt idx="355">
                  <c:v>36307.805477010232</c:v>
                </c:pt>
                <c:pt idx="356">
                  <c:v>37153.522909717351</c:v>
                </c:pt>
                <c:pt idx="357">
                  <c:v>38018.939632056143</c:v>
                </c:pt>
                <c:pt idx="358">
                  <c:v>38904.514499428085</c:v>
                </c:pt>
                <c:pt idx="359">
                  <c:v>39810.717055349742</c:v>
                </c:pt>
                <c:pt idx="360">
                  <c:v>40738.027780411358</c:v>
                </c:pt>
                <c:pt idx="361">
                  <c:v>41686.938347033625</c:v>
                </c:pt>
                <c:pt idx="362">
                  <c:v>42657.951880159271</c:v>
                </c:pt>
                <c:pt idx="363">
                  <c:v>43651.583224016598</c:v>
                </c:pt>
                <c:pt idx="364">
                  <c:v>44668.359215096389</c:v>
                </c:pt>
                <c:pt idx="365">
                  <c:v>45708.818961487581</c:v>
                </c:pt>
                <c:pt idx="366">
                  <c:v>46773.514128719893</c:v>
                </c:pt>
                <c:pt idx="367">
                  <c:v>47863.009232263823</c:v>
                </c:pt>
                <c:pt idx="368">
                  <c:v>48977.881936844598</c:v>
                </c:pt>
                <c:pt idx="369">
                  <c:v>50118.723362727294</c:v>
                </c:pt>
                <c:pt idx="370">
                  <c:v>51286.138399136544</c:v>
                </c:pt>
                <c:pt idx="371">
                  <c:v>52480.746024977314</c:v>
                </c:pt>
                <c:pt idx="372">
                  <c:v>53703.179637025423</c:v>
                </c:pt>
                <c:pt idx="373">
                  <c:v>54954.087385762505</c:v>
                </c:pt>
                <c:pt idx="374">
                  <c:v>56234.132519034953</c:v>
                </c:pt>
                <c:pt idx="375">
                  <c:v>57543.993733715732</c:v>
                </c:pt>
                <c:pt idx="376">
                  <c:v>58884.365535558936</c:v>
                </c:pt>
                <c:pt idx="377">
                  <c:v>60255.95860743591</c:v>
                </c:pt>
                <c:pt idx="378">
                  <c:v>61659.500186148245</c:v>
                </c:pt>
                <c:pt idx="379">
                  <c:v>63095.734448019342</c:v>
                </c:pt>
                <c:pt idx="380">
                  <c:v>64565.422903465682</c:v>
                </c:pt>
                <c:pt idx="381">
                  <c:v>66069.344800759733</c:v>
                </c:pt>
                <c:pt idx="382">
                  <c:v>67608.297539198305</c:v>
                </c:pt>
                <c:pt idx="383">
                  <c:v>69183.097091893651</c:v>
                </c:pt>
                <c:pt idx="384">
                  <c:v>70794.578438413781</c:v>
                </c:pt>
                <c:pt idx="385">
                  <c:v>72443.596007499116</c:v>
                </c:pt>
                <c:pt idx="386">
                  <c:v>74131.024130091857</c:v>
                </c:pt>
                <c:pt idx="387">
                  <c:v>75857.757502918481</c:v>
                </c:pt>
                <c:pt idx="388">
                  <c:v>77624.711662869129</c:v>
                </c:pt>
                <c:pt idx="389">
                  <c:v>79432.823472428237</c:v>
                </c:pt>
                <c:pt idx="390">
                  <c:v>81283.051616410012</c:v>
                </c:pt>
                <c:pt idx="391">
                  <c:v>83176.377110267174</c:v>
                </c:pt>
                <c:pt idx="392">
                  <c:v>85113.803820237721</c:v>
                </c:pt>
                <c:pt idx="393">
                  <c:v>87096.358995608127</c:v>
                </c:pt>
                <c:pt idx="394">
                  <c:v>89125.093813374609</c:v>
                </c:pt>
                <c:pt idx="395">
                  <c:v>91201.083935591028</c:v>
                </c:pt>
                <c:pt idx="396">
                  <c:v>93325.430079699145</c:v>
                </c:pt>
                <c:pt idx="397">
                  <c:v>95499.258602143804</c:v>
                </c:pt>
                <c:pt idx="398">
                  <c:v>97723.722095581266</c:v>
                </c:pt>
                <c:pt idx="399">
                  <c:v>100000</c:v>
                </c:pt>
                <c:pt idx="400">
                  <c:v>102329.29922807543</c:v>
                </c:pt>
                <c:pt idx="401">
                  <c:v>104712.85480508996</c:v>
                </c:pt>
                <c:pt idx="402">
                  <c:v>107151.93052376082</c:v>
                </c:pt>
                <c:pt idx="403">
                  <c:v>109647.81961431868</c:v>
                </c:pt>
                <c:pt idx="404">
                  <c:v>112201.84543019651</c:v>
                </c:pt>
                <c:pt idx="405">
                  <c:v>114815.36214968823</c:v>
                </c:pt>
                <c:pt idx="406">
                  <c:v>117489.75549395311</c:v>
                </c:pt>
                <c:pt idx="407">
                  <c:v>120226.44346174144</c:v>
                </c:pt>
                <c:pt idx="408">
                  <c:v>123026.87708123829</c:v>
                </c:pt>
                <c:pt idx="409">
                  <c:v>125892.54117941685</c:v>
                </c:pt>
                <c:pt idx="410">
                  <c:v>128824.95516931375</c:v>
                </c:pt>
                <c:pt idx="411">
                  <c:v>131825.67385564081</c:v>
                </c:pt>
                <c:pt idx="412">
                  <c:v>134896.28825916545</c:v>
                </c:pt>
                <c:pt idx="413">
                  <c:v>138038.42646028858</c:v>
                </c:pt>
                <c:pt idx="414">
                  <c:v>141253.75446227577</c:v>
                </c:pt>
                <c:pt idx="415">
                  <c:v>144543.97707459307</c:v>
                </c:pt>
                <c:pt idx="416">
                  <c:v>147910.83881682079</c:v>
                </c:pt>
                <c:pt idx="417">
                  <c:v>151356.12484362084</c:v>
                </c:pt>
                <c:pt idx="418">
                  <c:v>154881.66189124843</c:v>
                </c:pt>
                <c:pt idx="419">
                  <c:v>158489.31924611164</c:v>
                </c:pt>
                <c:pt idx="420">
                  <c:v>162181.00973589328</c:v>
                </c:pt>
                <c:pt idx="421">
                  <c:v>165958.69074375604</c:v>
                </c:pt>
                <c:pt idx="422">
                  <c:v>169824.36524617471</c:v>
                </c:pt>
                <c:pt idx="423">
                  <c:v>173780.0828749378</c:v>
                </c:pt>
                <c:pt idx="424">
                  <c:v>177827.94100389251</c:v>
                </c:pt>
                <c:pt idx="425">
                  <c:v>181970.08586099857</c:v>
                </c:pt>
                <c:pt idx="426">
                  <c:v>186208.71366628664</c:v>
                </c:pt>
                <c:pt idx="427">
                  <c:v>190546.07179632492</c:v>
                </c:pt>
                <c:pt idx="428">
                  <c:v>194984.45997580473</c:v>
                </c:pt>
                <c:pt idx="429">
                  <c:v>199526.23149688813</c:v>
                </c:pt>
                <c:pt idx="430">
                  <c:v>204173.79446695308</c:v>
                </c:pt>
                <c:pt idx="431">
                  <c:v>208929.61308540447</c:v>
                </c:pt>
                <c:pt idx="432">
                  <c:v>213796.20895022334</c:v>
                </c:pt>
                <c:pt idx="433">
                  <c:v>218776.16239495538</c:v>
                </c:pt>
                <c:pt idx="434">
                  <c:v>223872.11385683404</c:v>
                </c:pt>
                <c:pt idx="435">
                  <c:v>229086.76527677779</c:v>
                </c:pt>
                <c:pt idx="436">
                  <c:v>234422.88153199267</c:v>
                </c:pt>
                <c:pt idx="437">
                  <c:v>239883.29190194907</c:v>
                </c:pt>
                <c:pt idx="438">
                  <c:v>245470.89156850305</c:v>
                </c:pt>
                <c:pt idx="439">
                  <c:v>251188.64315095844</c:v>
                </c:pt>
                <c:pt idx="440">
                  <c:v>257039.57827688678</c:v>
                </c:pt>
                <c:pt idx="441">
                  <c:v>263026.79918953858</c:v>
                </c:pt>
                <c:pt idx="442">
                  <c:v>269153.48039269145</c:v>
                </c:pt>
                <c:pt idx="443">
                  <c:v>275422.87033381703</c:v>
                </c:pt>
                <c:pt idx="444">
                  <c:v>281838.29312644573</c:v>
                </c:pt>
                <c:pt idx="445">
                  <c:v>288403.1503126609</c:v>
                </c:pt>
                <c:pt idx="446">
                  <c:v>295120.92266663886</c:v>
                </c:pt>
                <c:pt idx="447">
                  <c:v>301995.17204020242</c:v>
                </c:pt>
                <c:pt idx="448">
                  <c:v>309029.54325135931</c:v>
                </c:pt>
                <c:pt idx="449">
                  <c:v>316227.7660168382</c:v>
                </c:pt>
                <c:pt idx="450">
                  <c:v>323593.65692962846</c:v>
                </c:pt>
                <c:pt idx="451">
                  <c:v>331131.12148259126</c:v>
                </c:pt>
                <c:pt idx="452">
                  <c:v>338844.15613920329</c:v>
                </c:pt>
                <c:pt idx="453">
                  <c:v>346736.85045253241</c:v>
                </c:pt>
                <c:pt idx="454">
                  <c:v>354813.38923357555</c:v>
                </c:pt>
                <c:pt idx="455">
                  <c:v>363078.05477010203</c:v>
                </c:pt>
                <c:pt idx="456">
                  <c:v>371535.2290971732</c:v>
                </c:pt>
                <c:pt idx="457">
                  <c:v>380189.39632056188</c:v>
                </c:pt>
                <c:pt idx="458">
                  <c:v>389045.14499428123</c:v>
                </c:pt>
                <c:pt idx="459">
                  <c:v>398107.17055349716</c:v>
                </c:pt>
                <c:pt idx="460">
                  <c:v>407380.27780411334</c:v>
                </c:pt>
                <c:pt idx="461">
                  <c:v>416869.38347033598</c:v>
                </c:pt>
                <c:pt idx="462">
                  <c:v>426579.51880159322</c:v>
                </c:pt>
                <c:pt idx="463">
                  <c:v>436515.83224016649</c:v>
                </c:pt>
                <c:pt idx="464">
                  <c:v>446683.59215096442</c:v>
                </c:pt>
                <c:pt idx="465">
                  <c:v>457088.18961487547</c:v>
                </c:pt>
                <c:pt idx="466">
                  <c:v>467735.14128719864</c:v>
                </c:pt>
                <c:pt idx="467">
                  <c:v>478630.09232263872</c:v>
                </c:pt>
                <c:pt idx="468">
                  <c:v>489778.81936844654</c:v>
                </c:pt>
                <c:pt idx="469">
                  <c:v>501187.23362727347</c:v>
                </c:pt>
                <c:pt idx="470">
                  <c:v>512861.38399136515</c:v>
                </c:pt>
                <c:pt idx="471">
                  <c:v>524807.46024977288</c:v>
                </c:pt>
                <c:pt idx="472">
                  <c:v>537031.7963702539</c:v>
                </c:pt>
                <c:pt idx="473">
                  <c:v>549540.87385762564</c:v>
                </c:pt>
                <c:pt idx="474">
                  <c:v>562341.32519035018</c:v>
                </c:pt>
                <c:pt idx="475">
                  <c:v>575439.93733715697</c:v>
                </c:pt>
                <c:pt idx="476">
                  <c:v>588843.65535558888</c:v>
                </c:pt>
                <c:pt idx="477">
                  <c:v>602559.58607435878</c:v>
                </c:pt>
                <c:pt idx="478">
                  <c:v>616595.00186148309</c:v>
                </c:pt>
                <c:pt idx="479">
                  <c:v>630957.34448019415</c:v>
                </c:pt>
                <c:pt idx="480">
                  <c:v>645654.22903465747</c:v>
                </c:pt>
                <c:pt idx="481">
                  <c:v>660693.44800759677</c:v>
                </c:pt>
                <c:pt idx="482">
                  <c:v>676082.97539198259</c:v>
                </c:pt>
                <c:pt idx="483">
                  <c:v>691830.97091893724</c:v>
                </c:pt>
                <c:pt idx="484">
                  <c:v>707945.78438413853</c:v>
                </c:pt>
                <c:pt idx="485">
                  <c:v>724435.96007499192</c:v>
                </c:pt>
                <c:pt idx="486">
                  <c:v>741310.24130091805</c:v>
                </c:pt>
                <c:pt idx="487">
                  <c:v>758577.57502918423</c:v>
                </c:pt>
                <c:pt idx="488">
                  <c:v>776247.11662869214</c:v>
                </c:pt>
                <c:pt idx="489">
                  <c:v>794328.23472428333</c:v>
                </c:pt>
                <c:pt idx="490">
                  <c:v>812830.51616410096</c:v>
                </c:pt>
                <c:pt idx="491">
                  <c:v>831763.77110267128</c:v>
                </c:pt>
                <c:pt idx="492">
                  <c:v>851138.03820237669</c:v>
                </c:pt>
                <c:pt idx="493">
                  <c:v>870963.58995608077</c:v>
                </c:pt>
                <c:pt idx="494">
                  <c:v>891250.93813374708</c:v>
                </c:pt>
                <c:pt idx="495">
                  <c:v>912010.83935591124</c:v>
                </c:pt>
                <c:pt idx="496">
                  <c:v>933254.30079699249</c:v>
                </c:pt>
                <c:pt idx="497">
                  <c:v>954992.58602143743</c:v>
                </c:pt>
                <c:pt idx="498">
                  <c:v>977237.22095581202</c:v>
                </c:pt>
                <c:pt idx="499">
                  <c:v>1000000</c:v>
                </c:pt>
                <c:pt idx="500">
                  <c:v>1023292.9922807553</c:v>
                </c:pt>
                <c:pt idx="501">
                  <c:v>1047128.5480509007</c:v>
                </c:pt>
                <c:pt idx="502">
                  <c:v>1071519.3052376076</c:v>
                </c:pt>
                <c:pt idx="503">
                  <c:v>1096478.196143186</c:v>
                </c:pt>
                <c:pt idx="504">
                  <c:v>1122018.4543019643</c:v>
                </c:pt>
                <c:pt idx="505">
                  <c:v>1148153.6214968837</c:v>
                </c:pt>
                <c:pt idx="506">
                  <c:v>1174897.5549395324</c:v>
                </c:pt>
                <c:pt idx="507">
                  <c:v>1202264.4346174158</c:v>
                </c:pt>
                <c:pt idx="508">
                  <c:v>1230268.770812382</c:v>
                </c:pt>
                <c:pt idx="509">
                  <c:v>1258925.4117941677</c:v>
                </c:pt>
                <c:pt idx="510">
                  <c:v>1288249.5516931366</c:v>
                </c:pt>
                <c:pt idx="511">
                  <c:v>1318256.7385564097</c:v>
                </c:pt>
                <c:pt idx="512">
                  <c:v>1348962.8825916562</c:v>
                </c:pt>
                <c:pt idx="513">
                  <c:v>1380384.2646028849</c:v>
                </c:pt>
                <c:pt idx="514">
                  <c:v>1412537.5446227565</c:v>
                </c:pt>
                <c:pt idx="515">
                  <c:v>1445439.7707459298</c:v>
                </c:pt>
                <c:pt idx="516">
                  <c:v>1479108.3881682095</c:v>
                </c:pt>
                <c:pt idx="517">
                  <c:v>1513561.2484362102</c:v>
                </c:pt>
                <c:pt idx="518">
                  <c:v>1548816.6189124861</c:v>
                </c:pt>
                <c:pt idx="519">
                  <c:v>1584893.1924611153</c:v>
                </c:pt>
                <c:pt idx="520">
                  <c:v>1621810.0973589318</c:v>
                </c:pt>
                <c:pt idx="521">
                  <c:v>1659586.9074375622</c:v>
                </c:pt>
                <c:pt idx="522">
                  <c:v>1698243.6524617488</c:v>
                </c:pt>
                <c:pt idx="523">
                  <c:v>1737800.8287493798</c:v>
                </c:pt>
                <c:pt idx="524">
                  <c:v>1778279.4100389241</c:v>
                </c:pt>
                <c:pt idx="525">
                  <c:v>1819700.8586099846</c:v>
                </c:pt>
                <c:pt idx="526">
                  <c:v>1862087.1366628683</c:v>
                </c:pt>
                <c:pt idx="527">
                  <c:v>1905460.7179632513</c:v>
                </c:pt>
                <c:pt idx="528">
                  <c:v>1949844.5997580495</c:v>
                </c:pt>
                <c:pt idx="529">
                  <c:v>1995262.31496888</c:v>
                </c:pt>
                <c:pt idx="530">
                  <c:v>2041737.9446695296</c:v>
                </c:pt>
                <c:pt idx="531">
                  <c:v>2089296.1308540432</c:v>
                </c:pt>
                <c:pt idx="532">
                  <c:v>2137962.0895022359</c:v>
                </c:pt>
                <c:pt idx="533">
                  <c:v>2187761.6239495561</c:v>
                </c:pt>
                <c:pt idx="534">
                  <c:v>2238721.1385683389</c:v>
                </c:pt>
                <c:pt idx="535">
                  <c:v>2290867.6527677765</c:v>
                </c:pt>
                <c:pt idx="536">
                  <c:v>2344228.8153199251</c:v>
                </c:pt>
                <c:pt idx="537">
                  <c:v>2398832.9190194933</c:v>
                </c:pt>
                <c:pt idx="538">
                  <c:v>2454708.915685033</c:v>
                </c:pt>
                <c:pt idx="539">
                  <c:v>2511886.431509587</c:v>
                </c:pt>
                <c:pt idx="540">
                  <c:v>2570395.782768866</c:v>
                </c:pt>
                <c:pt idx="541">
                  <c:v>2630267.9918953842</c:v>
                </c:pt>
              </c:numCache>
            </c:numRef>
          </c:xVal>
          <c:yVal>
            <c:numRef>
              <c:f>Loop_Modeling!$BG$19:$BG$560</c:f>
              <c:numCache>
                <c:formatCode>0.000</c:formatCode>
                <c:ptCount val="542"/>
                <c:pt idx="0">
                  <c:v>66.55501516589257</c:v>
                </c:pt>
                <c:pt idx="1">
                  <c:v>66.354822898689534</c:v>
                </c:pt>
                <c:pt idx="2">
                  <c:v>66.154621580444484</c:v>
                </c:pt>
                <c:pt idx="3">
                  <c:v>65.954410785580947</c:v>
                </c:pt>
                <c:pt idx="4">
                  <c:v>65.754190068560817</c:v>
                </c:pt>
                <c:pt idx="5">
                  <c:v>65.553958962952223</c:v>
                </c:pt>
                <c:pt idx="6">
                  <c:v>65.353716980455545</c:v>
                </c:pt>
                <c:pt idx="7">
                  <c:v>65.153463609883019</c:v>
                </c:pt>
                <c:pt idx="8">
                  <c:v>64.953198316092823</c:v>
                </c:pt>
                <c:pt idx="9">
                  <c:v>64.752920538872729</c:v>
                </c:pt>
                <c:pt idx="10">
                  <c:v>64.552629691773461</c:v>
                </c:pt>
                <c:pt idx="11">
                  <c:v>64.352325160887915</c:v>
                </c:pt>
                <c:pt idx="12">
                  <c:v>64.152006303574211</c:v>
                </c:pt>
                <c:pt idx="13">
                  <c:v>63.951672447120835</c:v>
                </c:pt>
                <c:pt idx="14">
                  <c:v>63.751322887350319</c:v>
                </c:pt>
                <c:pt idx="15">
                  <c:v>63.55095688715879</c:v>
                </c:pt>
                <c:pt idx="16">
                  <c:v>63.350573674989747</c:v>
                </c:pt>
                <c:pt idx="17">
                  <c:v>63.150172443237444</c:v>
                </c:pt>
                <c:pt idx="18">
                  <c:v>62.949752346578023</c:v>
                </c:pt>
                <c:pt idx="19">
                  <c:v>62.749312500225315</c:v>
                </c:pt>
                <c:pt idx="20">
                  <c:v>62.548851978106406</c:v>
                </c:pt>
                <c:pt idx="21">
                  <c:v>62.348369810955894</c:v>
                </c:pt>
                <c:pt idx="22">
                  <c:v>62.147864984323846</c:v>
                </c:pt>
                <c:pt idx="23">
                  <c:v>61.947336436493146</c:v>
                </c:pt>
                <c:pt idx="24">
                  <c:v>61.746783056304409</c:v>
                </c:pt>
                <c:pt idx="25">
                  <c:v>61.546203680882677</c:v>
                </c:pt>
                <c:pt idx="26">
                  <c:v>61.34559709326269</c:v>
                </c:pt>
                <c:pt idx="27">
                  <c:v>61.144962019907716</c:v>
                </c:pt>
                <c:pt idx="28">
                  <c:v>60.944297128118841</c:v>
                </c:pt>
                <c:pt idx="29">
                  <c:v>60.743601023328736</c:v>
                </c:pt>
                <c:pt idx="30">
                  <c:v>60.542872246275287</c:v>
                </c:pt>
                <c:pt idx="31">
                  <c:v>60.342109270051701</c:v>
                </c:pt>
                <c:pt idx="32">
                  <c:v>60.141310497026069</c:v>
                </c:pt>
                <c:pt idx="33">
                  <c:v>59.940474255626206</c:v>
                </c:pt>
                <c:pt idx="34">
                  <c:v>59.739598796984424</c:v>
                </c:pt>
                <c:pt idx="35">
                  <c:v>59.538682291436245</c:v>
                </c:pt>
                <c:pt idx="36">
                  <c:v>59.337722824867399</c:v>
                </c:pt>
                <c:pt idx="37">
                  <c:v>59.136718394904037</c:v>
                </c:pt>
                <c:pt idx="38">
                  <c:v>58.935666906938522</c:v>
                </c:pt>
                <c:pt idx="39">
                  <c:v>58.734566169986167</c:v>
                </c:pt>
                <c:pt idx="40">
                  <c:v>58.53341389236607</c:v>
                </c:pt>
                <c:pt idx="41">
                  <c:v>58.332207677198589</c:v>
                </c:pt>
                <c:pt idx="42">
                  <c:v>58.130945017714822</c:v>
                </c:pt>
                <c:pt idx="43">
                  <c:v>57.929623292369044</c:v>
                </c:pt>
                <c:pt idx="44">
                  <c:v>57.728239759749052</c:v>
                </c:pt>
                <c:pt idx="45">
                  <c:v>57.52679155327673</c:v>
                </c:pt>
                <c:pt idx="46">
                  <c:v>57.325275675690889</c:v>
                </c:pt>
                <c:pt idx="47">
                  <c:v>57.123688993307027</c:v>
                </c:pt>
                <c:pt idx="48">
                  <c:v>56.9220282300451</c:v>
                </c:pt>
                <c:pt idx="49">
                  <c:v>56.720289961219009</c:v>
                </c:pt>
                <c:pt idx="50">
                  <c:v>56.518470607079763</c:v>
                </c:pt>
                <c:pt idx="51">
                  <c:v>56.316566426105979</c:v>
                </c:pt>
                <c:pt idx="52">
                  <c:v>56.114573508033629</c:v>
                </c:pt>
                <c:pt idx="53">
                  <c:v>55.912487766617943</c:v>
                </c:pt>
                <c:pt idx="54">
                  <c:v>55.710304932120913</c:v>
                </c:pt>
                <c:pt idx="55">
                  <c:v>55.508020543517318</c:v>
                </c:pt>
                <c:pt idx="56">
                  <c:v>55.305629940411826</c:v>
                </c:pt>
                <c:pt idx="57">
                  <c:v>55.103128254662359</c:v>
                </c:pt>
                <c:pt idx="58">
                  <c:v>54.900510401701304</c:v>
                </c:pt>
                <c:pt idx="59">
                  <c:v>54.697771071551109</c:v>
                </c:pt>
                <c:pt idx="60">
                  <c:v>54.494904719527796</c:v>
                </c:pt>
                <c:pt idx="61">
                  <c:v>54.29190555662737</c:v>
                </c:pt>
                <c:pt idx="62">
                  <c:v>54.088767539591871</c:v>
                </c:pt>
                <c:pt idx="63">
                  <c:v>53.885484360651148</c:v>
                </c:pt>
                <c:pt idx="64">
                  <c:v>53.682049436937717</c:v>
                </c:pt>
                <c:pt idx="65">
                  <c:v>53.478455899573092</c:v>
                </c:pt>
                <c:pt idx="66">
                  <c:v>53.274696582425477</c:v>
                </c:pt>
                <c:pt idx="67">
                  <c:v>53.070764010538241</c:v>
                </c:pt>
                <c:pt idx="68">
                  <c:v>52.8666503882326</c:v>
                </c:pt>
                <c:pt idx="69">
                  <c:v>52.662347586886568</c:v>
                </c:pt>
                <c:pt idx="70">
                  <c:v>52.457847132395862</c:v>
                </c:pt>
                <c:pt idx="71">
                  <c:v>52.253140192323698</c:v>
                </c:pt>
                <c:pt idx="72">
                  <c:v>52.048217562748576</c:v>
                </c:pt>
                <c:pt idx="73">
                  <c:v>51.843069654819587</c:v>
                </c:pt>
                <c:pt idx="74">
                  <c:v>51.637686481035878</c:v>
                </c:pt>
                <c:pt idx="75">
                  <c:v>51.432057641263583</c:v>
                </c:pt>
                <c:pt idx="76">
                  <c:v>51.226172308510776</c:v>
                </c:pt>
                <c:pt idx="77">
                  <c:v>51.020019214482978</c:v>
                </c:pt>
                <c:pt idx="78">
                  <c:v>50.813586634944699</c:v>
                </c:pt>
                <c:pt idx="79">
                  <c:v>50.606862374916503</c:v>
                </c:pt>
                <c:pt idx="80">
                  <c:v>50.399833753741554</c:v>
                </c:pt>
                <c:pt idx="81">
                  <c:v>50.192487590059443</c:v>
                </c:pt>
                <c:pt idx="82">
                  <c:v>49.98481018673003</c:v>
                </c:pt>
                <c:pt idx="83">
                  <c:v>49.776787315755094</c:v>
                </c:pt>
                <c:pt idx="84">
                  <c:v>49.568404203250431</c:v>
                </c:pt>
                <c:pt idx="85">
                  <c:v>49.35964551452809</c:v>
                </c:pt>
                <c:pt idx="86">
                  <c:v>49.150495339351814</c:v>
                </c:pt>
                <c:pt idx="87">
                  <c:v>48.940937177438677</c:v>
                </c:pt>
                <c:pt idx="88">
                  <c:v>48.730953924283746</c:v>
                </c:pt>
                <c:pt idx="89">
                  <c:v>48.520527857392437</c:v>
                </c:pt>
                <c:pt idx="90">
                  <c:v>48.309640623013635</c:v>
                </c:pt>
                <c:pt idx="91">
                  <c:v>48.098273223473129</c:v>
                </c:pt>
                <c:pt idx="92">
                  <c:v>47.886406005214859</c:v>
                </c:pt>
                <c:pt idx="93">
                  <c:v>47.674018647666557</c:v>
                </c:pt>
                <c:pt idx="94">
                  <c:v>47.461090153054037</c:v>
                </c:pt>
                <c:pt idx="95">
                  <c:v>47.247598837296501</c:v>
                </c:pt>
                <c:pt idx="96">
                  <c:v>47.03352232212567</c:v>
                </c:pt>
                <c:pt idx="97">
                  <c:v>46.818837528577156</c:v>
                </c:pt>
                <c:pt idx="98">
                  <c:v>46.603520672014312</c:v>
                </c:pt>
                <c:pt idx="99">
                  <c:v>46.387547258850852</c:v>
                </c:pt>
                <c:pt idx="100">
                  <c:v>46.170892085148161</c:v>
                </c:pt>
                <c:pt idx="101">
                  <c:v>45.953529237269152</c:v>
                </c:pt>
                <c:pt idx="102">
                  <c:v>45.735432094781032</c:v>
                </c:pt>
                <c:pt idx="103">
                  <c:v>45.516573335802299</c:v>
                </c:pt>
                <c:pt idx="104">
                  <c:v>45.296924944997301</c:v>
                </c:pt>
                <c:pt idx="105">
                  <c:v>45.076458224426844</c:v>
                </c:pt>
                <c:pt idx="106">
                  <c:v>44.855143807465595</c:v>
                </c:pt>
                <c:pt idx="107">
                  <c:v>44.632951676000019</c:v>
                </c:pt>
                <c:pt idx="108">
                  <c:v>44.40985118112286</c:v>
                </c:pt>
                <c:pt idx="109">
                  <c:v>44.185811067536079</c:v>
                </c:pt>
                <c:pt idx="110">
                  <c:v>43.960799501875357</c:v>
                </c:pt>
                <c:pt idx="111">
                  <c:v>43.734784105160351</c:v>
                </c:pt>
                <c:pt idx="112">
                  <c:v>43.507731989570161</c:v>
                </c:pt>
                <c:pt idx="113">
                  <c:v>43.279609799732356</c:v>
                </c:pt>
                <c:pt idx="114">
                  <c:v>43.050383758701201</c:v>
                </c:pt>
                <c:pt idx="115">
                  <c:v>42.820019718784295</c:v>
                </c:pt>
                <c:pt idx="116">
                  <c:v>42.58848321735934</c:v>
                </c:pt>
                <c:pt idx="117">
                  <c:v>42.355739537798627</c:v>
                </c:pt>
                <c:pt idx="118">
                  <c:v>42.121753775594499</c:v>
                </c:pt>
                <c:pt idx="119">
                  <c:v>41.886490909749121</c:v>
                </c:pt>
                <c:pt idx="120">
                  <c:v>41.649915879459904</c:v>
                </c:pt>
                <c:pt idx="121">
                  <c:v>41.411993666094503</c:v>
                </c:pt>
                <c:pt idx="122">
                  <c:v>41.17268938041191</c:v>
                </c:pt>
                <c:pt idx="123">
                  <c:v>40.931968354941219</c:v>
                </c:pt>
                <c:pt idx="124">
                  <c:v>40.689796241385963</c:v>
                </c:pt>
                <c:pt idx="125">
                  <c:v>40.446139112872395</c:v>
                </c:pt>
                <c:pt idx="126">
                  <c:v>40.200963570810273</c:v>
                </c:pt>
                <c:pt idx="127">
                  <c:v>39.954236856081899</c:v>
                </c:pt>
                <c:pt idx="128">
                  <c:v>39.705926964222556</c:v>
                </c:pt>
                <c:pt idx="129">
                  <c:v>39.45600276419902</c:v>
                </c:pt>
                <c:pt idx="130">
                  <c:v>39.204434120343265</c:v>
                </c:pt>
                <c:pt idx="131">
                  <c:v>38.951192016939025</c:v>
                </c:pt>
                <c:pt idx="132">
                  <c:v>38.696248684914089</c:v>
                </c:pt>
                <c:pt idx="133">
                  <c:v>38.4395777300359</c:v>
                </c:pt>
                <c:pt idx="134">
                  <c:v>38.181154261967684</c:v>
                </c:pt>
                <c:pt idx="135">
                  <c:v>37.920955023497704</c:v>
                </c:pt>
                <c:pt idx="136">
                  <c:v>37.658958519219127</c:v>
                </c:pt>
                <c:pt idx="137">
                  <c:v>37.395145142908788</c:v>
                </c:pt>
                <c:pt idx="138">
                  <c:v>37.129497302828554</c:v>
                </c:pt>
                <c:pt idx="139">
                  <c:v>36.861999544158778</c:v>
                </c:pt>
                <c:pt idx="140">
                  <c:v>36.592638667763978</c:v>
                </c:pt>
                <c:pt idx="141">
                  <c:v>36.321403844495102</c:v>
                </c:pt>
                <c:pt idx="142">
                  <c:v>36.04828672423924</c:v>
                </c:pt>
                <c:pt idx="143">
                  <c:v>35.773281538951515</c:v>
                </c:pt>
                <c:pt idx="144">
                  <c:v>35.496385198927918</c:v>
                </c:pt>
                <c:pt idx="145">
                  <c:v>35.217597381620593</c:v>
                </c:pt>
                <c:pt idx="146">
                  <c:v>34.936920612340153</c:v>
                </c:pt>
                <c:pt idx="147">
                  <c:v>34.654360336246661</c:v>
                </c:pt>
                <c:pt idx="148">
                  <c:v>34.369924981092822</c:v>
                </c:pt>
                <c:pt idx="149">
                  <c:v>34.083626010251912</c:v>
                </c:pt>
                <c:pt idx="150">
                  <c:v>33.795477965638888</c:v>
                </c:pt>
                <c:pt idx="151">
                  <c:v>33.505498500211587</c:v>
                </c:pt>
                <c:pt idx="152">
                  <c:v>33.213708399822089</c:v>
                </c:pt>
                <c:pt idx="153">
                  <c:v>32.920131594273123</c:v>
                </c:pt>
                <c:pt idx="154">
                  <c:v>32.624795157519124</c:v>
                </c:pt>
                <c:pt idx="155">
                  <c:v>32.327729297035795</c:v>
                </c:pt>
                <c:pt idx="156">
                  <c:v>32.028967332464582</c:v>
                </c:pt>
                <c:pt idx="157">
                  <c:v>31.728545663716901</c:v>
                </c:pt>
                <c:pt idx="158">
                  <c:v>31.426503728795005</c:v>
                </c:pt>
                <c:pt idx="159">
                  <c:v>31.122883951657002</c:v>
                </c:pt>
                <c:pt idx="160">
                  <c:v>30.817731680510811</c:v>
                </c:pt>
                <c:pt idx="161">
                  <c:v>30.511095116979575</c:v>
                </c:pt>
                <c:pt idx="162">
                  <c:v>30.203025236619734</c:v>
                </c:pt>
                <c:pt idx="163">
                  <c:v>29.893575701316536</c:v>
                </c:pt>
                <c:pt idx="164">
                  <c:v>29.58280276410116</c:v>
                </c:pt>
                <c:pt idx="165">
                  <c:v>29.270765166958952</c:v>
                </c:pt>
                <c:pt idx="166">
                  <c:v>28.957524032202592</c:v>
                </c:pt>
                <c:pt idx="167">
                  <c:v>28.643142747987064</c:v>
                </c:pt>
                <c:pt idx="168">
                  <c:v>28.327686848537226</c:v>
                </c:pt>
                <c:pt idx="169">
                  <c:v>28.011223889642114</c:v>
                </c:pt>
                <c:pt idx="170">
                  <c:v>27.693823319952497</c:v>
                </c:pt>
                <c:pt idx="171">
                  <c:v>27.375556348589726</c:v>
                </c:pt>
                <c:pt idx="172">
                  <c:v>27.056495809546174</c:v>
                </c:pt>
                <c:pt idx="173">
                  <c:v>26.736716023319474</c:v>
                </c:pt>
                <c:pt idx="174">
                  <c:v>26.416292656193377</c:v>
                </c:pt>
                <c:pt idx="175">
                  <c:v>26.095302577532856</c:v>
                </c:pt>
                <c:pt idx="176">
                  <c:v>25.773823715431131</c:v>
                </c:pt>
                <c:pt idx="177">
                  <c:v>25.45193491100467</c:v>
                </c:pt>
                <c:pt idx="178">
                  <c:v>25.129715771602299</c:v>
                </c:pt>
                <c:pt idx="179">
                  <c:v>24.807246523158774</c:v>
                </c:pt>
                <c:pt idx="180">
                  <c:v>24.48460786189974</c:v>
                </c:pt>
                <c:pt idx="181">
                  <c:v>24.161880805580438</c:v>
                </c:pt>
                <c:pt idx="182">
                  <c:v>23.839146544420355</c:v>
                </c:pt>
                <c:pt idx="183">
                  <c:v>23.516486291887631</c:v>
                </c:pt>
                <c:pt idx="184">
                  <c:v>23.19398113547723</c:v>
                </c:pt>
                <c:pt idx="185">
                  <c:v>22.871711887627342</c:v>
                </c:pt>
                <c:pt idx="186">
                  <c:v>22.549758936922363</c:v>
                </c:pt>
                <c:pt idx="187">
                  <c:v>22.228202099745825</c:v>
                </c:pt>
                <c:pt idx="188">
                  <c:v>21.907120472558375</c:v>
                </c:pt>
                <c:pt idx="189">
                  <c:v>21.586592285001103</c:v>
                </c:pt>
                <c:pt idx="190">
                  <c:v>21.266694754050476</c:v>
                </c:pt>
                <c:pt idx="191">
                  <c:v>20.947503939480928</c:v>
                </c:pt>
                <c:pt idx="192">
                  <c:v>20.629094600925786</c:v>
                </c:pt>
                <c:pt idx="193">
                  <c:v>20.311540056861741</c:v>
                </c:pt>
                <c:pt idx="194">
                  <c:v>19.994912045880806</c:v>
                </c:pt>
                <c:pt idx="195">
                  <c:v>19.679280590649896</c:v>
                </c:pt>
                <c:pt idx="196">
                  <c:v>19.364713864994997</c:v>
                </c:pt>
                <c:pt idx="197">
                  <c:v>19.051278064581282</c:v>
                </c:pt>
                <c:pt idx="198">
                  <c:v>18.739037281692504</c:v>
                </c:pt>
                <c:pt idx="199">
                  <c:v>18.428053384638751</c:v>
                </c:pt>
                <c:pt idx="200">
                  <c:v>18.11838590234569</c:v>
                </c:pt>
                <c:pt idx="201">
                  <c:v>17.810091914691803</c:v>
                </c:pt>
                <c:pt idx="202">
                  <c:v>17.503225949171156</c:v>
                </c:pt>
                <c:pt idx="203">
                  <c:v>17.197839884458439</c:v>
                </c:pt>
                <c:pt idx="204">
                  <c:v>16.893982861446929</c:v>
                </c:pt>
                <c:pt idx="205">
                  <c:v>16.591701202313239</c:v>
                </c:pt>
                <c:pt idx="206">
                  <c:v>16.291038338138581</c:v>
                </c:pt>
                <c:pt idx="207">
                  <c:v>15.992034745580266</c:v>
                </c:pt>
                <c:pt idx="208">
                  <c:v>15.694727893048285</c:v>
                </c:pt>
                <c:pt idx="209">
                  <c:v>15.399152196786074</c:v>
                </c:pt>
                <c:pt idx="210">
                  <c:v>15.105338987198685</c:v>
                </c:pt>
                <c:pt idx="211">
                  <c:v>14.813316485705037</c:v>
                </c:pt>
                <c:pt idx="212">
                  <c:v>14.523109792317134</c:v>
                </c:pt>
                <c:pt idx="213">
                  <c:v>14.234740884073622</c:v>
                </c:pt>
                <c:pt idx="214">
                  <c:v>13.948228624372858</c:v>
                </c:pt>
                <c:pt idx="215">
                  <c:v>13.66358878316664</c:v>
                </c:pt>
                <c:pt idx="216">
                  <c:v>13.38083406789249</c:v>
                </c:pt>
                <c:pt idx="217">
                  <c:v>13.09997416493408</c:v>
                </c:pt>
                <c:pt idx="218">
                  <c:v>12.821015791320637</c:v>
                </c:pt>
                <c:pt idx="219">
                  <c:v>12.543962756291902</c:v>
                </c:pt>
                <c:pt idx="220">
                  <c:v>12.26881603228161</c:v>
                </c:pt>
                <c:pt idx="221">
                  <c:v>11.995573834800435</c:v>
                </c:pt>
                <c:pt idx="222">
                  <c:v>11.724231710635834</c:v>
                </c:pt>
                <c:pt idx="223">
                  <c:v>11.454782633729019</c:v>
                </c:pt>
                <c:pt idx="224">
                  <c:v>11.187217108040636</c:v>
                </c:pt>
                <c:pt idx="225">
                  <c:v>10.92152327667679</c:v>
                </c:pt>
                <c:pt idx="226">
                  <c:v>10.657687036515505</c:v>
                </c:pt>
                <c:pt idx="227">
                  <c:v>10.39569215755259</c:v>
                </c:pt>
                <c:pt idx="228">
                  <c:v>10.135520406173601</c:v>
                </c:pt>
                <c:pt idx="229">
                  <c:v>9.8771516715535217</c:v>
                </c:pt>
                <c:pt idx="230">
                  <c:v>9.6205640943941653</c:v>
                </c:pt>
                <c:pt idx="231">
                  <c:v>9.3657341972195471</c:v>
                </c:pt>
                <c:pt idx="232">
                  <c:v>9.1126370154735117</c:v>
                </c:pt>
                <c:pt idx="233">
                  <c:v>8.8612462286917903</c:v>
                </c:pt>
                <c:pt idx="234">
                  <c:v>8.6115342910538875</c:v>
                </c:pt>
                <c:pt idx="235">
                  <c:v>8.3634725606625544</c:v>
                </c:pt>
                <c:pt idx="236">
                  <c:v>8.1170314269408834</c:v>
                </c:pt>
                <c:pt idx="237">
                  <c:v>7.872180435587314</c:v>
                </c:pt>
                <c:pt idx="238">
                  <c:v>7.6288884105785968</c:v>
                </c:pt>
                <c:pt idx="239">
                  <c:v>7.3871235727627305</c:v>
                </c:pt>
                <c:pt idx="240">
                  <c:v>7.1468536546405073</c:v>
                </c:pt>
                <c:pt idx="241">
                  <c:v>6.9080460109847888</c:v>
                </c:pt>
                <c:pt idx="242">
                  <c:v>6.6706677250027813</c:v>
                </c:pt>
                <c:pt idx="243">
                  <c:v>6.4346857097983161</c:v>
                </c:pt>
                <c:pt idx="244">
                  <c:v>6.2000668049409438</c:v>
                </c:pt>
                <c:pt idx="245">
                  <c:v>5.9667778679983154</c:v>
                </c:pt>
                <c:pt idx="246">
                  <c:v>5.7347858609344406</c:v>
                </c:pt>
                <c:pt idx="247">
                  <c:v>5.5040579313179911</c:v>
                </c:pt>
                <c:pt idx="248">
                  <c:v>5.2745614883262579</c:v>
                </c:pt>
                <c:pt idx="249">
                  <c:v>5.0462642735654768</c:v>
                </c:pt>
                <c:pt idx="250">
                  <c:v>4.8191344267627034</c:v>
                </c:pt>
                <c:pt idx="251">
                  <c:v>4.593140546411937</c:v>
                </c:pt>
                <c:pt idx="252">
                  <c:v>4.3682517454850878</c:v>
                </c:pt>
                <c:pt idx="253">
                  <c:v>4.1444377023393146</c:v>
                </c:pt>
                <c:pt idx="254">
                  <c:v>3.9216687069709892</c:v>
                </c:pt>
                <c:pt idx="255">
                  <c:v>3.6999157027842253</c:v>
                </c:pt>
                <c:pt idx="256">
                  <c:v>3.4791503240531356</c:v>
                </c:pt>
                <c:pt idx="257">
                  <c:v>3.2593449292641314</c:v>
                </c:pt>
                <c:pt idx="258">
                  <c:v>3.0404726305379914</c:v>
                </c:pt>
                <c:pt idx="259">
                  <c:v>2.8225073193281376</c:v>
                </c:pt>
                <c:pt idx="260">
                  <c:v>2.605423688598012</c:v>
                </c:pt>
                <c:pt idx="261">
                  <c:v>2.3891972516804967</c:v>
                </c:pt>
                <c:pt idx="262">
                  <c:v>2.1738043580164974</c:v>
                </c:pt>
                <c:pt idx="263">
                  <c:v>1.9592222059697502</c:v>
                </c:pt>
                <c:pt idx="264">
                  <c:v>1.7454288529073103</c:v>
                </c:pt>
                <c:pt idx="265">
                  <c:v>1.5324032227292008</c:v>
                </c:pt>
                <c:pt idx="266">
                  <c:v>1.3201251110216738</c:v>
                </c:pt>
                <c:pt idx="267">
                  <c:v>1.1085751880008505</c:v>
                </c:pt>
                <c:pt idx="268">
                  <c:v>0.89773499940306212</c:v>
                </c:pt>
                <c:pt idx="269">
                  <c:v>0.68758696546599074</c:v>
                </c:pt>
                <c:pt idx="270">
                  <c:v>0.47811437813658475</c:v>
                </c:pt>
                <c:pt idx="271">
                  <c:v>0.26930139662740776</c:v>
                </c:pt>
                <c:pt idx="272">
                  <c:v>6.1133041430922332E-2</c:v>
                </c:pt>
                <c:pt idx="273">
                  <c:v>-0.14640481311010659</c:v>
                </c:pt>
                <c:pt idx="274">
                  <c:v>-0.35332544759012846</c:v>
                </c:pt>
                <c:pt idx="275">
                  <c:v>-0.55964130761636854</c:v>
                </c:pt>
                <c:pt idx="276">
                  <c:v>-0.76536401511147067</c:v>
                </c:pt>
                <c:pt idx="277">
                  <c:v>-0.97050438079904644</c:v>
                </c:pt>
                <c:pt idx="278">
                  <c:v>-1.175072417837316</c:v>
                </c:pt>
                <c:pt idx="279">
                  <c:v>-1.3790773565836107</c:v>
                </c:pt>
                <c:pt idx="280">
                  <c:v>-1.5825276604804783</c:v>
                </c:pt>
                <c:pt idx="281">
                  <c:v>-1.7854310430710549</c:v>
                </c:pt>
                <c:pt idx="282">
                  <c:v>-1.9877944861616894</c:v>
                </c:pt>
                <c:pt idx="283">
                  <c:v>-2.1896242591635007</c:v>
                </c:pt>
                <c:pt idx="284">
                  <c:v>-2.3909259396554865</c:v>
                </c:pt>
                <c:pt idx="285">
                  <c:v>-2.591704435225564</c:v>
                </c:pt>
                <c:pt idx="286">
                  <c:v>-2.7919640066562517</c:v>
                </c:pt>
                <c:pt idx="287">
                  <c:v>-2.9917082925324294</c:v>
                </c:pt>
                <c:pt idx="288">
                  <c:v>-3.1909403353615873</c:v>
                </c:pt>
                <c:pt idx="289">
                  <c:v>-3.3896626093050553</c:v>
                </c:pt>
                <c:pt idx="290">
                  <c:v>-3.5878770496290779</c:v>
                </c:pt>
                <c:pt idx="291">
                  <c:v>-3.7855850839940812</c:v>
                </c:pt>
                <c:pt idx="292">
                  <c:v>-3.9827876657078196</c:v>
                </c:pt>
                <c:pt idx="293">
                  <c:v>-4.1794853090767194</c:v>
                </c:pt>
                <c:pt idx="294">
                  <c:v>-4.3756781269926526</c:v>
                </c:pt>
                <c:pt idx="295">
                  <c:v>-4.5713658709032376</c:v>
                </c:pt>
                <c:pt idx="296">
                  <c:v>-4.7665479733101863</c:v>
                </c:pt>
                <c:pt idx="297">
                  <c:v>-4.9612235929494481</c:v>
                </c:pt>
                <c:pt idx="298">
                  <c:v>-5.1553916628018719</c:v>
                </c:pt>
                <c:pt idx="299">
                  <c:v>-5.3490509410854559</c:v>
                </c:pt>
                <c:pt idx="300">
                  <c:v>-5.542200065374697</c:v>
                </c:pt>
                <c:pt idx="301">
                  <c:v>-5.7348376099887899</c:v>
                </c:pt>
                <c:pt idx="302">
                  <c:v>-5.9269621467798936</c:v>
                </c:pt>
                <c:pt idx="303">
                  <c:v>-6.1185723094447724</c:v>
                </c:pt>
                <c:pt idx="304">
                  <c:v>-6.3096668614665656</c:v>
                </c:pt>
                <c:pt idx="305">
                  <c:v>-6.500244767779372</c:v>
                </c:pt>
                <c:pt idx="306">
                  <c:v>-6.6903052702260446</c:v>
                </c:pt>
                <c:pt idx="307">
                  <c:v>-6.8798479668573433</c:v>
                </c:pt>
                <c:pt idx="308">
                  <c:v>-7.0688728950936213</c:v>
                </c:pt>
                <c:pt idx="309">
                  <c:v>-7.2573806187382406</c:v>
                </c:pt>
                <c:pt idx="310">
                  <c:v>-7.4453723187981851</c:v>
                </c:pt>
                <c:pt idx="311">
                  <c:v>-7.6328498880288294</c:v>
                </c:pt>
                <c:pt idx="312">
                  <c:v>-7.8198160290770504</c:v>
                </c:pt>
                <c:pt idx="313">
                  <c:v>-8.0062743560507084</c:v>
                </c:pt>
                <c:pt idx="314">
                  <c:v>-8.1922294992931946</c:v>
                </c:pt>
                <c:pt idx="315">
                  <c:v>-8.3776872130878726</c:v>
                </c:pt>
                <c:pt idx="316">
                  <c:v>-8.5626544859619091</c:v>
                </c:pt>
                <c:pt idx="317">
                  <c:v>-8.7471396531993069</c:v>
                </c:pt>
                <c:pt idx="318">
                  <c:v>-8.9311525111106285</c:v>
                </c:pt>
                <c:pt idx="319">
                  <c:v>-9.1147044325469988</c:v>
                </c:pt>
                <c:pt idx="320">
                  <c:v>-9.2978084830787697</c:v>
                </c:pt>
                <c:pt idx="321">
                  <c:v>-9.4804795371960253</c:v>
                </c:pt>
                <c:pt idx="322">
                  <c:v>-9.6627343938267725</c:v>
                </c:pt>
                <c:pt idx="323">
                  <c:v>-9.8445918904030449</c:v>
                </c:pt>
                <c:pt idx="324">
                  <c:v>-10.026073014649281</c:v>
                </c:pt>
                <c:pt idx="325">
                  <c:v>-10.20720101320855</c:v>
                </c:pt>
                <c:pt idx="326">
                  <c:v>-10.388001496176152</c:v>
                </c:pt>
                <c:pt idx="327">
                  <c:v>-10.568502536559389</c:v>
                </c:pt>
                <c:pt idx="328">
                  <c:v>-10.748734763650818</c:v>
                </c:pt>
                <c:pt idx="329">
                  <c:v>-10.928731449270092</c:v>
                </c:pt>
                <c:pt idx="330">
                  <c:v>-11.108528585811047</c:v>
                </c:pt>
                <c:pt idx="331">
                  <c:v>-11.288164955021712</c:v>
                </c:pt>
                <c:pt idx="332">
                  <c:v>-11.467682186449453</c:v>
                </c:pt>
                <c:pt idx="333">
                  <c:v>-11.647124804496677</c:v>
                </c:pt>
                <c:pt idx="334">
                  <c:v>-11.826540263062688</c:v>
                </c:pt>
                <c:pt idx="335">
                  <c:v>-12.005978966790549</c:v>
                </c:pt>
                <c:pt idx="336">
                  <c:v>-12.185494277990632</c:v>
                </c:pt>
                <c:pt idx="337">
                  <c:v>-12.365142508389091</c:v>
                </c:pt>
                <c:pt idx="338">
                  <c:v>-12.544982894927646</c:v>
                </c:pt>
                <c:pt idx="339">
                  <c:v>-12.72507755894469</c:v>
                </c:pt>
                <c:pt idx="340">
                  <c:v>-12.905491448175304</c:v>
                </c:pt>
                <c:pt idx="341">
                  <c:v>-13.086292261133611</c:v>
                </c:pt>
                <c:pt idx="342">
                  <c:v>-13.26755035357335</c:v>
                </c:pt>
                <c:pt idx="343">
                  <c:v>-13.44933862686721</c:v>
                </c:pt>
                <c:pt idx="344">
                  <c:v>-13.631732398297471</c:v>
                </c:pt>
                <c:pt idx="345">
                  <c:v>-13.81480925340702</c:v>
                </c:pt>
                <c:pt idx="346">
                  <c:v>-13.998648880723465</c:v>
                </c:pt>
                <c:pt idx="347">
                  <c:v>-14.183332889332149</c:v>
                </c:pt>
                <c:pt idx="348">
                  <c:v>-14.368944609936982</c:v>
                </c:pt>
                <c:pt idx="349">
                  <c:v>-14.55556888021308</c:v>
                </c:pt>
                <c:pt idx="350">
                  <c:v>-14.743291815407041</c:v>
                </c:pt>
                <c:pt idx="351">
                  <c:v>-14.932200565297084</c:v>
                </c:pt>
                <c:pt idx="352">
                  <c:v>-15.122383058760903</c:v>
                </c:pt>
                <c:pt idx="353">
                  <c:v>-15.313927737335591</c:v>
                </c:pt>
                <c:pt idx="354">
                  <c:v>-15.506923279266632</c:v>
                </c:pt>
                <c:pt idx="355">
                  <c:v>-15.701458315652934</c:v>
                </c:pt>
                <c:pt idx="356">
                  <c:v>-15.897621140375639</c:v>
                </c:pt>
                <c:pt idx="357">
                  <c:v>-16.095499415579347</c:v>
                </c:pt>
                <c:pt idx="358">
                  <c:v>-16.295179874517686</c:v>
                </c:pt>
                <c:pt idx="359">
                  <c:v>-16.496748023619354</c:v>
                </c:pt>
                <c:pt idx="360">
                  <c:v>-16.700287845643164</c:v>
                </c:pt>
                <c:pt idx="361">
                  <c:v>-16.90588150578812</c:v>
                </c:pt>
                <c:pt idx="362">
                  <c:v>-17.11360906260699</c:v>
                </c:pt>
                <c:pt idx="363">
                  <c:v>-17.323548185529823</c:v>
                </c:pt>
                <c:pt idx="364">
                  <c:v>-17.535773880749787</c:v>
                </c:pt>
                <c:pt idx="365">
                  <c:v>-17.750358227149896</c:v>
                </c:pt>
                <c:pt idx="366">
                  <c:v>-17.967370123861926</c:v>
                </c:pt>
                <c:pt idx="367">
                  <c:v>-18.186875050944607</c:v>
                </c:pt>
                <c:pt idx="368">
                  <c:v>-18.40893484455664</c:v>
                </c:pt>
                <c:pt idx="369">
                  <c:v>-18.633607487869018</c:v>
                </c:pt>
                <c:pt idx="370">
                  <c:v>-18.860946918829292</c:v>
                </c:pt>
                <c:pt idx="371">
                  <c:v>-19.091002855745501</c:v>
                </c:pt>
                <c:pt idx="372">
                  <c:v>-19.323820641505385</c:v>
                </c:pt>
                <c:pt idx="373">
                  <c:v>-19.559441107096017</c:v>
                </c:pt>
                <c:pt idx="374">
                  <c:v>-19.797900454929785</c:v>
                </c:pt>
                <c:pt idx="375">
                  <c:v>-20.039230162321857</c:v>
                </c:pt>
                <c:pt idx="376">
                  <c:v>-20.283456905314502</c:v>
                </c:pt>
                <c:pt idx="377">
                  <c:v>-20.53060250288091</c:v>
                </c:pt>
                <c:pt idx="378">
                  <c:v>-20.780683881392946</c:v>
                </c:pt>
                <c:pt idx="379">
                  <c:v>-21.03371305909414</c:v>
                </c:pt>
                <c:pt idx="380">
                  <c:v>-21.289697150175005</c:v>
                </c:pt>
                <c:pt idx="381">
                  <c:v>-21.548638387919393</c:v>
                </c:pt>
                <c:pt idx="382">
                  <c:v>-21.810534166268631</c:v>
                </c:pt>
                <c:pt idx="383">
                  <c:v>-22.075377099035755</c:v>
                </c:pt>
                <c:pt idx="384">
                  <c:v>-22.343155095903555</c:v>
                </c:pt>
                <c:pt idx="385">
                  <c:v>-22.613851454246685</c:v>
                </c:pt>
                <c:pt idx="386">
                  <c:v>-22.887444965745196</c:v>
                </c:pt>
                <c:pt idx="387">
                  <c:v>-23.163910036688407</c:v>
                </c:pt>
                <c:pt idx="388">
                  <c:v>-23.443216820817451</c:v>
                </c:pt>
                <c:pt idx="389">
                  <c:v>-23.725331363517057</c:v>
                </c:pt>
                <c:pt idx="390">
                  <c:v>-24.010215756140397</c:v>
                </c:pt>
                <c:pt idx="391">
                  <c:v>-24.297828299238308</c:v>
                </c:pt>
                <c:pt idx="392">
                  <c:v>-24.588123673466132</c:v>
                </c:pt>
                <c:pt idx="393">
                  <c:v>-24.881053116950788</c:v>
                </c:pt>
                <c:pt idx="394">
                  <c:v>-25.176564607926327</c:v>
                </c:pt>
                <c:pt idx="395">
                  <c:v>-25.474603051482635</c:v>
                </c:pt>
                <c:pt idx="396">
                  <c:v>-25.775110469311372</c:v>
                </c:pt>
                <c:pt idx="397">
                  <c:v>-26.078026191394208</c:v>
                </c:pt>
                <c:pt idx="398">
                  <c:v>-26.383287048635388</c:v>
                </c:pt>
                <c:pt idx="399">
                  <c:v>-26.690827565510595</c:v>
                </c:pt>
                <c:pt idx="400">
                  <c:v>-27.000580151882069</c:v>
                </c:pt>
                <c:pt idx="401">
                  <c:v>-27.312475293205488</c:v>
                </c:pt>
                <c:pt idx="402">
                  <c:v>-27.626441738440363</c:v>
                </c:pt>
                <c:pt idx="403">
                  <c:v>-27.942406685062</c:v>
                </c:pt>
                <c:pt idx="404">
                  <c:v>-28.260295960656094</c:v>
                </c:pt>
                <c:pt idx="405">
                  <c:v>-28.580034200670163</c:v>
                </c:pt>
                <c:pt idx="406">
                  <c:v>-28.901545021978524</c:v>
                </c:pt>
                <c:pt idx="407">
                  <c:v>-29.224751192001253</c:v>
                </c:pt>
                <c:pt idx="408">
                  <c:v>-29.549574793205107</c:v>
                </c:pt>
                <c:pt idx="409">
                  <c:v>-29.875937382884295</c:v>
                </c:pt>
                <c:pt idx="410">
                  <c:v>-30.203760148200402</c:v>
                </c:pt>
                <c:pt idx="411">
                  <c:v>-30.532964056522335</c:v>
                </c:pt>
                <c:pt idx="412">
                  <c:v>-30.863470001177475</c:v>
                </c:pt>
                <c:pt idx="413">
                  <c:v>-31.19519894277164</c:v>
                </c:pt>
                <c:pt idx="414">
                  <c:v>-31.528072046296856</c:v>
                </c:pt>
                <c:pt idx="415">
                  <c:v>-31.862010814276882</c:v>
                </c:pt>
                <c:pt idx="416">
                  <c:v>-32.196937216244244</c:v>
                </c:pt>
                <c:pt idx="417">
                  <c:v>-32.532773814864981</c:v>
                </c:pt>
                <c:pt idx="418">
                  <c:v>-32.869443889047169</c:v>
                </c:pt>
                <c:pt idx="419">
                  <c:v>-33.206871554383838</c:v>
                </c:pt>
                <c:pt idx="420">
                  <c:v>-33.544981881281608</c:v>
                </c:pt>
                <c:pt idx="421">
                  <c:v>-33.883701011121005</c:v>
                </c:pt>
                <c:pt idx="422">
                  <c:v>-34.222956270788117</c:v>
                </c:pt>
                <c:pt idx="423">
                  <c:v>-34.562676285890404</c:v>
                </c:pt>
                <c:pt idx="424">
                  <c:v>-34.902791092947332</c:v>
                </c:pt>
                <c:pt idx="425">
                  <c:v>-35.243232250810443</c:v>
                </c:pt>
                <c:pt idx="426">
                  <c:v>-35.583932951528226</c:v>
                </c:pt>
                <c:pt idx="427">
                  <c:v>-35.924828130820913</c:v>
                </c:pt>
                <c:pt idx="428">
                  <c:v>-36.265854578280923</c:v>
                </c:pt>
                <c:pt idx="429">
                  <c:v>-36.606951047355821</c:v>
                </c:pt>
                <c:pt idx="430">
                  <c:v>-36.94805836510583</c:v>
                </c:pt>
                <c:pt idx="431">
                  <c:v>-37.289119541665031</c:v>
                </c:pt>
                <c:pt idx="432">
                  <c:v>-37.630079879263164</c:v>
                </c:pt>
                <c:pt idx="433">
                  <c:v>-37.970887080596057</c:v>
                </c:pt>
                <c:pt idx="434">
                  <c:v>-38.311491356257299</c:v>
                </c:pt>
                <c:pt idx="435">
                  <c:v>-38.651845530874695</c:v>
                </c:pt>
                <c:pt idx="436">
                  <c:v>-38.991905147518381</c:v>
                </c:pt>
                <c:pt idx="437">
                  <c:v>-39.331628569883506</c:v>
                </c:pt>
                <c:pt idx="438">
                  <c:v>-39.670977081679005</c:v>
                </c:pt>
                <c:pt idx="439">
                  <c:v>-40.009914982594161</c:v>
                </c:pt>
                <c:pt idx="440">
                  <c:v>-40.348409680157921</c:v>
                </c:pt>
                <c:pt idx="441">
                  <c:v>-40.686431776755931</c:v>
                </c:pt>
                <c:pt idx="442">
                  <c:v>-41.023955151027884</c:v>
                </c:pt>
                <c:pt idx="443">
                  <c:v>-41.360957032834413</c:v>
                </c:pt>
                <c:pt idx="444">
                  <c:v>-41.697418070960985</c:v>
                </c:pt>
                <c:pt idx="445">
                  <c:v>-42.033322392711781</c:v>
                </c:pt>
                <c:pt idx="446">
                  <c:v>-42.368657654546865</c:v>
                </c:pt>
                <c:pt idx="447">
                  <c:v>-42.703415082925922</c:v>
                </c:pt>
                <c:pt idx="448">
                  <c:v>-43.037589504546261</c:v>
                </c:pt>
                <c:pt idx="449">
                  <c:v>-43.371179365197875</c:v>
                </c:pt>
                <c:pt idx="450">
                  <c:v>-43.704186736507779</c:v>
                </c:pt>
                <c:pt idx="451">
                  <c:v>-44.0366173099072</c:v>
                </c:pt>
                <c:pt idx="452">
                  <c:v>-44.368480377227762</c:v>
                </c:pt>
                <c:pt idx="453">
                  <c:v>-44.699788797418677</c:v>
                </c:pt>
                <c:pt idx="454">
                  <c:v>-45.030558948972285</c:v>
                </c:pt>
                <c:pt idx="455">
                  <c:v>-45.360810667750229</c:v>
                </c:pt>
                <c:pt idx="456">
                  <c:v>-45.690567170015434</c:v>
                </c:pt>
                <c:pt idx="457">
                  <c:v>-46.019854960599027</c:v>
                </c:pt>
                <c:pt idx="458">
                  <c:v>-46.348703726253163</c:v>
                </c:pt>
                <c:pt idx="459">
                  <c:v>-46.677146214374766</c:v>
                </c:pt>
                <c:pt idx="460">
                  <c:v>-47.005218097416623</c:v>
                </c:pt>
                <c:pt idx="461">
                  <c:v>-47.33295782343437</c:v>
                </c:pt>
                <c:pt idx="462">
                  <c:v>-47.660406453353517</c:v>
                </c:pt>
                <c:pt idx="463">
                  <c:v>-47.987607485663631</c:v>
                </c:pt>
                <c:pt idx="464">
                  <c:v>-48.314606669378989</c:v>
                </c:pt>
                <c:pt idx="465">
                  <c:v>-48.641451806215244</c:v>
                </c:pt>
                <c:pt idx="466">
                  <c:v>-48.968192543047728</c:v>
                </c:pt>
                <c:pt idx="467">
                  <c:v>-49.294880155812777</c:v>
                </c:pt>
                <c:pt idx="468">
                  <c:v>-49.621567326107382</c:v>
                </c:pt>
                <c:pt idx="469">
                  <c:v>-49.948307911816499</c:v>
                </c:pt>
                <c:pt idx="470">
                  <c:v>-50.275156713165686</c:v>
                </c:pt>
                <c:pt idx="471">
                  <c:v>-50.602169235642613</c:v>
                </c:pt>
                <c:pt idx="472">
                  <c:v>-50.929401451272923</c:v>
                </c:pt>
                <c:pt idx="473">
                  <c:v>-51.256909559753161</c:v>
                </c:pt>
                <c:pt idx="474">
                  <c:v>-51.584749750950991</c:v>
                </c:pt>
                <c:pt idx="475">
                  <c:v>-51.91297797026958</c:v>
                </c:pt>
                <c:pt idx="476">
                  <c:v>-52.241649688357811</c:v>
                </c:pt>
                <c:pt idx="477">
                  <c:v>-52.570819676592997</c:v>
                </c:pt>
                <c:pt idx="478">
                  <c:v>-52.900541789722382</c:v>
                </c:pt>
                <c:pt idx="479">
                  <c:v>-53.230868756972455</c:v>
                </c:pt>
                <c:pt idx="480">
                  <c:v>-53.561851982856453</c:v>
                </c:pt>
                <c:pt idx="481">
                  <c:v>-53.893541358816918</c:v>
                </c:pt>
                <c:pt idx="482">
                  <c:v>-54.225985086735456</c:v>
                </c:pt>
                <c:pt idx="483">
                  <c:v>-54.559229515227543</c:v>
                </c:pt>
                <c:pt idx="484">
                  <c:v>-54.893318989520878</c:v>
                </c:pt>
                <c:pt idx="485">
                  <c:v>-55.228295715583087</c:v>
                </c:pt>
                <c:pt idx="486">
                  <c:v>-55.564199639036843</c:v>
                </c:pt>
                <c:pt idx="487">
                  <c:v>-55.901068339262146</c:v>
                </c:pt>
                <c:pt idx="488">
                  <c:v>-56.238936938944939</c:v>
                </c:pt>
                <c:pt idx="489">
                  <c:v>-56.577838029203626</c:v>
                </c:pt>
                <c:pt idx="490">
                  <c:v>-56.917801610278609</c:v>
                </c:pt>
                <c:pt idx="491">
                  <c:v>-57.258855047651309</c:v>
                </c:pt>
                <c:pt idx="492">
                  <c:v>-57.601023043321973</c:v>
                </c:pt>
                <c:pt idx="493">
                  <c:v>-57.944327621868055</c:v>
                </c:pt>
                <c:pt idx="494">
                  <c:v>-58.288788130787744</c:v>
                </c:pt>
                <c:pt idx="495">
                  <c:v>-58.634421254532924</c:v>
                </c:pt>
                <c:pt idx="496">
                  <c:v>-58.981241041550348</c:v>
                </c:pt>
                <c:pt idx="497">
                  <c:v>-59.329258943562166</c:v>
                </c:pt>
                <c:pt idx="498">
                  <c:v>-59.678483866258404</c:v>
                </c:pt>
                <c:pt idx="499">
                  <c:v>-60.028922230509025</c:v>
                </c:pt>
                <c:pt idx="500">
                  <c:v>-60.380578043167581</c:v>
                </c:pt>
                <c:pt idx="501">
                  <c:v>-60.733452976501432</c:v>
                </c:pt>
                <c:pt idx="502">
                  <c:v>-61.087546455267301</c:v>
                </c:pt>
                <c:pt idx="503">
                  <c:v>-61.442855750440863</c:v>
                </c:pt>
                <c:pt idx="504">
                  <c:v>-61.799376078614131</c:v>
                </c:pt>
                <c:pt idx="505">
                  <c:v>-62.157100706084456</c:v>
                </c:pt>
                <c:pt idx="506">
                  <c:v>-62.51602105668529</c:v>
                </c:pt>
                <c:pt idx="507">
                  <c:v>-62.876126822436149</c:v>
                </c:pt>
                <c:pt idx="508">
                  <c:v>-63.237406076130654</c:v>
                </c:pt>
                <c:pt idx="509">
                  <c:v>-63.599845385023677</c:v>
                </c:pt>
                <c:pt idx="510">
                  <c:v>-63.963429924830997</c:v>
                </c:pt>
                <c:pt idx="511">
                  <c:v>-64.328143593307914</c:v>
                </c:pt>
                <c:pt idx="512">
                  <c:v>-64.693969122731687</c:v>
                </c:pt>
                <c:pt idx="513">
                  <c:v>-65.06088819067223</c:v>
                </c:pt>
                <c:pt idx="514">
                  <c:v>-65.428881528497143</c:v>
                </c:pt>
                <c:pt idx="515">
                  <c:v>-65.797929027117959</c:v>
                </c:pt>
                <c:pt idx="516">
                  <c:v>-66.168009839547153</c:v>
                </c:pt>
                <c:pt idx="517">
                  <c:v>-66.539102479894126</c:v>
                </c:pt>
                <c:pt idx="518">
                  <c:v>-66.91118491848836</c:v>
                </c:pt>
                <c:pt idx="519">
                  <c:v>-67.284234672872088</c:v>
                </c:pt>
                <c:pt idx="520">
                  <c:v>-67.658228894460976</c:v>
                </c:pt>
                <c:pt idx="521">
                  <c:v>-68.033144450718424</c:v>
                </c:pt>
                <c:pt idx="522">
                  <c:v>-68.408958002738814</c:v>
                </c:pt>
                <c:pt idx="523">
                  <c:v>-68.785646078176683</c:v>
                </c:pt>
                <c:pt idx="524">
                  <c:v>-69.163185139500158</c:v>
                </c:pt>
                <c:pt idx="525">
                  <c:v>-69.541551647579126</c:v>
                </c:pt>
                <c:pt idx="526">
                  <c:v>-69.920722120657373</c:v>
                </c:pt>
                <c:pt idx="527">
                  <c:v>-70.300673188778291</c:v>
                </c:pt>
                <c:pt idx="528">
                  <c:v>-70.681381643765292</c:v>
                </c:pt>
                <c:pt idx="529">
                  <c:v>-71.062824484876842</c:v>
                </c:pt>
                <c:pt idx="530">
                  <c:v>-71.444978960271769</c:v>
                </c:pt>
                <c:pt idx="531">
                  <c:v>-71.827822604440144</c:v>
                </c:pt>
                <c:pt idx="532">
                  <c:v>-72.211333271763053</c:v>
                </c:pt>
                <c:pt idx="533">
                  <c:v>-72.595489166376154</c:v>
                </c:pt>
                <c:pt idx="534">
                  <c:v>-72.980268868516674</c:v>
                </c:pt>
                <c:pt idx="535">
                  <c:v>-73.365651357541466</c:v>
                </c:pt>
                <c:pt idx="536">
                  <c:v>-73.751616031801419</c:v>
                </c:pt>
                <c:pt idx="537">
                  <c:v>-74.138142725563242</c:v>
                </c:pt>
                <c:pt idx="538">
                  <c:v>-74.525211723165953</c:v>
                </c:pt>
                <c:pt idx="539">
                  <c:v>-74.912803770596085</c:v>
                </c:pt>
                <c:pt idx="540">
                  <c:v>-75.300900084666239</c:v>
                </c:pt>
                <c:pt idx="541">
                  <c:v>-75.689482359973766</c:v>
                </c:pt>
              </c:numCache>
            </c:numRef>
          </c:yVal>
          <c:smooth val="1"/>
          <c:extLst>
            <c:ext xmlns:c16="http://schemas.microsoft.com/office/drawing/2014/chart" uri="{C3380CC4-5D6E-409C-BE32-E72D297353CC}">
              <c16:uniqueId val="{00000000-7AB1-42AA-8DBD-6D7B5452EF93}"/>
            </c:ext>
          </c:extLst>
        </c:ser>
        <c:dLbls>
          <c:showLegendKey val="0"/>
          <c:showVal val="0"/>
          <c:showCatName val="0"/>
          <c:showSerName val="0"/>
          <c:showPercent val="0"/>
          <c:showBubbleSize val="0"/>
        </c:dLbls>
        <c:axId val="365455232"/>
        <c:axId val="365465600"/>
      </c:scatterChart>
      <c:scatterChart>
        <c:scatterStyle val="smoothMarker"/>
        <c:varyColors val="0"/>
        <c:ser>
          <c:idx val="1"/>
          <c:order val="1"/>
          <c:tx>
            <c:v>Phase (deg)</c:v>
          </c:tx>
          <c:spPr>
            <a:ln w="38100">
              <a:solidFill>
                <a:schemeClr val="tx1">
                  <a:lumMod val="95000"/>
                  <a:lumOff val="5000"/>
                </a:schemeClr>
              </a:solidFill>
              <a:prstDash val="sysDash"/>
            </a:ln>
          </c:spPr>
          <c:marker>
            <c:symbol val="none"/>
          </c:marker>
          <c:xVal>
            <c:numRef>
              <c:f>Loop_Modeling!$O$19:$O$560</c:f>
              <c:numCache>
                <c:formatCode>0.00</c:formatCode>
                <c:ptCount val="542"/>
                <c:pt idx="0">
                  <c:v>10.232929922807543</c:v>
                </c:pt>
                <c:pt idx="1">
                  <c:v>10.471285480509</c:v>
                </c:pt>
                <c:pt idx="2">
                  <c:v>10.715193052376069</c:v>
                </c:pt>
                <c:pt idx="3">
                  <c:v>10.964781961431854</c:v>
                </c:pt>
                <c:pt idx="4">
                  <c:v>11.220184543019636</c:v>
                </c:pt>
                <c:pt idx="5">
                  <c:v>11.481536214968834</c:v>
                </c:pt>
                <c:pt idx="6">
                  <c:v>11.748975549395301</c:v>
                </c:pt>
                <c:pt idx="7">
                  <c:v>12.022644346174133</c:v>
                </c:pt>
                <c:pt idx="8">
                  <c:v>12.302687708123818</c:v>
                </c:pt>
                <c:pt idx="9">
                  <c:v>12.58925411794168</c:v>
                </c:pt>
                <c:pt idx="10">
                  <c:v>12.882495516931346</c:v>
                </c:pt>
                <c:pt idx="11">
                  <c:v>13.182567385564075</c:v>
                </c:pt>
                <c:pt idx="12">
                  <c:v>13.489628825916535</c:v>
                </c:pt>
                <c:pt idx="13">
                  <c:v>13.803842646028857</c:v>
                </c:pt>
                <c:pt idx="14">
                  <c:v>14.125375446227544</c:v>
                </c:pt>
                <c:pt idx="15">
                  <c:v>14.454397707459275</c:v>
                </c:pt>
                <c:pt idx="16">
                  <c:v>14.791083881682074</c:v>
                </c:pt>
                <c:pt idx="17">
                  <c:v>15.135612484362087</c:v>
                </c:pt>
                <c:pt idx="18">
                  <c:v>15.488166189124817</c:v>
                </c:pt>
                <c:pt idx="19">
                  <c:v>15.848931924611136</c:v>
                </c:pt>
                <c:pt idx="20">
                  <c:v>16.218100973589298</c:v>
                </c:pt>
                <c:pt idx="21">
                  <c:v>16.595869074375614</c:v>
                </c:pt>
                <c:pt idx="22">
                  <c:v>16.982436524617448</c:v>
                </c:pt>
                <c:pt idx="23">
                  <c:v>17.378008287493756</c:v>
                </c:pt>
                <c:pt idx="24">
                  <c:v>17.782794100389236</c:v>
                </c:pt>
                <c:pt idx="25">
                  <c:v>18.197008586099841</c:v>
                </c:pt>
                <c:pt idx="26">
                  <c:v>18.62087136662868</c:v>
                </c:pt>
                <c:pt idx="27">
                  <c:v>19.054607179632477</c:v>
                </c:pt>
                <c:pt idx="28">
                  <c:v>19.498445997580465</c:v>
                </c:pt>
                <c:pt idx="29">
                  <c:v>19.952623149688804</c:v>
                </c:pt>
                <c:pt idx="30">
                  <c:v>20.4173794466953</c:v>
                </c:pt>
                <c:pt idx="31">
                  <c:v>20.8929613085404</c:v>
                </c:pt>
                <c:pt idx="32">
                  <c:v>21.379620895022335</c:v>
                </c:pt>
                <c:pt idx="33">
                  <c:v>21.877616239495538</c:v>
                </c:pt>
                <c:pt idx="34">
                  <c:v>22.387211385683404</c:v>
                </c:pt>
                <c:pt idx="35">
                  <c:v>22.908676527677727</c:v>
                </c:pt>
                <c:pt idx="36">
                  <c:v>23.442288153199236</c:v>
                </c:pt>
                <c:pt idx="37">
                  <c:v>23.988329190194907</c:v>
                </c:pt>
                <c:pt idx="38">
                  <c:v>24.547089156850316</c:v>
                </c:pt>
                <c:pt idx="39">
                  <c:v>25.118864315095799</c:v>
                </c:pt>
                <c:pt idx="40">
                  <c:v>25.703957827688647</c:v>
                </c:pt>
                <c:pt idx="41">
                  <c:v>26.302679918953825</c:v>
                </c:pt>
                <c:pt idx="42">
                  <c:v>26.915348039269158</c:v>
                </c:pt>
                <c:pt idx="43">
                  <c:v>27.542287033381665</c:v>
                </c:pt>
                <c:pt idx="44">
                  <c:v>28.183829312644548</c:v>
                </c:pt>
                <c:pt idx="45">
                  <c:v>28.840315031266066</c:v>
                </c:pt>
                <c:pt idx="46">
                  <c:v>29.512092266663863</c:v>
                </c:pt>
                <c:pt idx="47">
                  <c:v>30.199517204020164</c:v>
                </c:pt>
                <c:pt idx="48">
                  <c:v>30.902954325135919</c:v>
                </c:pt>
                <c:pt idx="49">
                  <c:v>31.622776601683803</c:v>
                </c:pt>
                <c:pt idx="50">
                  <c:v>32.359365692962832</c:v>
                </c:pt>
                <c:pt idx="51">
                  <c:v>33.113112148259127</c:v>
                </c:pt>
                <c:pt idx="52">
                  <c:v>33.884415613920268</c:v>
                </c:pt>
                <c:pt idx="53">
                  <c:v>34.67368504525318</c:v>
                </c:pt>
                <c:pt idx="54">
                  <c:v>35.481338923357555</c:v>
                </c:pt>
                <c:pt idx="55">
                  <c:v>36.307805477010156</c:v>
                </c:pt>
                <c:pt idx="56">
                  <c:v>37.15352290971726</c:v>
                </c:pt>
                <c:pt idx="57">
                  <c:v>38.018939632056139</c:v>
                </c:pt>
                <c:pt idx="58">
                  <c:v>38.904514499428053</c:v>
                </c:pt>
                <c:pt idx="59">
                  <c:v>39.810717055349755</c:v>
                </c:pt>
                <c:pt idx="60">
                  <c:v>40.738027780411279</c:v>
                </c:pt>
                <c:pt idx="61">
                  <c:v>41.686938347033561</c:v>
                </c:pt>
                <c:pt idx="62">
                  <c:v>42.657951880159267</c:v>
                </c:pt>
                <c:pt idx="63">
                  <c:v>43.651583224016633</c:v>
                </c:pt>
                <c:pt idx="64">
                  <c:v>44.668359215096324</c:v>
                </c:pt>
                <c:pt idx="65">
                  <c:v>45.70881896148753</c:v>
                </c:pt>
                <c:pt idx="66">
                  <c:v>46.773514128719818</c:v>
                </c:pt>
                <c:pt idx="67">
                  <c:v>47.863009232263877</c:v>
                </c:pt>
                <c:pt idx="68">
                  <c:v>48.977881936844632</c:v>
                </c:pt>
                <c:pt idx="69">
                  <c:v>50.118723362727238</c:v>
                </c:pt>
                <c:pt idx="70">
                  <c:v>51.28613839913649</c:v>
                </c:pt>
                <c:pt idx="71">
                  <c:v>52.480746024977286</c:v>
                </c:pt>
                <c:pt idx="72">
                  <c:v>53.703179637025293</c:v>
                </c:pt>
                <c:pt idx="73">
                  <c:v>54.95408738576247</c:v>
                </c:pt>
                <c:pt idx="74">
                  <c:v>56.234132519034915</c:v>
                </c:pt>
                <c:pt idx="75">
                  <c:v>57.543993733715695</c:v>
                </c:pt>
                <c:pt idx="76">
                  <c:v>58.884365535558949</c:v>
                </c:pt>
                <c:pt idx="77">
                  <c:v>60.255958607435822</c:v>
                </c:pt>
                <c:pt idx="78">
                  <c:v>61.659500186148257</c:v>
                </c:pt>
                <c:pt idx="79">
                  <c:v>63.095734448019364</c:v>
                </c:pt>
                <c:pt idx="80">
                  <c:v>64.565422903465588</c:v>
                </c:pt>
                <c:pt idx="81">
                  <c:v>66.069344800759623</c:v>
                </c:pt>
                <c:pt idx="82">
                  <c:v>67.60829753919819</c:v>
                </c:pt>
                <c:pt idx="83">
                  <c:v>69.183097091893657</c:v>
                </c:pt>
                <c:pt idx="84">
                  <c:v>70.794578438413865</c:v>
                </c:pt>
                <c:pt idx="85">
                  <c:v>72.443596007499011</c:v>
                </c:pt>
                <c:pt idx="86">
                  <c:v>74.131024130091816</c:v>
                </c:pt>
                <c:pt idx="87">
                  <c:v>75.857757502918361</c:v>
                </c:pt>
                <c:pt idx="88">
                  <c:v>77.624711662869217</c:v>
                </c:pt>
                <c:pt idx="89">
                  <c:v>79.432823472428197</c:v>
                </c:pt>
                <c:pt idx="90">
                  <c:v>81.283051616409963</c:v>
                </c:pt>
                <c:pt idx="91">
                  <c:v>83.176377110267126</c:v>
                </c:pt>
                <c:pt idx="92">
                  <c:v>85.113803820237734</c:v>
                </c:pt>
                <c:pt idx="93">
                  <c:v>87.096358995608071</c:v>
                </c:pt>
                <c:pt idx="94">
                  <c:v>89.125093813374562</c:v>
                </c:pt>
                <c:pt idx="95">
                  <c:v>91.201083935590972</c:v>
                </c:pt>
                <c:pt idx="96">
                  <c:v>93.325430079699174</c:v>
                </c:pt>
                <c:pt idx="97">
                  <c:v>95.499258602143655</c:v>
                </c:pt>
                <c:pt idx="98">
                  <c:v>97.723722095581124</c:v>
                </c:pt>
                <c:pt idx="99">
                  <c:v>100</c:v>
                </c:pt>
                <c:pt idx="100">
                  <c:v>102.32929922807544</c:v>
                </c:pt>
                <c:pt idx="101">
                  <c:v>104.71285480508998</c:v>
                </c:pt>
                <c:pt idx="102">
                  <c:v>107.15193052376065</c:v>
                </c:pt>
                <c:pt idx="103">
                  <c:v>109.64781961431861</c:v>
                </c:pt>
                <c:pt idx="104">
                  <c:v>112.20184543019634</c:v>
                </c:pt>
                <c:pt idx="105">
                  <c:v>114.81536214968835</c:v>
                </c:pt>
                <c:pt idx="106">
                  <c:v>117.48975549395293</c:v>
                </c:pt>
                <c:pt idx="107">
                  <c:v>120.22644346174135</c:v>
                </c:pt>
                <c:pt idx="108">
                  <c:v>123.02687708123821</c:v>
                </c:pt>
                <c:pt idx="109">
                  <c:v>125.89254117941677</c:v>
                </c:pt>
                <c:pt idx="110">
                  <c:v>128.82495516931343</c:v>
                </c:pt>
                <c:pt idx="111">
                  <c:v>131.82567385564084</c:v>
                </c:pt>
                <c:pt idx="112">
                  <c:v>134.89628825916537</c:v>
                </c:pt>
                <c:pt idx="113">
                  <c:v>138.0384264602886</c:v>
                </c:pt>
                <c:pt idx="114">
                  <c:v>141.25375446227542</c:v>
                </c:pt>
                <c:pt idx="115">
                  <c:v>144.54397707459285</c:v>
                </c:pt>
                <c:pt idx="116">
                  <c:v>147.91083881682084</c:v>
                </c:pt>
                <c:pt idx="117">
                  <c:v>151.3561248436209</c:v>
                </c:pt>
                <c:pt idx="118">
                  <c:v>154.8816618912482</c:v>
                </c:pt>
                <c:pt idx="119">
                  <c:v>158.48931924611153</c:v>
                </c:pt>
                <c:pt idx="120">
                  <c:v>162.18100973589304</c:v>
                </c:pt>
                <c:pt idx="121">
                  <c:v>165.95869074375622</c:v>
                </c:pt>
                <c:pt idx="122">
                  <c:v>169.82436524617444</c:v>
                </c:pt>
                <c:pt idx="123">
                  <c:v>173.78008287493768</c:v>
                </c:pt>
                <c:pt idx="124">
                  <c:v>177.82794100389242</c:v>
                </c:pt>
                <c:pt idx="125">
                  <c:v>181.9700858609983</c:v>
                </c:pt>
                <c:pt idx="126">
                  <c:v>186.20871366628685</c:v>
                </c:pt>
                <c:pt idx="127">
                  <c:v>190.54607179632498</c:v>
                </c:pt>
                <c:pt idx="128">
                  <c:v>194.98445997580458</c:v>
                </c:pt>
                <c:pt idx="129">
                  <c:v>199.52623149688802</c:v>
                </c:pt>
                <c:pt idx="130">
                  <c:v>204.17379446695315</c:v>
                </c:pt>
                <c:pt idx="131">
                  <c:v>208.92961308540396</c:v>
                </c:pt>
                <c:pt idx="132">
                  <c:v>213.79620895022339</c:v>
                </c:pt>
                <c:pt idx="133">
                  <c:v>218.77616239495524</c:v>
                </c:pt>
                <c:pt idx="134">
                  <c:v>223.87211385683412</c:v>
                </c:pt>
                <c:pt idx="135">
                  <c:v>229.08676527677744</c:v>
                </c:pt>
                <c:pt idx="136">
                  <c:v>234.42288153199232</c:v>
                </c:pt>
                <c:pt idx="137">
                  <c:v>239.88329190194912</c:v>
                </c:pt>
                <c:pt idx="138">
                  <c:v>245.4708915685033</c:v>
                </c:pt>
                <c:pt idx="139">
                  <c:v>251.18864315095806</c:v>
                </c:pt>
                <c:pt idx="140">
                  <c:v>257.03957827688663</c:v>
                </c:pt>
                <c:pt idx="141">
                  <c:v>263.02679918953817</c:v>
                </c:pt>
                <c:pt idx="142">
                  <c:v>269.15348039269179</c:v>
                </c:pt>
                <c:pt idx="143">
                  <c:v>275.42287033381683</c:v>
                </c:pt>
                <c:pt idx="144">
                  <c:v>281.83829312644554</c:v>
                </c:pt>
                <c:pt idx="145">
                  <c:v>288.40315031266073</c:v>
                </c:pt>
                <c:pt idx="146">
                  <c:v>295.12092266663871</c:v>
                </c:pt>
                <c:pt idx="147">
                  <c:v>301.99517204020168</c:v>
                </c:pt>
                <c:pt idx="148">
                  <c:v>309.02954325135937</c:v>
                </c:pt>
                <c:pt idx="149">
                  <c:v>316.22776601683825</c:v>
                </c:pt>
                <c:pt idx="150">
                  <c:v>323.59365692962825</c:v>
                </c:pt>
                <c:pt idx="151">
                  <c:v>331.13112148259137</c:v>
                </c:pt>
                <c:pt idx="152">
                  <c:v>338.84415613920277</c:v>
                </c:pt>
                <c:pt idx="153">
                  <c:v>346.73685045253183</c:v>
                </c:pt>
                <c:pt idx="154">
                  <c:v>354.81338923357566</c:v>
                </c:pt>
                <c:pt idx="155">
                  <c:v>363.07805477010152</c:v>
                </c:pt>
                <c:pt idx="156">
                  <c:v>371.53522909717265</c:v>
                </c:pt>
                <c:pt idx="157">
                  <c:v>380.18939632056163</c:v>
                </c:pt>
                <c:pt idx="158">
                  <c:v>389.04514499428063</c:v>
                </c:pt>
                <c:pt idx="159">
                  <c:v>398.10717055349761</c:v>
                </c:pt>
                <c:pt idx="160">
                  <c:v>407.38027780411272</c:v>
                </c:pt>
                <c:pt idx="161">
                  <c:v>416.86938347033572</c:v>
                </c:pt>
                <c:pt idx="162">
                  <c:v>426.57951880159294</c:v>
                </c:pt>
                <c:pt idx="163">
                  <c:v>436.51583224016622</c:v>
                </c:pt>
                <c:pt idx="164">
                  <c:v>446.68359215096331</c:v>
                </c:pt>
                <c:pt idx="165">
                  <c:v>457.0881896148756</c:v>
                </c:pt>
                <c:pt idx="166">
                  <c:v>467.7351412871983</c:v>
                </c:pt>
                <c:pt idx="167">
                  <c:v>478.63009232263886</c:v>
                </c:pt>
                <c:pt idx="168">
                  <c:v>489.77881936844625</c:v>
                </c:pt>
                <c:pt idx="169">
                  <c:v>501.18723362727269</c:v>
                </c:pt>
                <c:pt idx="170">
                  <c:v>512.86138399136519</c:v>
                </c:pt>
                <c:pt idx="171">
                  <c:v>524.80746024977248</c:v>
                </c:pt>
                <c:pt idx="172">
                  <c:v>537.03179637025301</c:v>
                </c:pt>
                <c:pt idx="173">
                  <c:v>549.54087385762534</c:v>
                </c:pt>
                <c:pt idx="174">
                  <c:v>562.34132519034927</c:v>
                </c:pt>
                <c:pt idx="175">
                  <c:v>575.43993733715706</c:v>
                </c:pt>
                <c:pt idx="176">
                  <c:v>588.84365535558959</c:v>
                </c:pt>
                <c:pt idx="177">
                  <c:v>602.55958607435832</c:v>
                </c:pt>
                <c:pt idx="178">
                  <c:v>616.59500186148273</c:v>
                </c:pt>
                <c:pt idx="179">
                  <c:v>630.95734448019323</c:v>
                </c:pt>
                <c:pt idx="180">
                  <c:v>645.65422903465594</c:v>
                </c:pt>
                <c:pt idx="181">
                  <c:v>660.69344800759643</c:v>
                </c:pt>
                <c:pt idx="182">
                  <c:v>676.08297539198213</c:v>
                </c:pt>
                <c:pt idx="183">
                  <c:v>691.83097091893671</c:v>
                </c:pt>
                <c:pt idx="184">
                  <c:v>707.94578438413873</c:v>
                </c:pt>
                <c:pt idx="185">
                  <c:v>724.43596007499025</c:v>
                </c:pt>
                <c:pt idx="186">
                  <c:v>741.31024130091828</c:v>
                </c:pt>
                <c:pt idx="187">
                  <c:v>758.57757502918378</c:v>
                </c:pt>
                <c:pt idx="188">
                  <c:v>776.24711662869231</c:v>
                </c:pt>
                <c:pt idx="189">
                  <c:v>794.32823472428208</c:v>
                </c:pt>
                <c:pt idx="190">
                  <c:v>812.83051616409978</c:v>
                </c:pt>
                <c:pt idx="191">
                  <c:v>831.7637711026714</c:v>
                </c:pt>
                <c:pt idx="192">
                  <c:v>851.13803820237763</c:v>
                </c:pt>
                <c:pt idx="193">
                  <c:v>870.96358995608091</c:v>
                </c:pt>
                <c:pt idx="194">
                  <c:v>891.25093813374656</c:v>
                </c:pt>
                <c:pt idx="195">
                  <c:v>912.01083935590987</c:v>
                </c:pt>
                <c:pt idx="196">
                  <c:v>933.25430079699106</c:v>
                </c:pt>
                <c:pt idx="197">
                  <c:v>954.99258602143675</c:v>
                </c:pt>
                <c:pt idx="198">
                  <c:v>977.23722095581138</c:v>
                </c:pt>
                <c:pt idx="199">
                  <c:v>1000</c:v>
                </c:pt>
                <c:pt idx="200">
                  <c:v>1023.2929922807547</c:v>
                </c:pt>
                <c:pt idx="201">
                  <c:v>1047.1285480509</c:v>
                </c:pt>
                <c:pt idx="202">
                  <c:v>1071.5193052376069</c:v>
                </c:pt>
                <c:pt idx="203">
                  <c:v>1096.4781961431863</c:v>
                </c:pt>
                <c:pt idx="204">
                  <c:v>1122.0184543019636</c:v>
                </c:pt>
                <c:pt idx="205">
                  <c:v>1148.1536214968839</c:v>
                </c:pt>
                <c:pt idx="206">
                  <c:v>1174.8975549395295</c:v>
                </c:pt>
                <c:pt idx="207">
                  <c:v>1202.2644346174138</c:v>
                </c:pt>
                <c:pt idx="208">
                  <c:v>1230.2687708123824</c:v>
                </c:pt>
                <c:pt idx="209">
                  <c:v>1258.925411794168</c:v>
                </c:pt>
                <c:pt idx="210">
                  <c:v>1288.2495516931347</c:v>
                </c:pt>
                <c:pt idx="211">
                  <c:v>1318.2567385564089</c:v>
                </c:pt>
                <c:pt idx="212">
                  <c:v>1348.9628825916541</c:v>
                </c:pt>
                <c:pt idx="213">
                  <c:v>1380.3842646028863</c:v>
                </c:pt>
                <c:pt idx="214">
                  <c:v>1412.5375446227545</c:v>
                </c:pt>
                <c:pt idx="215">
                  <c:v>1445.4397707459289</c:v>
                </c:pt>
                <c:pt idx="216">
                  <c:v>1479.1083881682086</c:v>
                </c:pt>
                <c:pt idx="217">
                  <c:v>1513.5612484362093</c:v>
                </c:pt>
                <c:pt idx="218">
                  <c:v>1548.8166189124822</c:v>
                </c:pt>
                <c:pt idx="219">
                  <c:v>1584.8931924611156</c:v>
                </c:pt>
                <c:pt idx="220">
                  <c:v>1621.8100973589308</c:v>
                </c:pt>
                <c:pt idx="221">
                  <c:v>1659.5869074375626</c:v>
                </c:pt>
                <c:pt idx="222">
                  <c:v>1698.2436524617447</c:v>
                </c:pt>
                <c:pt idx="223">
                  <c:v>1737.8008287493772</c:v>
                </c:pt>
                <c:pt idx="224">
                  <c:v>1778.2794100389244</c:v>
                </c:pt>
                <c:pt idx="225">
                  <c:v>1819.7008586099832</c:v>
                </c:pt>
                <c:pt idx="226">
                  <c:v>1862.0871366628687</c:v>
                </c:pt>
                <c:pt idx="227">
                  <c:v>1905.4607179632501</c:v>
                </c:pt>
                <c:pt idx="228">
                  <c:v>1949.8445997580463</c:v>
                </c:pt>
                <c:pt idx="229">
                  <c:v>1995.2623149688804</c:v>
                </c:pt>
                <c:pt idx="230">
                  <c:v>2041.7379446695318</c:v>
                </c:pt>
                <c:pt idx="231">
                  <c:v>2089.2961308540398</c:v>
                </c:pt>
                <c:pt idx="232">
                  <c:v>2137.9620895022344</c:v>
                </c:pt>
                <c:pt idx="233">
                  <c:v>2187.7616239495528</c:v>
                </c:pt>
                <c:pt idx="234">
                  <c:v>2238.7211385683418</c:v>
                </c:pt>
                <c:pt idx="235">
                  <c:v>2290.8676527677749</c:v>
                </c:pt>
                <c:pt idx="236">
                  <c:v>2344.2288153199238</c:v>
                </c:pt>
                <c:pt idx="237">
                  <c:v>2398.8329190194918</c:v>
                </c:pt>
                <c:pt idx="238">
                  <c:v>2454.7089156850338</c:v>
                </c:pt>
                <c:pt idx="239">
                  <c:v>2511.8864315095811</c:v>
                </c:pt>
                <c:pt idx="240">
                  <c:v>2570.3957827688669</c:v>
                </c:pt>
                <c:pt idx="241">
                  <c:v>2630.2679918953822</c:v>
                </c:pt>
                <c:pt idx="242">
                  <c:v>2691.5348039269184</c:v>
                </c:pt>
                <c:pt idx="243">
                  <c:v>2754.228703338169</c:v>
                </c:pt>
                <c:pt idx="244">
                  <c:v>2818.3829312644561</c:v>
                </c:pt>
                <c:pt idx="245">
                  <c:v>2884.0315031266077</c:v>
                </c:pt>
                <c:pt idx="246">
                  <c:v>2951.2092266663876</c:v>
                </c:pt>
                <c:pt idx="247">
                  <c:v>3019.9517204020176</c:v>
                </c:pt>
                <c:pt idx="248">
                  <c:v>3090.295432513592</c:v>
                </c:pt>
                <c:pt idx="249">
                  <c:v>3162.2776601683804</c:v>
                </c:pt>
                <c:pt idx="250">
                  <c:v>3235.9365692962833</c:v>
                </c:pt>
                <c:pt idx="251">
                  <c:v>3311.3112148259115</c:v>
                </c:pt>
                <c:pt idx="252">
                  <c:v>3388.4415613920314</c:v>
                </c:pt>
                <c:pt idx="253">
                  <c:v>3467.3685045253224</c:v>
                </c:pt>
                <c:pt idx="254">
                  <c:v>3548.1338923357539</c:v>
                </c:pt>
                <c:pt idx="255">
                  <c:v>3630.7805477010188</c:v>
                </c:pt>
                <c:pt idx="256">
                  <c:v>3715.352290971724</c:v>
                </c:pt>
                <c:pt idx="257">
                  <c:v>3801.8939632056172</c:v>
                </c:pt>
                <c:pt idx="258">
                  <c:v>3890.451449942811</c:v>
                </c:pt>
                <c:pt idx="259">
                  <c:v>3981.0717055349769</c:v>
                </c:pt>
                <c:pt idx="260">
                  <c:v>4073.8027780411317</c:v>
                </c:pt>
                <c:pt idx="261">
                  <c:v>4168.6938347033583</c:v>
                </c:pt>
                <c:pt idx="262">
                  <c:v>4265.7951880159299</c:v>
                </c:pt>
                <c:pt idx="263">
                  <c:v>4365.1583224016631</c:v>
                </c:pt>
                <c:pt idx="264">
                  <c:v>4466.8359215096343</c:v>
                </c:pt>
                <c:pt idx="265">
                  <c:v>4570.8818961487532</c:v>
                </c:pt>
                <c:pt idx="266">
                  <c:v>4677.3514128719844</c:v>
                </c:pt>
                <c:pt idx="267">
                  <c:v>4786.3009232263848</c:v>
                </c:pt>
                <c:pt idx="268">
                  <c:v>4897.7881936844633</c:v>
                </c:pt>
                <c:pt idx="269">
                  <c:v>5011.8723362727324</c:v>
                </c:pt>
                <c:pt idx="270">
                  <c:v>5128.6138399136489</c:v>
                </c:pt>
                <c:pt idx="271">
                  <c:v>5248.0746024977261</c:v>
                </c:pt>
                <c:pt idx="272">
                  <c:v>5370.3179637025269</c:v>
                </c:pt>
                <c:pt idx="273">
                  <c:v>5495.4087385762541</c:v>
                </c:pt>
                <c:pt idx="274">
                  <c:v>5623.4132519034993</c:v>
                </c:pt>
                <c:pt idx="275">
                  <c:v>5754.399373371567</c:v>
                </c:pt>
                <c:pt idx="276">
                  <c:v>5888.4365535558973</c:v>
                </c:pt>
                <c:pt idx="277">
                  <c:v>6025.595860743585</c:v>
                </c:pt>
                <c:pt idx="278">
                  <c:v>6165.9500186148289</c:v>
                </c:pt>
                <c:pt idx="279">
                  <c:v>6309.5734448019384</c:v>
                </c:pt>
                <c:pt idx="280">
                  <c:v>6456.5422903465615</c:v>
                </c:pt>
                <c:pt idx="281">
                  <c:v>6606.9344800759654</c:v>
                </c:pt>
                <c:pt idx="282">
                  <c:v>6760.8297539198229</c:v>
                </c:pt>
                <c:pt idx="283">
                  <c:v>6918.3097091893687</c:v>
                </c:pt>
                <c:pt idx="284">
                  <c:v>7079.4578438413828</c:v>
                </c:pt>
                <c:pt idx="285">
                  <c:v>7244.3596007499036</c:v>
                </c:pt>
                <c:pt idx="286">
                  <c:v>7413.1024130091773</c:v>
                </c:pt>
                <c:pt idx="287">
                  <c:v>7585.7757502918394</c:v>
                </c:pt>
                <c:pt idx="288">
                  <c:v>7762.4711662869322</c:v>
                </c:pt>
                <c:pt idx="289">
                  <c:v>7943.2823472428154</c:v>
                </c:pt>
                <c:pt idx="290">
                  <c:v>8128.3051616410066</c:v>
                </c:pt>
                <c:pt idx="291">
                  <c:v>8317.6377110267094</c:v>
                </c:pt>
                <c:pt idx="292">
                  <c:v>8511.3803820237772</c:v>
                </c:pt>
                <c:pt idx="293">
                  <c:v>8709.6358995608189</c:v>
                </c:pt>
                <c:pt idx="294">
                  <c:v>8912.5093813374679</c:v>
                </c:pt>
                <c:pt idx="295">
                  <c:v>9120.1083935591087</c:v>
                </c:pt>
                <c:pt idx="296">
                  <c:v>9332.5430079699217</c:v>
                </c:pt>
                <c:pt idx="297">
                  <c:v>9549.9258602143691</c:v>
                </c:pt>
                <c:pt idx="298">
                  <c:v>9772.3722095581161</c:v>
                </c:pt>
                <c:pt idx="299">
                  <c:v>10000</c:v>
                </c:pt>
                <c:pt idx="300">
                  <c:v>10232.929922807549</c:v>
                </c:pt>
                <c:pt idx="301">
                  <c:v>10471.285480509003</c:v>
                </c:pt>
                <c:pt idx="302">
                  <c:v>10715.193052376071</c:v>
                </c:pt>
                <c:pt idx="303">
                  <c:v>10964.781961431856</c:v>
                </c:pt>
                <c:pt idx="304">
                  <c:v>11220.184543019639</c:v>
                </c:pt>
                <c:pt idx="305">
                  <c:v>11481.536214968832</c:v>
                </c:pt>
                <c:pt idx="306">
                  <c:v>11748.975549395318</c:v>
                </c:pt>
                <c:pt idx="307">
                  <c:v>12022.644346174151</c:v>
                </c:pt>
                <c:pt idx="308">
                  <c:v>12302.687708123816</c:v>
                </c:pt>
                <c:pt idx="309">
                  <c:v>12589.254117941671</c:v>
                </c:pt>
                <c:pt idx="310">
                  <c:v>12882.49551693136</c:v>
                </c:pt>
                <c:pt idx="311">
                  <c:v>13182.567385564091</c:v>
                </c:pt>
                <c:pt idx="312">
                  <c:v>13489.628825916556</c:v>
                </c:pt>
                <c:pt idx="313">
                  <c:v>13803.842646028841</c:v>
                </c:pt>
                <c:pt idx="314">
                  <c:v>14125.375446227561</c:v>
                </c:pt>
                <c:pt idx="315">
                  <c:v>14454.397707459291</c:v>
                </c:pt>
                <c:pt idx="316">
                  <c:v>14791.083881682089</c:v>
                </c:pt>
                <c:pt idx="317">
                  <c:v>15135.612484362096</c:v>
                </c:pt>
                <c:pt idx="318">
                  <c:v>15488.166189124853</c:v>
                </c:pt>
                <c:pt idx="319">
                  <c:v>15848.931924611146</c:v>
                </c:pt>
                <c:pt idx="320">
                  <c:v>16218.100973589309</c:v>
                </c:pt>
                <c:pt idx="321">
                  <c:v>16595.869074375616</c:v>
                </c:pt>
                <c:pt idx="322">
                  <c:v>16982.436524617482</c:v>
                </c:pt>
                <c:pt idx="323">
                  <c:v>17378.008287493791</c:v>
                </c:pt>
                <c:pt idx="324">
                  <c:v>17782.794100389234</c:v>
                </c:pt>
                <c:pt idx="325">
                  <c:v>18197.008586099837</c:v>
                </c:pt>
                <c:pt idx="326">
                  <c:v>18620.871366628675</c:v>
                </c:pt>
                <c:pt idx="327">
                  <c:v>19054.607179632505</c:v>
                </c:pt>
                <c:pt idx="328">
                  <c:v>19498.445997580486</c:v>
                </c:pt>
                <c:pt idx="329">
                  <c:v>19952.623149688792</c:v>
                </c:pt>
                <c:pt idx="330">
                  <c:v>20417.379446695286</c:v>
                </c:pt>
                <c:pt idx="331">
                  <c:v>20892.961308540423</c:v>
                </c:pt>
                <c:pt idx="332">
                  <c:v>21379.620895022348</c:v>
                </c:pt>
                <c:pt idx="333">
                  <c:v>21877.61623949555</c:v>
                </c:pt>
                <c:pt idx="334">
                  <c:v>22387.211385683382</c:v>
                </c:pt>
                <c:pt idx="335">
                  <c:v>22908.676527677751</c:v>
                </c:pt>
                <c:pt idx="336">
                  <c:v>23442.288153199243</c:v>
                </c:pt>
                <c:pt idx="337">
                  <c:v>23988.329190194923</c:v>
                </c:pt>
                <c:pt idx="338">
                  <c:v>24547.089156850321</c:v>
                </c:pt>
                <c:pt idx="339">
                  <c:v>25118.86431509586</c:v>
                </c:pt>
                <c:pt idx="340">
                  <c:v>25703.95782768865</c:v>
                </c:pt>
                <c:pt idx="341">
                  <c:v>26302.679918953829</c:v>
                </c:pt>
                <c:pt idx="342">
                  <c:v>26915.348039269167</c:v>
                </c:pt>
                <c:pt idx="343">
                  <c:v>27542.287033381719</c:v>
                </c:pt>
                <c:pt idx="344">
                  <c:v>28183.829312644593</c:v>
                </c:pt>
                <c:pt idx="345">
                  <c:v>28840.315031266062</c:v>
                </c:pt>
                <c:pt idx="346">
                  <c:v>29512.092266663854</c:v>
                </c:pt>
                <c:pt idx="347">
                  <c:v>30199.517204020212</c:v>
                </c:pt>
                <c:pt idx="348">
                  <c:v>30902.954325135954</c:v>
                </c:pt>
                <c:pt idx="349">
                  <c:v>31622.77660168384</c:v>
                </c:pt>
                <c:pt idx="350">
                  <c:v>32359.365692962871</c:v>
                </c:pt>
                <c:pt idx="351">
                  <c:v>33113.11214825909</c:v>
                </c:pt>
                <c:pt idx="352">
                  <c:v>33884.41561392029</c:v>
                </c:pt>
                <c:pt idx="353">
                  <c:v>34673.685045253202</c:v>
                </c:pt>
                <c:pt idx="354">
                  <c:v>35481.33892335758</c:v>
                </c:pt>
                <c:pt idx="355">
                  <c:v>36307.805477010232</c:v>
                </c:pt>
                <c:pt idx="356">
                  <c:v>37153.522909717351</c:v>
                </c:pt>
                <c:pt idx="357">
                  <c:v>38018.939632056143</c:v>
                </c:pt>
                <c:pt idx="358">
                  <c:v>38904.514499428085</c:v>
                </c:pt>
                <c:pt idx="359">
                  <c:v>39810.717055349742</c:v>
                </c:pt>
                <c:pt idx="360">
                  <c:v>40738.027780411358</c:v>
                </c:pt>
                <c:pt idx="361">
                  <c:v>41686.938347033625</c:v>
                </c:pt>
                <c:pt idx="362">
                  <c:v>42657.951880159271</c:v>
                </c:pt>
                <c:pt idx="363">
                  <c:v>43651.583224016598</c:v>
                </c:pt>
                <c:pt idx="364">
                  <c:v>44668.359215096389</c:v>
                </c:pt>
                <c:pt idx="365">
                  <c:v>45708.818961487581</c:v>
                </c:pt>
                <c:pt idx="366">
                  <c:v>46773.514128719893</c:v>
                </c:pt>
                <c:pt idx="367">
                  <c:v>47863.009232263823</c:v>
                </c:pt>
                <c:pt idx="368">
                  <c:v>48977.881936844598</c:v>
                </c:pt>
                <c:pt idx="369">
                  <c:v>50118.723362727294</c:v>
                </c:pt>
                <c:pt idx="370">
                  <c:v>51286.138399136544</c:v>
                </c:pt>
                <c:pt idx="371">
                  <c:v>52480.746024977314</c:v>
                </c:pt>
                <c:pt idx="372">
                  <c:v>53703.179637025423</c:v>
                </c:pt>
                <c:pt idx="373">
                  <c:v>54954.087385762505</c:v>
                </c:pt>
                <c:pt idx="374">
                  <c:v>56234.132519034953</c:v>
                </c:pt>
                <c:pt idx="375">
                  <c:v>57543.993733715732</c:v>
                </c:pt>
                <c:pt idx="376">
                  <c:v>58884.365535558936</c:v>
                </c:pt>
                <c:pt idx="377">
                  <c:v>60255.95860743591</c:v>
                </c:pt>
                <c:pt idx="378">
                  <c:v>61659.500186148245</c:v>
                </c:pt>
                <c:pt idx="379">
                  <c:v>63095.734448019342</c:v>
                </c:pt>
                <c:pt idx="380">
                  <c:v>64565.422903465682</c:v>
                </c:pt>
                <c:pt idx="381">
                  <c:v>66069.344800759733</c:v>
                </c:pt>
                <c:pt idx="382">
                  <c:v>67608.297539198305</c:v>
                </c:pt>
                <c:pt idx="383">
                  <c:v>69183.097091893651</c:v>
                </c:pt>
                <c:pt idx="384">
                  <c:v>70794.578438413781</c:v>
                </c:pt>
                <c:pt idx="385">
                  <c:v>72443.596007499116</c:v>
                </c:pt>
                <c:pt idx="386">
                  <c:v>74131.024130091857</c:v>
                </c:pt>
                <c:pt idx="387">
                  <c:v>75857.757502918481</c:v>
                </c:pt>
                <c:pt idx="388">
                  <c:v>77624.711662869129</c:v>
                </c:pt>
                <c:pt idx="389">
                  <c:v>79432.823472428237</c:v>
                </c:pt>
                <c:pt idx="390">
                  <c:v>81283.051616410012</c:v>
                </c:pt>
                <c:pt idx="391">
                  <c:v>83176.377110267174</c:v>
                </c:pt>
                <c:pt idx="392">
                  <c:v>85113.803820237721</c:v>
                </c:pt>
                <c:pt idx="393">
                  <c:v>87096.358995608127</c:v>
                </c:pt>
                <c:pt idx="394">
                  <c:v>89125.093813374609</c:v>
                </c:pt>
                <c:pt idx="395">
                  <c:v>91201.083935591028</c:v>
                </c:pt>
                <c:pt idx="396">
                  <c:v>93325.430079699145</c:v>
                </c:pt>
                <c:pt idx="397">
                  <c:v>95499.258602143804</c:v>
                </c:pt>
                <c:pt idx="398">
                  <c:v>97723.722095581266</c:v>
                </c:pt>
                <c:pt idx="399">
                  <c:v>100000</c:v>
                </c:pt>
                <c:pt idx="400">
                  <c:v>102329.29922807543</c:v>
                </c:pt>
                <c:pt idx="401">
                  <c:v>104712.85480508996</c:v>
                </c:pt>
                <c:pt idx="402">
                  <c:v>107151.93052376082</c:v>
                </c:pt>
                <c:pt idx="403">
                  <c:v>109647.81961431868</c:v>
                </c:pt>
                <c:pt idx="404">
                  <c:v>112201.84543019651</c:v>
                </c:pt>
                <c:pt idx="405">
                  <c:v>114815.36214968823</c:v>
                </c:pt>
                <c:pt idx="406">
                  <c:v>117489.75549395311</c:v>
                </c:pt>
                <c:pt idx="407">
                  <c:v>120226.44346174144</c:v>
                </c:pt>
                <c:pt idx="408">
                  <c:v>123026.87708123829</c:v>
                </c:pt>
                <c:pt idx="409">
                  <c:v>125892.54117941685</c:v>
                </c:pt>
                <c:pt idx="410">
                  <c:v>128824.95516931375</c:v>
                </c:pt>
                <c:pt idx="411">
                  <c:v>131825.67385564081</c:v>
                </c:pt>
                <c:pt idx="412">
                  <c:v>134896.28825916545</c:v>
                </c:pt>
                <c:pt idx="413">
                  <c:v>138038.42646028858</c:v>
                </c:pt>
                <c:pt idx="414">
                  <c:v>141253.75446227577</c:v>
                </c:pt>
                <c:pt idx="415">
                  <c:v>144543.97707459307</c:v>
                </c:pt>
                <c:pt idx="416">
                  <c:v>147910.83881682079</c:v>
                </c:pt>
                <c:pt idx="417">
                  <c:v>151356.12484362084</c:v>
                </c:pt>
                <c:pt idx="418">
                  <c:v>154881.66189124843</c:v>
                </c:pt>
                <c:pt idx="419">
                  <c:v>158489.31924611164</c:v>
                </c:pt>
                <c:pt idx="420">
                  <c:v>162181.00973589328</c:v>
                </c:pt>
                <c:pt idx="421">
                  <c:v>165958.69074375604</c:v>
                </c:pt>
                <c:pt idx="422">
                  <c:v>169824.36524617471</c:v>
                </c:pt>
                <c:pt idx="423">
                  <c:v>173780.0828749378</c:v>
                </c:pt>
                <c:pt idx="424">
                  <c:v>177827.94100389251</c:v>
                </c:pt>
                <c:pt idx="425">
                  <c:v>181970.08586099857</c:v>
                </c:pt>
                <c:pt idx="426">
                  <c:v>186208.71366628664</c:v>
                </c:pt>
                <c:pt idx="427">
                  <c:v>190546.07179632492</c:v>
                </c:pt>
                <c:pt idx="428">
                  <c:v>194984.45997580473</c:v>
                </c:pt>
                <c:pt idx="429">
                  <c:v>199526.23149688813</c:v>
                </c:pt>
                <c:pt idx="430">
                  <c:v>204173.79446695308</c:v>
                </c:pt>
                <c:pt idx="431">
                  <c:v>208929.61308540447</c:v>
                </c:pt>
                <c:pt idx="432">
                  <c:v>213796.20895022334</c:v>
                </c:pt>
                <c:pt idx="433">
                  <c:v>218776.16239495538</c:v>
                </c:pt>
                <c:pt idx="434">
                  <c:v>223872.11385683404</c:v>
                </c:pt>
                <c:pt idx="435">
                  <c:v>229086.76527677779</c:v>
                </c:pt>
                <c:pt idx="436">
                  <c:v>234422.88153199267</c:v>
                </c:pt>
                <c:pt idx="437">
                  <c:v>239883.29190194907</c:v>
                </c:pt>
                <c:pt idx="438">
                  <c:v>245470.89156850305</c:v>
                </c:pt>
                <c:pt idx="439">
                  <c:v>251188.64315095844</c:v>
                </c:pt>
                <c:pt idx="440">
                  <c:v>257039.57827688678</c:v>
                </c:pt>
                <c:pt idx="441">
                  <c:v>263026.79918953858</c:v>
                </c:pt>
                <c:pt idx="442">
                  <c:v>269153.48039269145</c:v>
                </c:pt>
                <c:pt idx="443">
                  <c:v>275422.87033381703</c:v>
                </c:pt>
                <c:pt idx="444">
                  <c:v>281838.29312644573</c:v>
                </c:pt>
                <c:pt idx="445">
                  <c:v>288403.1503126609</c:v>
                </c:pt>
                <c:pt idx="446">
                  <c:v>295120.92266663886</c:v>
                </c:pt>
                <c:pt idx="447">
                  <c:v>301995.17204020242</c:v>
                </c:pt>
                <c:pt idx="448">
                  <c:v>309029.54325135931</c:v>
                </c:pt>
                <c:pt idx="449">
                  <c:v>316227.7660168382</c:v>
                </c:pt>
                <c:pt idx="450">
                  <c:v>323593.65692962846</c:v>
                </c:pt>
                <c:pt idx="451">
                  <c:v>331131.12148259126</c:v>
                </c:pt>
                <c:pt idx="452">
                  <c:v>338844.15613920329</c:v>
                </c:pt>
                <c:pt idx="453">
                  <c:v>346736.85045253241</c:v>
                </c:pt>
                <c:pt idx="454">
                  <c:v>354813.38923357555</c:v>
                </c:pt>
                <c:pt idx="455">
                  <c:v>363078.05477010203</c:v>
                </c:pt>
                <c:pt idx="456">
                  <c:v>371535.2290971732</c:v>
                </c:pt>
                <c:pt idx="457">
                  <c:v>380189.39632056188</c:v>
                </c:pt>
                <c:pt idx="458">
                  <c:v>389045.14499428123</c:v>
                </c:pt>
                <c:pt idx="459">
                  <c:v>398107.17055349716</c:v>
                </c:pt>
                <c:pt idx="460">
                  <c:v>407380.27780411334</c:v>
                </c:pt>
                <c:pt idx="461">
                  <c:v>416869.38347033598</c:v>
                </c:pt>
                <c:pt idx="462">
                  <c:v>426579.51880159322</c:v>
                </c:pt>
                <c:pt idx="463">
                  <c:v>436515.83224016649</c:v>
                </c:pt>
                <c:pt idx="464">
                  <c:v>446683.59215096442</c:v>
                </c:pt>
                <c:pt idx="465">
                  <c:v>457088.18961487547</c:v>
                </c:pt>
                <c:pt idx="466">
                  <c:v>467735.14128719864</c:v>
                </c:pt>
                <c:pt idx="467">
                  <c:v>478630.09232263872</c:v>
                </c:pt>
                <c:pt idx="468">
                  <c:v>489778.81936844654</c:v>
                </c:pt>
                <c:pt idx="469">
                  <c:v>501187.23362727347</c:v>
                </c:pt>
                <c:pt idx="470">
                  <c:v>512861.38399136515</c:v>
                </c:pt>
                <c:pt idx="471">
                  <c:v>524807.46024977288</c:v>
                </c:pt>
                <c:pt idx="472">
                  <c:v>537031.7963702539</c:v>
                </c:pt>
                <c:pt idx="473">
                  <c:v>549540.87385762564</c:v>
                </c:pt>
                <c:pt idx="474">
                  <c:v>562341.32519035018</c:v>
                </c:pt>
                <c:pt idx="475">
                  <c:v>575439.93733715697</c:v>
                </c:pt>
                <c:pt idx="476">
                  <c:v>588843.65535558888</c:v>
                </c:pt>
                <c:pt idx="477">
                  <c:v>602559.58607435878</c:v>
                </c:pt>
                <c:pt idx="478">
                  <c:v>616595.00186148309</c:v>
                </c:pt>
                <c:pt idx="479">
                  <c:v>630957.34448019415</c:v>
                </c:pt>
                <c:pt idx="480">
                  <c:v>645654.22903465747</c:v>
                </c:pt>
                <c:pt idx="481">
                  <c:v>660693.44800759677</c:v>
                </c:pt>
                <c:pt idx="482">
                  <c:v>676082.97539198259</c:v>
                </c:pt>
                <c:pt idx="483">
                  <c:v>691830.97091893724</c:v>
                </c:pt>
                <c:pt idx="484">
                  <c:v>707945.78438413853</c:v>
                </c:pt>
                <c:pt idx="485">
                  <c:v>724435.96007499192</c:v>
                </c:pt>
                <c:pt idx="486">
                  <c:v>741310.24130091805</c:v>
                </c:pt>
                <c:pt idx="487">
                  <c:v>758577.57502918423</c:v>
                </c:pt>
                <c:pt idx="488">
                  <c:v>776247.11662869214</c:v>
                </c:pt>
                <c:pt idx="489">
                  <c:v>794328.23472428333</c:v>
                </c:pt>
                <c:pt idx="490">
                  <c:v>812830.51616410096</c:v>
                </c:pt>
                <c:pt idx="491">
                  <c:v>831763.77110267128</c:v>
                </c:pt>
                <c:pt idx="492">
                  <c:v>851138.03820237669</c:v>
                </c:pt>
                <c:pt idx="493">
                  <c:v>870963.58995608077</c:v>
                </c:pt>
                <c:pt idx="494">
                  <c:v>891250.93813374708</c:v>
                </c:pt>
                <c:pt idx="495">
                  <c:v>912010.83935591124</c:v>
                </c:pt>
                <c:pt idx="496">
                  <c:v>933254.30079699249</c:v>
                </c:pt>
                <c:pt idx="497">
                  <c:v>954992.58602143743</c:v>
                </c:pt>
                <c:pt idx="498">
                  <c:v>977237.22095581202</c:v>
                </c:pt>
                <c:pt idx="499">
                  <c:v>1000000</c:v>
                </c:pt>
                <c:pt idx="500">
                  <c:v>1023292.9922807553</c:v>
                </c:pt>
                <c:pt idx="501">
                  <c:v>1047128.5480509007</c:v>
                </c:pt>
                <c:pt idx="502">
                  <c:v>1071519.3052376076</c:v>
                </c:pt>
                <c:pt idx="503">
                  <c:v>1096478.196143186</c:v>
                </c:pt>
                <c:pt idx="504">
                  <c:v>1122018.4543019643</c:v>
                </c:pt>
                <c:pt idx="505">
                  <c:v>1148153.6214968837</c:v>
                </c:pt>
                <c:pt idx="506">
                  <c:v>1174897.5549395324</c:v>
                </c:pt>
                <c:pt idx="507">
                  <c:v>1202264.4346174158</c:v>
                </c:pt>
                <c:pt idx="508">
                  <c:v>1230268.770812382</c:v>
                </c:pt>
                <c:pt idx="509">
                  <c:v>1258925.4117941677</c:v>
                </c:pt>
                <c:pt idx="510">
                  <c:v>1288249.5516931366</c:v>
                </c:pt>
                <c:pt idx="511">
                  <c:v>1318256.7385564097</c:v>
                </c:pt>
                <c:pt idx="512">
                  <c:v>1348962.8825916562</c:v>
                </c:pt>
                <c:pt idx="513">
                  <c:v>1380384.2646028849</c:v>
                </c:pt>
                <c:pt idx="514">
                  <c:v>1412537.5446227565</c:v>
                </c:pt>
                <c:pt idx="515">
                  <c:v>1445439.7707459298</c:v>
                </c:pt>
                <c:pt idx="516">
                  <c:v>1479108.3881682095</c:v>
                </c:pt>
                <c:pt idx="517">
                  <c:v>1513561.2484362102</c:v>
                </c:pt>
                <c:pt idx="518">
                  <c:v>1548816.6189124861</c:v>
                </c:pt>
                <c:pt idx="519">
                  <c:v>1584893.1924611153</c:v>
                </c:pt>
                <c:pt idx="520">
                  <c:v>1621810.0973589318</c:v>
                </c:pt>
                <c:pt idx="521">
                  <c:v>1659586.9074375622</c:v>
                </c:pt>
                <c:pt idx="522">
                  <c:v>1698243.6524617488</c:v>
                </c:pt>
                <c:pt idx="523">
                  <c:v>1737800.8287493798</c:v>
                </c:pt>
                <c:pt idx="524">
                  <c:v>1778279.4100389241</c:v>
                </c:pt>
                <c:pt idx="525">
                  <c:v>1819700.8586099846</c:v>
                </c:pt>
                <c:pt idx="526">
                  <c:v>1862087.1366628683</c:v>
                </c:pt>
                <c:pt idx="527">
                  <c:v>1905460.7179632513</c:v>
                </c:pt>
                <c:pt idx="528">
                  <c:v>1949844.5997580495</c:v>
                </c:pt>
                <c:pt idx="529">
                  <c:v>1995262.31496888</c:v>
                </c:pt>
                <c:pt idx="530">
                  <c:v>2041737.9446695296</c:v>
                </c:pt>
                <c:pt idx="531">
                  <c:v>2089296.1308540432</c:v>
                </c:pt>
                <c:pt idx="532">
                  <c:v>2137962.0895022359</c:v>
                </c:pt>
                <c:pt idx="533">
                  <c:v>2187761.6239495561</c:v>
                </c:pt>
                <c:pt idx="534">
                  <c:v>2238721.1385683389</c:v>
                </c:pt>
                <c:pt idx="535">
                  <c:v>2290867.6527677765</c:v>
                </c:pt>
                <c:pt idx="536">
                  <c:v>2344228.8153199251</c:v>
                </c:pt>
                <c:pt idx="537">
                  <c:v>2398832.9190194933</c:v>
                </c:pt>
                <c:pt idx="538">
                  <c:v>2454708.915685033</c:v>
                </c:pt>
                <c:pt idx="539">
                  <c:v>2511886.431509587</c:v>
                </c:pt>
                <c:pt idx="540">
                  <c:v>2570395.782768866</c:v>
                </c:pt>
                <c:pt idx="541">
                  <c:v>2630267.9918953842</c:v>
                </c:pt>
              </c:numCache>
            </c:numRef>
          </c:xVal>
          <c:yVal>
            <c:numRef>
              <c:f>Loop_Modeling!$BH$19:$BH$560</c:f>
              <c:numCache>
                <c:formatCode>General</c:formatCode>
                <c:ptCount val="542"/>
                <c:pt idx="0">
                  <c:v>88.581524772480009</c:v>
                </c:pt>
                <c:pt idx="1">
                  <c:v>88.548512824945533</c:v>
                </c:pt>
                <c:pt idx="2">
                  <c:v>88.514733972960684</c:v>
                </c:pt>
                <c:pt idx="3">
                  <c:v>88.480170498892377</c:v>
                </c:pt>
                <c:pt idx="4">
                  <c:v>88.444804282816435</c:v>
                </c:pt>
                <c:pt idx="5">
                  <c:v>88.408616793888129</c:v>
                </c:pt>
                <c:pt idx="6">
                  <c:v>88.371589081564125</c:v>
                </c:pt>
                <c:pt idx="7">
                  <c:v>88.333701766676299</c:v>
                </c:pt>
                <c:pt idx="8">
                  <c:v>88.294935032357941</c:v>
                </c:pt>
                <c:pt idx="9">
                  <c:v>88.255268614823208</c:v>
                </c:pt>
                <c:pt idx="10">
                  <c:v>88.21468179400091</c:v>
                </c:pt>
                <c:pt idx="11">
                  <c:v>88.173153384023749</c:v>
                </c:pt>
                <c:pt idx="12">
                  <c:v>88.130661723575713</c:v>
                </c:pt>
                <c:pt idx="13">
                  <c:v>88.087184666098935</c:v>
                </c:pt>
                <c:pt idx="14">
                  <c:v>88.042699569863345</c:v>
                </c:pt>
                <c:pt idx="15">
                  <c:v>87.99718328790189</c:v>
                </c:pt>
                <c:pt idx="16">
                  <c:v>87.950612157815286</c:v>
                </c:pt>
                <c:pt idx="17">
                  <c:v>87.902961991450368</c:v>
                </c:pt>
                <c:pt idx="18">
                  <c:v>87.854208064456998</c:v>
                </c:pt>
                <c:pt idx="19">
                  <c:v>87.804325105728793</c:v>
                </c:pt>
                <c:pt idx="20">
                  <c:v>87.753287286734079</c:v>
                </c:pt>
                <c:pt idx="21">
                  <c:v>87.701068210743998</c:v>
                </c:pt>
                <c:pt idx="22">
                  <c:v>87.647640901965417</c:v>
                </c:pt>
                <c:pt idx="23">
                  <c:v>87.592977794587171</c:v>
                </c:pt>
                <c:pt idx="24">
                  <c:v>87.537050721749623</c:v>
                </c:pt>
                <c:pt idx="25">
                  <c:v>87.479830904447439</c:v>
                </c:pt>
                <c:pt idx="26">
                  <c:v>87.421288940378091</c:v>
                </c:pt>
                <c:pt idx="27">
                  <c:v>87.361394792747973</c:v>
                </c:pt>
                <c:pt idx="28">
                  <c:v>87.30011777905122</c:v>
                </c:pt>
                <c:pt idx="29">
                  <c:v>87.237426559835612</c:v>
                </c:pt>
                <c:pt idx="30">
                  <c:v>87.173289127473353</c:v>
                </c:pt>
                <c:pt idx="31">
                  <c:v>87.107672794954325</c:v>
                </c:pt>
                <c:pt idx="32">
                  <c:v>87.040544184722748</c:v>
                </c:pt>
                <c:pt idx="33">
                  <c:v>86.971869217577876</c:v>
                </c:pt>
                <c:pt idx="34">
                  <c:v>86.901613101663912</c:v>
                </c:pt>
                <c:pt idx="35">
                  <c:v>86.829740321573311</c:v>
                </c:pt>
                <c:pt idx="36">
                  <c:v>86.75621462759247</c:v>
                </c:pt>
                <c:pt idx="37">
                  <c:v>86.680999025119604</c:v>
                </c:pt>
                <c:pt idx="38">
                  <c:v>86.604055764287111</c:v>
                </c:pt>
                <c:pt idx="39">
                  <c:v>86.525346329824174</c:v>
                </c:pt>
                <c:pt idx="40">
                  <c:v>86.44483143119723</c:v>
                </c:pt>
                <c:pt idx="41">
                  <c:v>86.362470993069422</c:v>
                </c:pt>
                <c:pt idx="42">
                  <c:v>86.278224146123108</c:v>
                </c:pt>
                <c:pt idx="43">
                  <c:v>86.192049218292937</c:v>
                </c:pt>
                <c:pt idx="44">
                  <c:v>86.103903726460501</c:v>
                </c:pt>
                <c:pt idx="45">
                  <c:v>86.013744368665257</c:v>
                </c:pt>
                <c:pt idx="46">
                  <c:v>85.921527016890693</c:v>
                </c:pt>
                <c:pt idx="47">
                  <c:v>85.827206710488724</c:v>
                </c:pt>
                <c:pt idx="48">
                  <c:v>85.73073765030999</c:v>
                </c:pt>
                <c:pt idx="49">
                  <c:v>85.632073193611916</c:v>
                </c:pt>
                <c:pt idx="50">
                  <c:v>85.531165849822543</c:v>
                </c:pt>
                <c:pt idx="51">
                  <c:v>85.427967277242331</c:v>
                </c:pt>
                <c:pt idx="52">
                  <c:v>85.322428280772144</c:v>
                </c:pt>
                <c:pt idx="53">
                  <c:v>85.214498810762151</c:v>
                </c:pt>
                <c:pt idx="54">
                  <c:v>85.104127963080842</c:v>
                </c:pt>
                <c:pt idx="55">
                  <c:v>84.99126398051304</c:v>
                </c:pt>
                <c:pt idx="56">
                  <c:v>84.875854255597858</c:v>
                </c:pt>
                <c:pt idx="57">
                  <c:v>84.757845335030765</c:v>
                </c:pt>
                <c:pt idx="58">
                  <c:v>84.637182925755425</c:v>
                </c:pt>
                <c:pt idx="59">
                  <c:v>84.513811902883603</c:v>
                </c:pt>
                <c:pt idx="60">
                  <c:v>84.387676319586348</c:v>
                </c:pt>
                <c:pt idx="61">
                  <c:v>84.258719419111287</c:v>
                </c:pt>
                <c:pt idx="62">
                  <c:v>84.126883649085315</c:v>
                </c:pt>
                <c:pt idx="63">
                  <c:v>83.992110678277513</c:v>
                </c:pt>
                <c:pt idx="64">
                  <c:v>83.854341415999386</c:v>
                </c:pt>
                <c:pt idx="65">
                  <c:v>83.713516034336081</c:v>
                </c:pt>
                <c:pt idx="66">
                  <c:v>83.569573993407388</c:v>
                </c:pt>
                <c:pt idx="67">
                  <c:v>83.422454069870867</c:v>
                </c:pt>
                <c:pt idx="68">
                  <c:v>83.272094388888547</c:v>
                </c:pt>
                <c:pt idx="69">
                  <c:v>83.118432459789418</c:v>
                </c:pt>
                <c:pt idx="70">
                  <c:v>82.961405215673025</c:v>
                </c:pt>
                <c:pt idx="71">
                  <c:v>82.800949057207106</c:v>
                </c:pt>
                <c:pt idx="72">
                  <c:v>82.636999900886337</c:v>
                </c:pt>
                <c:pt idx="73">
                  <c:v>82.469493232029905</c:v>
                </c:pt>
                <c:pt idx="74">
                  <c:v>82.298364162805342</c:v>
                </c:pt>
                <c:pt idx="75">
                  <c:v>82.123547495577839</c:v>
                </c:pt>
                <c:pt idx="76">
                  <c:v>81.944977791895695</c:v>
                </c:pt>
                <c:pt idx="77">
                  <c:v>81.762589447431012</c:v>
                </c:pt>
                <c:pt idx="78">
                  <c:v>81.576316773206486</c:v>
                </c:pt>
                <c:pt idx="79">
                  <c:v>81.386094083444917</c:v>
                </c:pt>
                <c:pt idx="80">
                  <c:v>81.19185579039079</c:v>
                </c:pt>
                <c:pt idx="81">
                  <c:v>80.993536506456309</c:v>
                </c:pt>
                <c:pt idx="82">
                  <c:v>80.791071154052176</c:v>
                </c:pt>
                <c:pt idx="83">
                  <c:v>80.584395083466688</c:v>
                </c:pt>
                <c:pt idx="84">
                  <c:v>80.373444199161895</c:v>
                </c:pt>
                <c:pt idx="85">
                  <c:v>80.158155094853086</c:v>
                </c:pt>
                <c:pt idx="86">
                  <c:v>79.938465197737841</c:v>
                </c:pt>
                <c:pt idx="87">
                  <c:v>79.714312922239557</c:v>
                </c:pt>
                <c:pt idx="88">
                  <c:v>79.485637833617062</c:v>
                </c:pt>
                <c:pt idx="89">
                  <c:v>79.25238082179024</c:v>
                </c:pt>
                <c:pt idx="90">
                  <c:v>79.014484285709699</c:v>
                </c:pt>
                <c:pt idx="91">
                  <c:v>78.771892328587711</c:v>
                </c:pt>
                <c:pt idx="92">
                  <c:v>78.52455096428119</c:v>
                </c:pt>
                <c:pt idx="93">
                  <c:v>78.272408335092621</c:v>
                </c:pt>
                <c:pt idx="94">
                  <c:v>78.015414941222133</c:v>
                </c:pt>
                <c:pt idx="95">
                  <c:v>77.753523882067782</c:v>
                </c:pt>
                <c:pt idx="96">
                  <c:v>77.486691109523889</c:v>
                </c:pt>
                <c:pt idx="97">
                  <c:v>77.214875693381558</c:v>
                </c:pt>
                <c:pt idx="98">
                  <c:v>76.938040098873529</c:v>
                </c:pt>
                <c:pt idx="99">
                  <c:v>76.656150476343853</c:v>
                </c:pt>
                <c:pt idx="100">
                  <c:v>76.36917696295005</c:v>
                </c:pt>
                <c:pt idx="101">
                  <c:v>76.077093996222757</c:v>
                </c:pt>
                <c:pt idx="102">
                  <c:v>75.779880639221901</c:v>
                </c:pt>
                <c:pt idx="103">
                  <c:v>75.477520916927404</c:v>
                </c:pt>
                <c:pt idx="104">
                  <c:v>75.170004163399554</c:v>
                </c:pt>
                <c:pt idx="105">
                  <c:v>74.857325379126152</c:v>
                </c:pt>
                <c:pt idx="106">
                  <c:v>74.539485597850458</c:v>
                </c:pt>
                <c:pt idx="107">
                  <c:v>74.216492262041555</c:v>
                </c:pt>
                <c:pt idx="108">
                  <c:v>73.888359606028544</c:v>
                </c:pt>
                <c:pt idx="109">
                  <c:v>73.555109045668459</c:v>
                </c:pt>
                <c:pt idx="110">
                  <c:v>73.216769573266106</c:v>
                </c:pt>
                <c:pt idx="111">
                  <c:v>72.873378156298983</c:v>
                </c:pt>
                <c:pt idx="112">
                  <c:v>72.524980138333689</c:v>
                </c:pt>
                <c:pt idx="113">
                  <c:v>72.171629640350375</c:v>
                </c:pt>
                <c:pt idx="114">
                  <c:v>71.81338996051737</c:v>
                </c:pt>
                <c:pt idx="115">
                  <c:v>71.450333970285513</c:v>
                </c:pt>
                <c:pt idx="116">
                  <c:v>71.082544504496241</c:v>
                </c:pt>
                <c:pt idx="117">
                  <c:v>70.710114743032122</c:v>
                </c:pt>
                <c:pt idx="118">
                  <c:v>70.333148581375667</c:v>
                </c:pt>
                <c:pt idx="119">
                  <c:v>69.951760987286619</c:v>
                </c:pt>
                <c:pt idx="120">
                  <c:v>69.566078340669364</c:v>
                </c:pt>
                <c:pt idx="121">
                  <c:v>69.176238753571866</c:v>
                </c:pt>
                <c:pt idx="122">
                  <c:v>68.782392367155524</c:v>
                </c:pt>
                <c:pt idx="123">
                  <c:v>68.384701622381399</c:v>
                </c:pt>
                <c:pt idx="124">
                  <c:v>67.983341501102302</c:v>
                </c:pt>
                <c:pt idx="125">
                  <c:v>67.578499734215555</c:v>
                </c:pt>
                <c:pt idx="126">
                  <c:v>67.170376973523602</c:v>
                </c:pt>
                <c:pt idx="127">
                  <c:v>66.759186923994861</c:v>
                </c:pt>
                <c:pt idx="128">
                  <c:v>66.345156433170345</c:v>
                </c:pt>
                <c:pt idx="129">
                  <c:v>65.928525534581553</c:v>
                </c:pt>
                <c:pt idx="130">
                  <c:v>65.509547442193451</c:v>
                </c:pt>
                <c:pt idx="131">
                  <c:v>65.088488493076142</c:v>
                </c:pt>
                <c:pt idx="132">
                  <c:v>64.665628035741975</c:v>
                </c:pt>
                <c:pt idx="133">
                  <c:v>64.241258261873583</c:v>
                </c:pt>
                <c:pt idx="134">
                  <c:v>63.815683979478557</c:v>
                </c:pt>
                <c:pt idx="135">
                  <c:v>63.389222325873455</c:v>
                </c:pt>
                <c:pt idx="136">
                  <c:v>62.962202419299452</c:v>
                </c:pt>
                <c:pt idx="137">
                  <c:v>62.534964948404344</c:v>
                </c:pt>
                <c:pt idx="138">
                  <c:v>62.107861699290879</c:v>
                </c:pt>
                <c:pt idx="139">
                  <c:v>61.681255020318829</c:v>
                </c:pt>
                <c:pt idx="140">
                  <c:v>61.255517225359974</c:v>
                </c:pt>
                <c:pt idx="141">
                  <c:v>60.831029936719425</c:v>
                </c:pt>
                <c:pt idx="142">
                  <c:v>60.408183369466705</c:v>
                </c:pt>
                <c:pt idx="143">
                  <c:v>59.987375559438306</c:v>
                </c:pt>
                <c:pt idx="144">
                  <c:v>59.569011537687558</c:v>
                </c:pt>
                <c:pt idx="145">
                  <c:v>59.153502454642599</c:v>
                </c:pt>
                <c:pt idx="146">
                  <c:v>58.741264657707141</c:v>
                </c:pt>
                <c:pt idx="147">
                  <c:v>58.332718726453543</c:v>
                </c:pt>
                <c:pt idx="148">
                  <c:v>57.928288469961949</c:v>
                </c:pt>
                <c:pt idx="149">
                  <c:v>57.528399891170992</c:v>
                </c:pt>
                <c:pt idx="150">
                  <c:v>57.133480123416163</c:v>
                </c:pt>
                <c:pt idx="151">
                  <c:v>56.743956344522445</c:v>
                </c:pt>
                <c:pt idx="152">
                  <c:v>56.360254674002846</c:v>
                </c:pt>
                <c:pt idx="153">
                  <c:v>55.98279905898238</c:v>
                </c:pt>
                <c:pt idx="154">
                  <c:v>55.612010154508397</c:v>
                </c:pt>
                <c:pt idx="155">
                  <c:v>55.248304203853387</c:v>
                </c:pt>
                <c:pt idx="156">
                  <c:v>54.892091924313796</c:v>
                </c:pt>
                <c:pt idx="157">
                  <c:v>54.543777403835236</c:v>
                </c:pt>
                <c:pt idx="158">
                  <c:v>54.203757013573956</c:v>
                </c:pt>
                <c:pt idx="159">
                  <c:v>53.872418341207542</c:v>
                </c:pt>
                <c:pt idx="160">
                  <c:v>53.550139149499799</c:v>
                </c:pt>
                <c:pt idx="161">
                  <c:v>53.237286364250942</c:v>
                </c:pt>
                <c:pt idx="162">
                  <c:v>52.934215095368863</c:v>
                </c:pt>
                <c:pt idx="163">
                  <c:v>52.641267694381533</c:v>
                </c:pt>
                <c:pt idx="164">
                  <c:v>52.358772851282268</c:v>
                </c:pt>
                <c:pt idx="165">
                  <c:v>52.087044733162379</c:v>
                </c:pt>
                <c:pt idx="166">
                  <c:v>51.826382166651058</c:v>
                </c:pt>
                <c:pt idx="167">
                  <c:v>51.577067865768541</c:v>
                </c:pt>
                <c:pt idx="168">
                  <c:v>51.339367706394754</c:v>
                </c:pt>
                <c:pt idx="169">
                  <c:v>51.113530048179513</c:v>
                </c:pt>
                <c:pt idx="170">
                  <c:v>50.899785104383682</c:v>
                </c:pt>
                <c:pt idx="171">
                  <c:v>50.698344359826002</c:v>
                </c:pt>
                <c:pt idx="172">
                  <c:v>50.50940003685804</c:v>
                </c:pt>
                <c:pt idx="173">
                  <c:v>50.333124609052803</c:v>
                </c:pt>
                <c:pt idx="174">
                  <c:v>50.169670362136749</c:v>
                </c:pt>
                <c:pt idx="175">
                  <c:v>50.019169001542728</c:v>
                </c:pt>
                <c:pt idx="176">
                  <c:v>49.881731305900345</c:v>
                </c:pt>
                <c:pt idx="177">
                  <c:v>49.757446825716713</c:v>
                </c:pt>
                <c:pt idx="178">
                  <c:v>49.646383626525143</c:v>
                </c:pt>
                <c:pt idx="179">
                  <c:v>49.548588075798051</c:v>
                </c:pt>
                <c:pt idx="180">
                  <c:v>49.464084673002546</c:v>
                </c:pt>
                <c:pt idx="181">
                  <c:v>49.392875922282045</c:v>
                </c:pt>
                <c:pt idx="182">
                  <c:v>49.334942247360942</c:v>
                </c:pt>
                <c:pt idx="183">
                  <c:v>49.290241948420366</c:v>
                </c:pt>
                <c:pt idx="184">
                  <c:v>49.258711200837865</c:v>
                </c:pt>
                <c:pt idx="185">
                  <c:v>49.240264095848694</c:v>
                </c:pt>
                <c:pt idx="186">
                  <c:v>49.234792723329804</c:v>
                </c:pt>
                <c:pt idx="187">
                  <c:v>49.242167297061727</c:v>
                </c:pt>
                <c:pt idx="188">
                  <c:v>49.262236322944041</c:v>
                </c:pt>
                <c:pt idx="189">
                  <c:v>49.294826810757215</c:v>
                </c:pt>
                <c:pt idx="190">
                  <c:v>49.339744530133217</c:v>
                </c:pt>
                <c:pt idx="191">
                  <c:v>49.396774311452774</c:v>
                </c:pt>
                <c:pt idx="192">
                  <c:v>49.46568039239407</c:v>
                </c:pt>
                <c:pt idx="193">
                  <c:v>49.546206810826682</c:v>
                </c:pt>
                <c:pt idx="194">
                  <c:v>49.638077844675685</c:v>
                </c:pt>
                <c:pt idx="195">
                  <c:v>49.740998499257721</c:v>
                </c:pt>
                <c:pt idx="196">
                  <c:v>49.854655042427744</c:v>
                </c:pt>
                <c:pt idx="197">
                  <c:v>49.978715587667693</c:v>
                </c:pt>
                <c:pt idx="198">
                  <c:v>50.112830724990253</c:v>
                </c:pt>
                <c:pt idx="199">
                  <c:v>50.2566341992368</c:v>
                </c:pt>
                <c:pt idx="200">
                  <c:v>50.40974363501735</c:v>
                </c:pt>
                <c:pt idx="201">
                  <c:v>50.57176130716789</c:v>
                </c:pt>
                <c:pt idx="202">
                  <c:v>50.742274955210696</c:v>
                </c:pt>
                <c:pt idx="203">
                  <c:v>50.920858639886625</c:v>
                </c:pt>
                <c:pt idx="204">
                  <c:v>51.107073639395956</c:v>
                </c:pt>
                <c:pt idx="205">
                  <c:v>51.300469382557203</c:v>
                </c:pt>
                <c:pt idx="206">
                  <c:v>51.500584415651488</c:v>
                </c:pt>
                <c:pt idx="207">
                  <c:v>51.706947399306962</c:v>
                </c:pt>
                <c:pt idx="208">
                  <c:v>51.919078131375187</c:v>
                </c:pt>
                <c:pt idx="209">
                  <c:v>52.136488591377912</c:v>
                </c:pt>
                <c:pt idx="210">
                  <c:v>52.358684001767585</c:v>
                </c:pt>
                <c:pt idx="211">
                  <c:v>52.585163900955195</c:v>
                </c:pt>
                <c:pt idx="212">
                  <c:v>52.815423222818119</c:v>
                </c:pt>
                <c:pt idx="213">
                  <c:v>53.048953377214559</c:v>
                </c:pt>
                <c:pt idx="214">
                  <c:v>53.285243325911203</c:v>
                </c:pt>
                <c:pt idx="215">
                  <c:v>53.523780648273345</c:v>
                </c:pt>
                <c:pt idx="216">
                  <c:v>53.764052591070836</c:v>
                </c:pt>
                <c:pt idx="217">
                  <c:v>54.00554709683589</c:v>
                </c:pt>
                <c:pt idx="218">
                  <c:v>54.247753805344551</c:v>
                </c:pt>
                <c:pt idx="219">
                  <c:v>54.490165023009027</c:v>
                </c:pt>
                <c:pt idx="220">
                  <c:v>54.732276655225384</c:v>
                </c:pt>
                <c:pt idx="221">
                  <c:v>54.973589097061364</c:v>
                </c:pt>
                <c:pt idx="222">
                  <c:v>55.213608078026624</c:v>
                </c:pt>
                <c:pt idx="223">
                  <c:v>55.451845457109648</c:v>
                </c:pt>
                <c:pt idx="224">
                  <c:v>55.687819964701681</c:v>
                </c:pt>
                <c:pt idx="225">
                  <c:v>55.921057888534556</c:v>
                </c:pt>
                <c:pt idx="226">
                  <c:v>56.151093701256407</c:v>
                </c:pt>
                <c:pt idx="227">
                  <c:v>56.377470627792277</c:v>
                </c:pt>
                <c:pt idx="228">
                  <c:v>56.599741151174143</c:v>
                </c:pt>
                <c:pt idx="229">
                  <c:v>56.817467456032261</c:v>
                </c:pt>
                <c:pt idx="230">
                  <c:v>57.030221809473886</c:v>
                </c:pt>
                <c:pt idx="231">
                  <c:v>57.237586879554016</c:v>
                </c:pt>
                <c:pt idx="232">
                  <c:v>57.439155992028269</c:v>
                </c:pt>
                <c:pt idx="233">
                  <c:v>57.634533326525009</c:v>
                </c:pt>
                <c:pt idx="234">
                  <c:v>57.823334053671942</c:v>
                </c:pt>
                <c:pt idx="235">
                  <c:v>58.005184415104502</c:v>
                </c:pt>
                <c:pt idx="236">
                  <c:v>58.179721748607584</c:v>
                </c:pt>
                <c:pt idx="237">
                  <c:v>58.346594460939258</c:v>
                </c:pt>
                <c:pt idx="238">
                  <c:v>58.505461951136994</c:v>
                </c:pt>
                <c:pt idx="239">
                  <c:v>58.655994487311688</c:v>
                </c:pt>
                <c:pt idx="240">
                  <c:v>58.797873040106829</c:v>
                </c:pt>
                <c:pt idx="241">
                  <c:v>58.930789076114465</c:v>
                </c:pt>
                <c:pt idx="242">
                  <c:v>59.054444314638538</c:v>
                </c:pt>
                <c:pt idx="243">
                  <c:v>59.168550451225919</c:v>
                </c:pt>
                <c:pt idx="244">
                  <c:v>59.272828851419824</c:v>
                </c:pt>
                <c:pt idx="245">
                  <c:v>59.367010218149019</c:v>
                </c:pt>
                <c:pt idx="246">
                  <c:v>59.450834236138206</c:v>
                </c:pt>
                <c:pt idx="247">
                  <c:v>59.524049196642594</c:v>
                </c:pt>
                <c:pt idx="248">
                  <c:v>59.586411605715753</c:v>
                </c:pt>
                <c:pt idx="249">
                  <c:v>59.637685779109205</c:v>
                </c:pt>
                <c:pt idx="250">
                  <c:v>59.67764342677556</c:v>
                </c:pt>
                <c:pt idx="251">
                  <c:v>59.706063229802666</c:v>
                </c:pt>
                <c:pt idx="252">
                  <c:v>59.722730412459477</c:v>
                </c:pt>
                <c:pt idx="253">
                  <c:v>59.727436311877995</c:v>
                </c:pt>
                <c:pt idx="254">
                  <c:v>59.719977947736453</c:v>
                </c:pt>
                <c:pt idx="255">
                  <c:v>59.700157594144777</c:v>
                </c:pt>
                <c:pt idx="256">
                  <c:v>59.667782355783842</c:v>
                </c:pt>
                <c:pt idx="257">
                  <c:v>59.622663750172819</c:v>
                </c:pt>
                <c:pt idx="258">
                  <c:v>59.564617297805448</c:v>
                </c:pt>
                <c:pt idx="259">
                  <c:v>59.493462121738517</c:v>
                </c:pt>
                <c:pt idx="260">
                  <c:v>59.409020558069081</c:v>
                </c:pt>
                <c:pt idx="261">
                  <c:v>59.311117778615859</c:v>
                </c:pt>
                <c:pt idx="262">
                  <c:v>59.199581426983947</c:v>
                </c:pt>
                <c:pt idx="263">
                  <c:v>59.074241269076268</c:v>
                </c:pt>
                <c:pt idx="264">
                  <c:v>58.934928859013311</c:v>
                </c:pt>
                <c:pt idx="265">
                  <c:v>58.78147722131655</c:v>
                </c:pt>
                <c:pt idx="266">
                  <c:v>58.61372055012572</c:v>
                </c:pt>
                <c:pt idx="267">
                  <c:v>58.431493926133001</c:v>
                </c:pt>
                <c:pt idx="268">
                  <c:v>58.234633051860897</c:v>
                </c:pt>
                <c:pt idx="269">
                  <c:v>58.022974005825432</c:v>
                </c:pt>
                <c:pt idx="270">
                  <c:v>57.796353016091992</c:v>
                </c:pt>
                <c:pt idx="271">
                  <c:v>57.554606253672205</c:v>
                </c:pt>
                <c:pt idx="272">
                  <c:v>57.29756964617507</c:v>
                </c:pt>
                <c:pt idx="273">
                  <c:v>57.025078712092373</c:v>
                </c:pt>
                <c:pt idx="274">
                  <c:v>56.73696841607201</c:v>
                </c:pt>
                <c:pt idx="275">
                  <c:v>56.433073045511215</c:v>
                </c:pt>
                <c:pt idx="276">
                  <c:v>56.113226108785874</c:v>
                </c:pt>
                <c:pt idx="277">
                  <c:v>55.777260255421716</c:v>
                </c:pt>
                <c:pt idx="278">
                  <c:v>55.425007218502905</c:v>
                </c:pt>
                <c:pt idx="279">
                  <c:v>55.056297779607569</c:v>
                </c:pt>
                <c:pt idx="280">
                  <c:v>54.670961756561361</c:v>
                </c:pt>
                <c:pt idx="281">
                  <c:v>54.268828014292765</c:v>
                </c:pt>
                <c:pt idx="282">
                  <c:v>53.849724499072174</c:v>
                </c:pt>
                <c:pt idx="283">
                  <c:v>53.413478296424778</c:v>
                </c:pt>
                <c:pt idx="284">
                  <c:v>52.959915712991034</c:v>
                </c:pt>
                <c:pt idx="285">
                  <c:v>52.488862382618265</c:v>
                </c:pt>
                <c:pt idx="286">
                  <c:v>52.00014339694949</c:v>
                </c:pt>
                <c:pt idx="287">
                  <c:v>51.49358346077743</c:v>
                </c:pt>
                <c:pt idx="288">
                  <c:v>50.969007072409887</c:v>
                </c:pt>
                <c:pt idx="289">
                  <c:v>50.426238729279412</c:v>
                </c:pt>
                <c:pt idx="290">
                  <c:v>49.865103159009045</c:v>
                </c:pt>
                <c:pt idx="291">
                  <c:v>49.285425576113575</c:v>
                </c:pt>
                <c:pt idx="292">
                  <c:v>48.687031964483566</c:v>
                </c:pt>
                <c:pt idx="293">
                  <c:v>48.069749385756417</c:v>
                </c:pt>
                <c:pt idx="294">
                  <c:v>47.433406313629384</c:v>
                </c:pt>
                <c:pt idx="295">
                  <c:v>46.777832994106127</c:v>
                </c:pt>
                <c:pt idx="296">
                  <c:v>46.102861831610902</c:v>
                </c:pt>
                <c:pt idx="297">
                  <c:v>45.408327800816458</c:v>
                </c:pt>
                <c:pt idx="298">
                  <c:v>44.6940688839519</c:v>
                </c:pt>
                <c:pt idx="299">
                  <c:v>43.959926533261324</c:v>
                </c:pt>
                <c:pt idx="300">
                  <c:v>43.205746158170292</c:v>
                </c:pt>
                <c:pt idx="301">
                  <c:v>42.431377636611778</c:v>
                </c:pt>
                <c:pt idx="302">
                  <c:v>41.636675849827007</c:v>
                </c:pt>
                <c:pt idx="303">
                  <c:v>40.82150123982386</c:v>
                </c:pt>
                <c:pt idx="304">
                  <c:v>39.985720388536848</c:v>
                </c:pt>
                <c:pt idx="305">
                  <c:v>39.129206617568116</c:v>
                </c:pt>
                <c:pt idx="306">
                  <c:v>38.251840607237277</c:v>
                </c:pt>
                <c:pt idx="307">
                  <c:v>37.353511033495892</c:v>
                </c:pt>
                <c:pt idx="308">
                  <c:v>36.434115221091695</c:v>
                </c:pt>
                <c:pt idx="309">
                  <c:v>35.493559811191851</c:v>
                </c:pt>
                <c:pt idx="310">
                  <c:v>34.531761441494083</c:v>
                </c:pt>
                <c:pt idx="311">
                  <c:v>33.548647436677953</c:v>
                </c:pt>
                <c:pt idx="312">
                  <c:v>32.544156506878785</c:v>
                </c:pt>
                <c:pt idx="313">
                  <c:v>31.518239451681556</c:v>
                </c:pt>
                <c:pt idx="314">
                  <c:v>30.470859866985403</c:v>
                </c:pt>
                <c:pt idx="315">
                  <c:v>29.40199485191982</c:v>
                </c:pt>
                <c:pt idx="316">
                  <c:v>28.311635712865886</c:v>
                </c:pt>
                <c:pt idx="317">
                  <c:v>27.199788661494026</c:v>
                </c:pt>
                <c:pt idx="318">
                  <c:v>26.066475503638578</c:v>
                </c:pt>
                <c:pt idx="319">
                  <c:v>24.911734315724747</c:v>
                </c:pt>
                <c:pt idx="320">
                  <c:v>23.735620105409371</c:v>
                </c:pt>
                <c:pt idx="321">
                  <c:v>22.538205453058016</c:v>
                </c:pt>
                <c:pt idx="322">
                  <c:v>21.319581130654569</c:v>
                </c:pt>
                <c:pt idx="323">
                  <c:v>20.079856694777298</c:v>
                </c:pt>
                <c:pt idx="324">
                  <c:v>18.819161050299986</c:v>
                </c:pt>
                <c:pt idx="325">
                  <c:v>17.537642981576376</c:v>
                </c:pt>
                <c:pt idx="326">
                  <c:v>16.235471647949637</c:v>
                </c:pt>
                <c:pt idx="327">
                  <c:v>14.912837040588427</c:v>
                </c:pt>
                <c:pt idx="328">
                  <c:v>13.569950397809716</c:v>
                </c:pt>
                <c:pt idx="329">
                  <c:v>12.207044576232363</c:v>
                </c:pt>
                <c:pt idx="330">
                  <c:v>10.824374375355287</c:v>
                </c:pt>
                <c:pt idx="331">
                  <c:v>9.4222168133553161</c:v>
                </c:pt>
                <c:pt idx="332">
                  <c:v>8.0008713522011821</c:v>
                </c:pt>
                <c:pt idx="333">
                  <c:v>6.5606600704116707</c:v>
                </c:pt>
                <c:pt idx="334">
                  <c:v>5.1019277821139157</c:v>
                </c:pt>
                <c:pt idx="335">
                  <c:v>3.6250421013040883</c:v>
                </c:pt>
                <c:pt idx="336">
                  <c:v>2.130393450536558</c:v>
                </c:pt>
                <c:pt idx="337">
                  <c:v>0.61839501351678305</c:v>
                </c:pt>
                <c:pt idx="338">
                  <c:v>-0.91051736862125632</c:v>
                </c:pt>
                <c:pt idx="339">
                  <c:v>-2.4558853573396626</c:v>
                </c:pt>
                <c:pt idx="340">
                  <c:v>-4.0172283327544704</c:v>
                </c:pt>
                <c:pt idx="341">
                  <c:v>-5.5940436652550636</c:v>
                </c:pt>
                <c:pt idx="342">
                  <c:v>-7.1858070420039146</c:v>
                </c:pt>
                <c:pt idx="343">
                  <c:v>-8.7919728474873455</c:v>
                </c:pt>
                <c:pt idx="344">
                  <c:v>-10.41197459713997</c:v>
                </c:pt>
                <c:pt idx="345">
                  <c:v>-12.04522542296303</c:v>
                </c:pt>
                <c:pt idx="346">
                  <c:v>-13.69111860997242</c:v>
                </c:pt>
                <c:pt idx="347">
                  <c:v>-15.349028182251859</c:v>
                </c:pt>
                <c:pt idx="348">
                  <c:v>-17.018309537370328</c:v>
                </c:pt>
                <c:pt idx="349">
                  <c:v>-18.698300127883911</c:v>
                </c:pt>
                <c:pt idx="350">
                  <c:v>-20.388320188662746</c:v>
                </c:pt>
                <c:pt idx="351">
                  <c:v>-22.087673508786327</c:v>
                </c:pt>
                <c:pt idx="352">
                  <c:v>-23.795648246765879</c:v>
                </c:pt>
                <c:pt idx="353">
                  <c:v>-25.51151778786539</c:v>
                </c:pt>
                <c:pt idx="354">
                  <c:v>-27.234541642319755</c:v>
                </c:pt>
                <c:pt idx="355">
                  <c:v>-28.963966383203719</c:v>
                </c:pt>
                <c:pt idx="356">
                  <c:v>-30.699026622750562</c:v>
                </c:pt>
                <c:pt idx="357">
                  <c:v>-32.438946025819213</c:v>
                </c:pt>
                <c:pt idx="358">
                  <c:v>-34.182938359194068</c:v>
                </c:pt>
                <c:pt idx="359">
                  <c:v>-35.930208575293427</c:v>
                </c:pt>
                <c:pt idx="360">
                  <c:v>-37.679953928756412</c:v>
                </c:pt>
                <c:pt idx="361">
                  <c:v>-39.431365124231121</c:v>
                </c:pt>
                <c:pt idx="362">
                  <c:v>-41.183627493532931</c:v>
                </c:pt>
                <c:pt idx="363">
                  <c:v>-42.935922200136098</c:v>
                </c:pt>
                <c:pt idx="364">
                  <c:v>-44.687427468743749</c:v>
                </c:pt>
                <c:pt idx="365">
                  <c:v>-46.437319837458389</c:v>
                </c:pt>
                <c:pt idx="366">
                  <c:v>-48.184775429813698</c:v>
                </c:pt>
                <c:pt idx="367">
                  <c:v>-49.928971243664698</c:v>
                </c:pt>
                <c:pt idx="368">
                  <c:v>-51.669086453679476</c:v>
                </c:pt>
                <c:pt idx="369">
                  <c:v>-53.404303723895048</c:v>
                </c:pt>
                <c:pt idx="370">
                  <c:v>-55.133810526555976</c:v>
                </c:pt>
                <c:pt idx="371">
                  <c:v>-56.856800463201083</c:v>
                </c:pt>
                <c:pt idx="372">
                  <c:v>-58.572474583748502</c:v>
                </c:pt>
                <c:pt idx="373">
                  <c:v>-60.280042699122795</c:v>
                </c:pt>
                <c:pt idx="374">
                  <c:v>-61.97872468281367</c:v>
                </c:pt>
                <c:pt idx="375">
                  <c:v>-63.667751756614848</c:v>
                </c:pt>
                <c:pt idx="376">
                  <c:v>-65.346367755724017</c:v>
                </c:pt>
                <c:pt idx="377">
                  <c:v>-67.013830368324108</c:v>
                </c:pt>
                <c:pt idx="378">
                  <c:v>-68.669412344789009</c:v>
                </c:pt>
                <c:pt idx="379">
                  <c:v>-70.312402671716413</c:v>
                </c:pt>
                <c:pt idx="380">
                  <c:v>-71.942107706095044</c:v>
                </c:pt>
                <c:pt idx="381">
                  <c:v>-73.557852265083937</c:v>
                </c:pt>
                <c:pt idx="382">
                  <c:v>-75.158980667107016</c:v>
                </c:pt>
                <c:pt idx="383">
                  <c:v>-76.744857720216899</c:v>
                </c:pt>
                <c:pt idx="384">
                  <c:v>-78.314869654018437</c:v>
                </c:pt>
                <c:pt idx="385">
                  <c:v>-79.868424991783371</c:v>
                </c:pt>
                <c:pt idx="386">
                  <c:v>-81.404955359812888</c:v>
                </c:pt>
                <c:pt idx="387">
                  <c:v>-82.923916231514738</c:v>
                </c:pt>
                <c:pt idx="388">
                  <c:v>-84.424787604149103</c:v>
                </c:pt>
                <c:pt idx="389">
                  <c:v>-85.907074606672396</c:v>
                </c:pt>
                <c:pt idx="390">
                  <c:v>-87.370308037619722</c:v>
                </c:pt>
                <c:pt idx="391">
                  <c:v>-88.814044832482168</c:v>
                </c:pt>
                <c:pt idx="392">
                  <c:v>-90.237868460537442</c:v>
                </c:pt>
                <c:pt idx="393">
                  <c:v>-91.64138925162699</c:v>
                </c:pt>
                <c:pt idx="394">
                  <c:v>-93.024244653844505</c:v>
                </c:pt>
                <c:pt idx="395">
                  <c:v>-94.386099423596804</c:v>
                </c:pt>
                <c:pt idx="396">
                  <c:v>-95.726645749948176</c:v>
                </c:pt>
                <c:pt idx="397">
                  <c:v>-97.045603315568201</c:v>
                </c:pt>
                <c:pt idx="398">
                  <c:v>-98.342719297010149</c:v>
                </c:pt>
                <c:pt idx="399">
                  <c:v>-99.61776830736062</c:v>
                </c:pt>
                <c:pt idx="400">
                  <c:v>-100.87055228462737</c:v>
                </c:pt>
                <c:pt idx="401">
                  <c:v>-102.10090032944819</c:v>
                </c:pt>
                <c:pt idx="402">
                  <c:v>-103.30866849593365</c:v>
                </c:pt>
                <c:pt idx="403">
                  <c:v>-104.49373953956507</c:v>
                </c:pt>
                <c:pt idx="404">
                  <c:v>-105.6560226261918</c:v>
                </c:pt>
                <c:pt idx="405">
                  <c:v>-106.79545300617977</c:v>
                </c:pt>
                <c:pt idx="406">
                  <c:v>-107.91199165776749</c:v>
                </c:pt>
                <c:pt idx="407">
                  <c:v>-109.0056249036046</c:v>
                </c:pt>
                <c:pt idx="408">
                  <c:v>-110.07636400433714</c:v>
                </c:pt>
                <c:pt idx="409">
                  <c:v>-111.12424473293916</c:v>
                </c:pt>
                <c:pt idx="410">
                  <c:v>-112.14932693327896</c:v>
                </c:pt>
                <c:pt idx="411">
                  <c:v>-113.15169406616583</c:v>
                </c:pt>
                <c:pt idx="412">
                  <c:v>-114.1314527458314</c:v>
                </c:pt>
                <c:pt idx="413">
                  <c:v>-115.08873226949518</c:v>
                </c:pt>
                <c:pt idx="414">
                  <c:v>-116.02368414230297</c:v>
                </c:pt>
                <c:pt idx="415">
                  <c:v>-116.93648159957932</c:v>
                </c:pt>
                <c:pt idx="416">
                  <c:v>-117.82731912792975</c:v>
                </c:pt>
                <c:pt idx="417">
                  <c:v>-118.69641198634504</c:v>
                </c:pt>
                <c:pt idx="418">
                  <c:v>-119.54399572803247</c:v>
                </c:pt>
                <c:pt idx="419">
                  <c:v>-120.37032572331159</c:v>
                </c:pt>
                <c:pt idx="420">
                  <c:v>-121.17567668347321</c:v>
                </c:pt>
                <c:pt idx="421">
                  <c:v>-121.96034218510749</c:v>
                </c:pt>
                <c:pt idx="422">
                  <c:v>-122.72463419401215</c:v>
                </c:pt>
                <c:pt idx="423">
                  <c:v>-123.46888258740356</c:v>
                </c:pt>
                <c:pt idx="424">
                  <c:v>-124.1934346727992</c:v>
                </c:pt>
                <c:pt idx="425">
                  <c:v>-124.89865470159971</c:v>
                </c:pt>
                <c:pt idx="426">
                  <c:v>-125.58492337509693</c:v>
                </c:pt>
                <c:pt idx="427">
                  <c:v>-126.25263734036088</c:v>
                </c:pt>
                <c:pt idx="428">
                  <c:v>-126.90220867321912</c:v>
                </c:pt>
                <c:pt idx="429">
                  <c:v>-127.53406434536961</c:v>
                </c:pt>
                <c:pt idx="430">
                  <c:v>-128.14864567249933</c:v>
                </c:pt>
                <c:pt idx="431">
                  <c:v>-128.74640774020966</c:v>
                </c:pt>
                <c:pt idx="432">
                  <c:v>-129.32781880449969</c:v>
                </c:pt>
                <c:pt idx="433">
                  <c:v>-129.89335966357609</c:v>
                </c:pt>
                <c:pt idx="434">
                  <c:v>-130.44352299783969</c:v>
                </c:pt>
                <c:pt idx="435">
                  <c:v>-130.97881267502743</c:v>
                </c:pt>
                <c:pt idx="436">
                  <c:v>-131.4997430176999</c:v>
                </c:pt>
                <c:pt idx="437">
                  <c:v>-132.00683803050808</c:v>
                </c:pt>
                <c:pt idx="438">
                  <c:v>-132.50063058501357</c:v>
                </c:pt>
                <c:pt idx="439">
                  <c:v>-132.98166156020383</c:v>
                </c:pt>
                <c:pt idx="440">
                  <c:v>-133.45047893729037</c:v>
                </c:pt>
                <c:pt idx="441">
                  <c:v>-133.90763684787314</c:v>
                </c:pt>
                <c:pt idx="442">
                  <c:v>-134.35369457509108</c:v>
                </c:pt>
                <c:pt idx="443">
                  <c:v>-134.78921550797187</c:v>
                </c:pt>
                <c:pt idx="444">
                  <c:v>-135.21476604981473</c:v>
                </c:pt>
                <c:pt idx="445">
                  <c:v>-135.63091448209875</c:v>
                </c:pt>
                <c:pt idx="446">
                  <c:v>-136.03822978608324</c:v>
                </c:pt>
                <c:pt idx="447">
                  <c:v>-136.43728042495371</c:v>
                </c:pt>
                <c:pt idx="448">
                  <c:v>-136.82863309007044</c:v>
                </c:pt>
                <c:pt idx="449">
                  <c:v>-137.2128514155462</c:v>
                </c:pt>
                <c:pt idx="450">
                  <c:v>-137.5904946660645</c:v>
                </c:pt>
                <c:pt idx="451">
                  <c:v>-137.96211640347767</c:v>
                </c:pt>
                <c:pt idx="452">
                  <c:v>-138.32826313833223</c:v>
                </c:pt>
                <c:pt idx="453">
                  <c:v>-138.68947297302256</c:v>
                </c:pt>
                <c:pt idx="454">
                  <c:v>-139.04627424376375</c:v>
                </c:pt>
                <c:pt idx="455">
                  <c:v>-139.39918416900832</c:v>
                </c:pt>
                <c:pt idx="456">
                  <c:v>-139.74870751227914</c:v>
                </c:pt>
                <c:pt idx="457">
                  <c:v>-140.09533526766009</c:v>
                </c:pt>
                <c:pt idx="458">
                  <c:v>-140.43954337637362</c:v>
                </c:pt>
                <c:pt idx="459">
                  <c:v>-140.78179148294822</c:v>
                </c:pt>
                <c:pt idx="460">
                  <c:v>-141.12252173948647</c:v>
                </c:pt>
                <c:pt idx="461">
                  <c:v>-141.46215766642189</c:v>
                </c:pt>
                <c:pt idx="462">
                  <c:v>-141.80110307795653</c:v>
                </c:pt>
                <c:pt idx="463">
                  <c:v>-142.13974108006275</c:v>
                </c:pt>
                <c:pt idx="464">
                  <c:v>-142.47843314853614</c:v>
                </c:pt>
                <c:pt idx="465">
                  <c:v>-142.81751829409177</c:v>
                </c:pt>
                <c:pt idx="466">
                  <c:v>-143.15731232092591</c:v>
                </c:pt>
                <c:pt idx="467">
                  <c:v>-143.49810718450561</c:v>
                </c:pt>
                <c:pt idx="468">
                  <c:v>-143.84017045361799</c:v>
                </c:pt>
                <c:pt idx="469">
                  <c:v>-144.18374488092695</c:v>
                </c:pt>
                <c:pt idx="470">
                  <c:v>-144.52904808543028</c:v>
                </c:pt>
                <c:pt idx="471">
                  <c:v>-144.87627234933134</c:v>
                </c:pt>
                <c:pt idx="472">
                  <c:v>-145.2255845308942</c:v>
                </c:pt>
                <c:pt idx="473">
                  <c:v>-145.57712609393622</c:v>
                </c:pt>
                <c:pt idx="474">
                  <c:v>-145.93101325362511</c:v>
                </c:pt>
                <c:pt idx="475">
                  <c:v>-146.28733723730525</c:v>
                </c:pt>
                <c:pt idx="476">
                  <c:v>-146.64616465812858</c:v>
                </c:pt>
                <c:pt idx="477">
                  <c:v>-147.00753799833996</c:v>
                </c:pt>
                <c:pt idx="478">
                  <c:v>-147.37147619818347</c:v>
                </c:pt>
                <c:pt idx="479">
                  <c:v>-147.73797534554333</c:v>
                </c:pt>
                <c:pt idx="480">
                  <c:v>-148.10700946064748</c:v>
                </c:pt>
                <c:pt idx="481">
                  <c:v>-148.47853136943408</c:v>
                </c:pt>
                <c:pt idx="482">
                  <c:v>-148.85247365852808</c:v>
                </c:pt>
                <c:pt idx="483">
                  <c:v>-149.22874970419605</c:v>
                </c:pt>
                <c:pt idx="484">
                  <c:v>-149.60725476716163</c:v>
                </c:pt>
                <c:pt idx="485">
                  <c:v>-149.98786714476213</c:v>
                </c:pt>
                <c:pt idx="486">
                  <c:v>-150.37044937162653</c:v>
                </c:pt>
                <c:pt idx="487">
                  <c:v>-150.75484945985107</c:v>
                </c:pt>
                <c:pt idx="488">
                  <c:v>-151.14090216952798</c:v>
                </c:pt>
                <c:pt idx="489">
                  <c:v>-151.52843030049527</c:v>
                </c:pt>
                <c:pt idx="490">
                  <c:v>-151.91724599623066</c:v>
                </c:pt>
                <c:pt idx="491">
                  <c:v>-152.30715205102507</c:v>
                </c:pt>
                <c:pt idx="492">
                  <c:v>-152.69794321181115</c:v>
                </c:pt>
                <c:pt idx="493">
                  <c:v>-153.08940746638089</c:v>
                </c:pt>
                <c:pt idx="494">
                  <c:v>-153.48132731015076</c:v>
                </c:pt>
                <c:pt idx="495">
                  <c:v>-153.8734809841271</c:v>
                </c:pt>
                <c:pt idx="496">
                  <c:v>-154.26564367726252</c:v>
                </c:pt>
                <c:pt idx="497">
                  <c:v>-154.65758868700141</c:v>
                </c:pt>
                <c:pt idx="498">
                  <c:v>-155.04908853244947</c:v>
                </c:pt>
                <c:pt idx="499">
                  <c:v>-155.43991601526534</c:v>
                </c:pt>
                <c:pt idx="500">
                  <c:v>-155.82984522405704</c:v>
                </c:pt>
                <c:pt idx="501">
                  <c:v>-156.21865247876434</c:v>
                </c:pt>
                <c:pt idx="502">
                  <c:v>-156.60611721219547</c:v>
                </c:pt>
                <c:pt idx="503">
                  <c:v>-156.99202278657634</c:v>
                </c:pt>
                <c:pt idx="504">
                  <c:v>-157.37615724363187</c:v>
                </c:pt>
                <c:pt idx="505">
                  <c:v>-157.75831398736014</c:v>
                </c:pt>
                <c:pt idx="506">
                  <c:v>-158.13829239926704</c:v>
                </c:pt>
                <c:pt idx="507">
                  <c:v>-158.51589838640066</c:v>
                </c:pt>
                <c:pt idx="508">
                  <c:v>-158.89094486304893</c:v>
                </c:pt>
                <c:pt idx="509">
                  <c:v>-159.26325216744578</c:v>
                </c:pt>
                <c:pt idx="510">
                  <c:v>-159.63264841526109</c:v>
                </c:pt>
                <c:pt idx="511">
                  <c:v>-159.99896979203149</c:v>
                </c:pt>
                <c:pt idx="512">
                  <c:v>-160.3620607870146</c:v>
                </c:pt>
                <c:pt idx="513">
                  <c:v>-160.72177437123489</c:v>
                </c:pt>
                <c:pt idx="514">
                  <c:v>-161.07797212270179</c:v>
                </c:pt>
                <c:pt idx="515">
                  <c:v>-161.43052430197542</c:v>
                </c:pt>
                <c:pt idx="516">
                  <c:v>-161.77930988137368</c:v>
                </c:pt>
                <c:pt idx="517">
                  <c:v>-162.12421653120643</c:v>
                </c:pt>
                <c:pt idx="518">
                  <c:v>-162.46514056647189</c:v>
                </c:pt>
                <c:pt idx="519">
                  <c:v>-162.80198685745145</c:v>
                </c:pt>
                <c:pt idx="520">
                  <c:v>-163.13466870762187</c:v>
                </c:pt>
                <c:pt idx="521">
                  <c:v>-163.46310770224494</c:v>
                </c:pt>
                <c:pt idx="522">
                  <c:v>-163.78723353090953</c:v>
                </c:pt>
                <c:pt idx="523">
                  <c:v>-164.10698378720213</c:v>
                </c:pt>
                <c:pt idx="524">
                  <c:v>-164.42230374855836</c:v>
                </c:pt>
                <c:pt idx="525">
                  <c:v>-164.73314613919862</c:v>
                </c:pt>
                <c:pt idx="526">
                  <c:v>-165.03947087891498</c:v>
                </c:pt>
                <c:pt idx="527">
                  <c:v>-165.34124482029901</c:v>
                </c:pt>
                <c:pt idx="528">
                  <c:v>-165.63844147684625</c:v>
                </c:pt>
                <c:pt idx="529">
                  <c:v>-165.93104074419523</c:v>
                </c:pt>
                <c:pt idx="530">
                  <c:v>-166.21902861658251</c:v>
                </c:pt>
                <c:pt idx="531">
                  <c:v>-166.50239690043244</c:v>
                </c:pt>
                <c:pt idx="532">
                  <c:v>-166.78114292682176</c:v>
                </c:pt>
                <c:pt idx="533">
                  <c:v>-167.05526926439674</c:v>
                </c:pt>
                <c:pt idx="534">
                  <c:v>-167.32478343415883</c:v>
                </c:pt>
                <c:pt idx="535">
                  <c:v>-167.58969762737837</c:v>
                </c:pt>
                <c:pt idx="536">
                  <c:v>-167.85002842774918</c:v>
                </c:pt>
                <c:pt idx="537">
                  <c:v>-168.10579653875854</c:v>
                </c:pt>
                <c:pt idx="538">
                  <c:v>-168.35702651710793</c:v>
                </c:pt>
                <c:pt idx="539">
                  <c:v>-168.60374651290314</c:v>
                </c:pt>
                <c:pt idx="540">
                  <c:v>-168.84598801721367</c:v>
                </c:pt>
                <c:pt idx="541">
                  <c:v>-169.08378561749504</c:v>
                </c:pt>
              </c:numCache>
            </c:numRef>
          </c:yVal>
          <c:smooth val="1"/>
          <c:extLst>
            <c:ext xmlns:c16="http://schemas.microsoft.com/office/drawing/2014/chart" uri="{C3380CC4-5D6E-409C-BE32-E72D297353CC}">
              <c16:uniqueId val="{00000001-7AB1-42AA-8DBD-6D7B5452EF93}"/>
            </c:ext>
          </c:extLst>
        </c:ser>
        <c:dLbls>
          <c:showLegendKey val="0"/>
          <c:showVal val="0"/>
          <c:showCatName val="0"/>
          <c:showSerName val="0"/>
          <c:showPercent val="0"/>
          <c:showBubbleSize val="0"/>
        </c:dLbls>
        <c:axId val="365469056"/>
        <c:axId val="365467520"/>
      </c:scatterChart>
      <c:valAx>
        <c:axId val="365455232"/>
        <c:scaling>
          <c:logBase val="10"/>
          <c:orientation val="minMax"/>
          <c:max val="2200000"/>
          <c:min val="10"/>
        </c:scaling>
        <c:delete val="0"/>
        <c:axPos val="b"/>
        <c:minorGridlines/>
        <c:title>
          <c:tx>
            <c:rich>
              <a:bodyPr/>
              <a:lstStyle/>
              <a:p>
                <a:pPr>
                  <a:defRPr/>
                </a:pPr>
                <a:r>
                  <a:rPr lang="en-US"/>
                  <a:t>Frequency</a:t>
                </a:r>
                <a:r>
                  <a:rPr lang="en-US" baseline="0"/>
                  <a:t> (Hz)</a:t>
                </a:r>
                <a:endParaRPr lang="en-US"/>
              </a:p>
            </c:rich>
          </c:tx>
          <c:overlay val="0"/>
        </c:title>
        <c:numFmt formatCode="0" sourceLinked="0"/>
        <c:majorTickMark val="out"/>
        <c:minorTickMark val="none"/>
        <c:tickLblPos val="low"/>
        <c:crossAx val="365465600"/>
        <c:crosses val="autoZero"/>
        <c:crossBetween val="midCat"/>
      </c:valAx>
      <c:valAx>
        <c:axId val="365465600"/>
        <c:scaling>
          <c:orientation val="minMax"/>
          <c:max val="40"/>
          <c:min val="-40"/>
        </c:scaling>
        <c:delete val="0"/>
        <c:axPos val="l"/>
        <c:majorGridlines/>
        <c:minorGridlines/>
        <c:title>
          <c:tx>
            <c:rich>
              <a:bodyPr rot="-5400000" vert="horz"/>
              <a:lstStyle/>
              <a:p>
                <a:pPr>
                  <a:defRPr/>
                </a:pPr>
                <a:r>
                  <a:rPr lang="en-US">
                    <a:solidFill>
                      <a:srgbClr val="FF0000"/>
                    </a:solidFill>
                  </a:rPr>
                  <a:t>Gain</a:t>
                </a:r>
                <a:r>
                  <a:rPr lang="en-US" baseline="0">
                    <a:solidFill>
                      <a:srgbClr val="FF0000"/>
                    </a:solidFill>
                  </a:rPr>
                  <a:t> (dB)</a:t>
                </a:r>
                <a:endParaRPr lang="en-US">
                  <a:solidFill>
                    <a:srgbClr val="FF0000"/>
                  </a:solidFill>
                </a:endParaRPr>
              </a:p>
            </c:rich>
          </c:tx>
          <c:overlay val="0"/>
        </c:title>
        <c:numFmt formatCode="General" sourceLinked="0"/>
        <c:majorTickMark val="out"/>
        <c:minorTickMark val="none"/>
        <c:tickLblPos val="nextTo"/>
        <c:txPr>
          <a:bodyPr/>
          <a:lstStyle/>
          <a:p>
            <a:pPr>
              <a:defRPr>
                <a:solidFill>
                  <a:srgbClr val="FF0000"/>
                </a:solidFill>
              </a:defRPr>
            </a:pPr>
            <a:endParaRPr lang="en-US"/>
          </a:p>
        </c:txPr>
        <c:crossAx val="365455232"/>
        <c:crosses val="autoZero"/>
        <c:crossBetween val="midCat"/>
        <c:majorUnit val="20"/>
        <c:minorUnit val="10"/>
      </c:valAx>
      <c:valAx>
        <c:axId val="365467520"/>
        <c:scaling>
          <c:orientation val="minMax"/>
          <c:max val="180"/>
          <c:min val="-180"/>
        </c:scaling>
        <c:delete val="0"/>
        <c:axPos val="r"/>
        <c:numFmt formatCode="General" sourceLinked="1"/>
        <c:majorTickMark val="out"/>
        <c:minorTickMark val="none"/>
        <c:tickLblPos val="nextTo"/>
        <c:txPr>
          <a:bodyPr/>
          <a:lstStyle/>
          <a:p>
            <a:pPr>
              <a:defRPr>
                <a:solidFill>
                  <a:schemeClr val="tx1">
                    <a:lumMod val="95000"/>
                    <a:lumOff val="5000"/>
                  </a:schemeClr>
                </a:solidFill>
              </a:defRPr>
            </a:pPr>
            <a:endParaRPr lang="en-US"/>
          </a:p>
        </c:txPr>
        <c:crossAx val="365469056"/>
        <c:crosses val="max"/>
        <c:crossBetween val="midCat"/>
        <c:majorUnit val="90"/>
        <c:minorUnit val="45"/>
      </c:valAx>
      <c:valAx>
        <c:axId val="365469056"/>
        <c:scaling>
          <c:logBase val="10"/>
          <c:orientation val="minMax"/>
        </c:scaling>
        <c:delete val="1"/>
        <c:axPos val="b"/>
        <c:numFmt formatCode="0.00" sourceLinked="1"/>
        <c:majorTickMark val="out"/>
        <c:minorTickMark val="none"/>
        <c:tickLblPos val="nextTo"/>
        <c:crossAx val="365467520"/>
        <c:crosses val="autoZero"/>
        <c:crossBetween val="midCat"/>
      </c:valAx>
    </c:plotArea>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DCM Plant Transfer</a:t>
            </a:r>
            <a:r>
              <a:rPr lang="en-US" baseline="0"/>
              <a:t> Function</a:t>
            </a:r>
            <a:endParaRPr lang="en-US"/>
          </a:p>
        </c:rich>
      </c:tx>
      <c:overlay val="0"/>
    </c:title>
    <c:autoTitleDeleted val="0"/>
    <c:plotArea>
      <c:layout/>
      <c:scatterChart>
        <c:scatterStyle val="smoothMarker"/>
        <c:varyColors val="0"/>
        <c:ser>
          <c:idx val="0"/>
          <c:order val="0"/>
          <c:marker>
            <c:symbol val="none"/>
          </c:marker>
          <c:xVal>
            <c:numRef>
              <c:f>Loop_Modeling!$O$19:$O$560</c:f>
              <c:numCache>
                <c:formatCode>0.00</c:formatCode>
                <c:ptCount val="542"/>
                <c:pt idx="0">
                  <c:v>10.232929922807543</c:v>
                </c:pt>
                <c:pt idx="1">
                  <c:v>10.471285480509</c:v>
                </c:pt>
                <c:pt idx="2">
                  <c:v>10.715193052376069</c:v>
                </c:pt>
                <c:pt idx="3">
                  <c:v>10.964781961431854</c:v>
                </c:pt>
                <c:pt idx="4">
                  <c:v>11.220184543019636</c:v>
                </c:pt>
                <c:pt idx="5">
                  <c:v>11.481536214968834</c:v>
                </c:pt>
                <c:pt idx="6">
                  <c:v>11.748975549395301</c:v>
                </c:pt>
                <c:pt idx="7">
                  <c:v>12.022644346174133</c:v>
                </c:pt>
                <c:pt idx="8">
                  <c:v>12.302687708123818</c:v>
                </c:pt>
                <c:pt idx="9">
                  <c:v>12.58925411794168</c:v>
                </c:pt>
                <c:pt idx="10">
                  <c:v>12.882495516931346</c:v>
                </c:pt>
                <c:pt idx="11">
                  <c:v>13.182567385564075</c:v>
                </c:pt>
                <c:pt idx="12">
                  <c:v>13.489628825916535</c:v>
                </c:pt>
                <c:pt idx="13">
                  <c:v>13.803842646028857</c:v>
                </c:pt>
                <c:pt idx="14">
                  <c:v>14.125375446227544</c:v>
                </c:pt>
                <c:pt idx="15">
                  <c:v>14.454397707459275</c:v>
                </c:pt>
                <c:pt idx="16">
                  <c:v>14.791083881682074</c:v>
                </c:pt>
                <c:pt idx="17">
                  <c:v>15.135612484362087</c:v>
                </c:pt>
                <c:pt idx="18">
                  <c:v>15.488166189124817</c:v>
                </c:pt>
                <c:pt idx="19">
                  <c:v>15.848931924611136</c:v>
                </c:pt>
                <c:pt idx="20">
                  <c:v>16.218100973589298</c:v>
                </c:pt>
                <c:pt idx="21">
                  <c:v>16.595869074375614</c:v>
                </c:pt>
                <c:pt idx="22">
                  <c:v>16.982436524617448</c:v>
                </c:pt>
                <c:pt idx="23">
                  <c:v>17.378008287493756</c:v>
                </c:pt>
                <c:pt idx="24">
                  <c:v>17.782794100389236</c:v>
                </c:pt>
                <c:pt idx="25">
                  <c:v>18.197008586099841</c:v>
                </c:pt>
                <c:pt idx="26">
                  <c:v>18.62087136662868</c:v>
                </c:pt>
                <c:pt idx="27">
                  <c:v>19.054607179632477</c:v>
                </c:pt>
                <c:pt idx="28">
                  <c:v>19.498445997580465</c:v>
                </c:pt>
                <c:pt idx="29">
                  <c:v>19.952623149688804</c:v>
                </c:pt>
                <c:pt idx="30">
                  <c:v>20.4173794466953</c:v>
                </c:pt>
                <c:pt idx="31">
                  <c:v>20.8929613085404</c:v>
                </c:pt>
                <c:pt idx="32">
                  <c:v>21.379620895022335</c:v>
                </c:pt>
                <c:pt idx="33">
                  <c:v>21.877616239495538</c:v>
                </c:pt>
                <c:pt idx="34">
                  <c:v>22.387211385683404</c:v>
                </c:pt>
                <c:pt idx="35">
                  <c:v>22.908676527677727</c:v>
                </c:pt>
                <c:pt idx="36">
                  <c:v>23.442288153199236</c:v>
                </c:pt>
                <c:pt idx="37">
                  <c:v>23.988329190194907</c:v>
                </c:pt>
                <c:pt idx="38">
                  <c:v>24.547089156850316</c:v>
                </c:pt>
                <c:pt idx="39">
                  <c:v>25.118864315095799</c:v>
                </c:pt>
                <c:pt idx="40">
                  <c:v>25.703957827688647</c:v>
                </c:pt>
                <c:pt idx="41">
                  <c:v>26.302679918953825</c:v>
                </c:pt>
                <c:pt idx="42">
                  <c:v>26.915348039269158</c:v>
                </c:pt>
                <c:pt idx="43">
                  <c:v>27.542287033381665</c:v>
                </c:pt>
                <c:pt idx="44">
                  <c:v>28.183829312644548</c:v>
                </c:pt>
                <c:pt idx="45">
                  <c:v>28.840315031266066</c:v>
                </c:pt>
                <c:pt idx="46">
                  <c:v>29.512092266663863</c:v>
                </c:pt>
                <c:pt idx="47">
                  <c:v>30.199517204020164</c:v>
                </c:pt>
                <c:pt idx="48">
                  <c:v>30.902954325135919</c:v>
                </c:pt>
                <c:pt idx="49">
                  <c:v>31.622776601683803</c:v>
                </c:pt>
                <c:pt idx="50">
                  <c:v>32.359365692962832</c:v>
                </c:pt>
                <c:pt idx="51">
                  <c:v>33.113112148259127</c:v>
                </c:pt>
                <c:pt idx="52">
                  <c:v>33.884415613920268</c:v>
                </c:pt>
                <c:pt idx="53">
                  <c:v>34.67368504525318</c:v>
                </c:pt>
                <c:pt idx="54">
                  <c:v>35.481338923357555</c:v>
                </c:pt>
                <c:pt idx="55">
                  <c:v>36.307805477010156</c:v>
                </c:pt>
                <c:pt idx="56">
                  <c:v>37.15352290971726</c:v>
                </c:pt>
                <c:pt idx="57">
                  <c:v>38.018939632056139</c:v>
                </c:pt>
                <c:pt idx="58">
                  <c:v>38.904514499428053</c:v>
                </c:pt>
                <c:pt idx="59">
                  <c:v>39.810717055349755</c:v>
                </c:pt>
                <c:pt idx="60">
                  <c:v>40.738027780411279</c:v>
                </c:pt>
                <c:pt idx="61">
                  <c:v>41.686938347033561</c:v>
                </c:pt>
                <c:pt idx="62">
                  <c:v>42.657951880159267</c:v>
                </c:pt>
                <c:pt idx="63">
                  <c:v>43.651583224016633</c:v>
                </c:pt>
                <c:pt idx="64">
                  <c:v>44.668359215096324</c:v>
                </c:pt>
                <c:pt idx="65">
                  <c:v>45.70881896148753</c:v>
                </c:pt>
                <c:pt idx="66">
                  <c:v>46.773514128719818</c:v>
                </c:pt>
                <c:pt idx="67">
                  <c:v>47.863009232263877</c:v>
                </c:pt>
                <c:pt idx="68">
                  <c:v>48.977881936844632</c:v>
                </c:pt>
                <c:pt idx="69">
                  <c:v>50.118723362727238</c:v>
                </c:pt>
                <c:pt idx="70">
                  <c:v>51.28613839913649</c:v>
                </c:pt>
                <c:pt idx="71">
                  <c:v>52.480746024977286</c:v>
                </c:pt>
                <c:pt idx="72">
                  <c:v>53.703179637025293</c:v>
                </c:pt>
                <c:pt idx="73">
                  <c:v>54.95408738576247</c:v>
                </c:pt>
                <c:pt idx="74">
                  <c:v>56.234132519034915</c:v>
                </c:pt>
                <c:pt idx="75">
                  <c:v>57.543993733715695</c:v>
                </c:pt>
                <c:pt idx="76">
                  <c:v>58.884365535558949</c:v>
                </c:pt>
                <c:pt idx="77">
                  <c:v>60.255958607435822</c:v>
                </c:pt>
                <c:pt idx="78">
                  <c:v>61.659500186148257</c:v>
                </c:pt>
                <c:pt idx="79">
                  <c:v>63.095734448019364</c:v>
                </c:pt>
                <c:pt idx="80">
                  <c:v>64.565422903465588</c:v>
                </c:pt>
                <c:pt idx="81">
                  <c:v>66.069344800759623</c:v>
                </c:pt>
                <c:pt idx="82">
                  <c:v>67.60829753919819</c:v>
                </c:pt>
                <c:pt idx="83">
                  <c:v>69.183097091893657</c:v>
                </c:pt>
                <c:pt idx="84">
                  <c:v>70.794578438413865</c:v>
                </c:pt>
                <c:pt idx="85">
                  <c:v>72.443596007499011</c:v>
                </c:pt>
                <c:pt idx="86">
                  <c:v>74.131024130091816</c:v>
                </c:pt>
                <c:pt idx="87">
                  <c:v>75.857757502918361</c:v>
                </c:pt>
                <c:pt idx="88">
                  <c:v>77.624711662869217</c:v>
                </c:pt>
                <c:pt idx="89">
                  <c:v>79.432823472428197</c:v>
                </c:pt>
                <c:pt idx="90">
                  <c:v>81.283051616409963</c:v>
                </c:pt>
                <c:pt idx="91">
                  <c:v>83.176377110267126</c:v>
                </c:pt>
                <c:pt idx="92">
                  <c:v>85.113803820237734</c:v>
                </c:pt>
                <c:pt idx="93">
                  <c:v>87.096358995608071</c:v>
                </c:pt>
                <c:pt idx="94">
                  <c:v>89.125093813374562</c:v>
                </c:pt>
                <c:pt idx="95">
                  <c:v>91.201083935590972</c:v>
                </c:pt>
                <c:pt idx="96">
                  <c:v>93.325430079699174</c:v>
                </c:pt>
                <c:pt idx="97">
                  <c:v>95.499258602143655</c:v>
                </c:pt>
                <c:pt idx="98">
                  <c:v>97.723722095581124</c:v>
                </c:pt>
                <c:pt idx="99">
                  <c:v>100</c:v>
                </c:pt>
                <c:pt idx="100">
                  <c:v>102.32929922807544</c:v>
                </c:pt>
                <c:pt idx="101">
                  <c:v>104.71285480508998</c:v>
                </c:pt>
                <c:pt idx="102">
                  <c:v>107.15193052376065</c:v>
                </c:pt>
                <c:pt idx="103">
                  <c:v>109.64781961431861</c:v>
                </c:pt>
                <c:pt idx="104">
                  <c:v>112.20184543019634</c:v>
                </c:pt>
                <c:pt idx="105">
                  <c:v>114.81536214968835</c:v>
                </c:pt>
                <c:pt idx="106">
                  <c:v>117.48975549395293</c:v>
                </c:pt>
                <c:pt idx="107">
                  <c:v>120.22644346174135</c:v>
                </c:pt>
                <c:pt idx="108">
                  <c:v>123.02687708123821</c:v>
                </c:pt>
                <c:pt idx="109">
                  <c:v>125.89254117941677</c:v>
                </c:pt>
                <c:pt idx="110">
                  <c:v>128.82495516931343</c:v>
                </c:pt>
                <c:pt idx="111">
                  <c:v>131.82567385564084</c:v>
                </c:pt>
                <c:pt idx="112">
                  <c:v>134.89628825916537</c:v>
                </c:pt>
                <c:pt idx="113">
                  <c:v>138.0384264602886</c:v>
                </c:pt>
                <c:pt idx="114">
                  <c:v>141.25375446227542</c:v>
                </c:pt>
                <c:pt idx="115">
                  <c:v>144.54397707459285</c:v>
                </c:pt>
                <c:pt idx="116">
                  <c:v>147.91083881682084</c:v>
                </c:pt>
                <c:pt idx="117">
                  <c:v>151.3561248436209</c:v>
                </c:pt>
                <c:pt idx="118">
                  <c:v>154.8816618912482</c:v>
                </c:pt>
                <c:pt idx="119">
                  <c:v>158.48931924611153</c:v>
                </c:pt>
                <c:pt idx="120">
                  <c:v>162.18100973589304</c:v>
                </c:pt>
                <c:pt idx="121">
                  <c:v>165.95869074375622</c:v>
                </c:pt>
                <c:pt idx="122">
                  <c:v>169.82436524617444</c:v>
                </c:pt>
                <c:pt idx="123">
                  <c:v>173.78008287493768</c:v>
                </c:pt>
                <c:pt idx="124">
                  <c:v>177.82794100389242</c:v>
                </c:pt>
                <c:pt idx="125">
                  <c:v>181.9700858609983</c:v>
                </c:pt>
                <c:pt idx="126">
                  <c:v>186.20871366628685</c:v>
                </c:pt>
                <c:pt idx="127">
                  <c:v>190.54607179632498</c:v>
                </c:pt>
                <c:pt idx="128">
                  <c:v>194.98445997580458</c:v>
                </c:pt>
                <c:pt idx="129">
                  <c:v>199.52623149688802</c:v>
                </c:pt>
                <c:pt idx="130">
                  <c:v>204.17379446695315</c:v>
                </c:pt>
                <c:pt idx="131">
                  <c:v>208.92961308540396</c:v>
                </c:pt>
                <c:pt idx="132">
                  <c:v>213.79620895022339</c:v>
                </c:pt>
                <c:pt idx="133">
                  <c:v>218.77616239495524</c:v>
                </c:pt>
                <c:pt idx="134">
                  <c:v>223.87211385683412</c:v>
                </c:pt>
                <c:pt idx="135">
                  <c:v>229.08676527677744</c:v>
                </c:pt>
                <c:pt idx="136">
                  <c:v>234.42288153199232</c:v>
                </c:pt>
                <c:pt idx="137">
                  <c:v>239.88329190194912</c:v>
                </c:pt>
                <c:pt idx="138">
                  <c:v>245.4708915685033</c:v>
                </c:pt>
                <c:pt idx="139">
                  <c:v>251.18864315095806</c:v>
                </c:pt>
                <c:pt idx="140">
                  <c:v>257.03957827688663</c:v>
                </c:pt>
                <c:pt idx="141">
                  <c:v>263.02679918953817</c:v>
                </c:pt>
                <c:pt idx="142">
                  <c:v>269.15348039269179</c:v>
                </c:pt>
                <c:pt idx="143">
                  <c:v>275.42287033381683</c:v>
                </c:pt>
                <c:pt idx="144">
                  <c:v>281.83829312644554</c:v>
                </c:pt>
                <c:pt idx="145">
                  <c:v>288.40315031266073</c:v>
                </c:pt>
                <c:pt idx="146">
                  <c:v>295.12092266663871</c:v>
                </c:pt>
                <c:pt idx="147">
                  <c:v>301.99517204020168</c:v>
                </c:pt>
                <c:pt idx="148">
                  <c:v>309.02954325135937</c:v>
                </c:pt>
                <c:pt idx="149">
                  <c:v>316.22776601683825</c:v>
                </c:pt>
                <c:pt idx="150">
                  <c:v>323.59365692962825</c:v>
                </c:pt>
                <c:pt idx="151">
                  <c:v>331.13112148259137</c:v>
                </c:pt>
                <c:pt idx="152">
                  <c:v>338.84415613920277</c:v>
                </c:pt>
                <c:pt idx="153">
                  <c:v>346.73685045253183</c:v>
                </c:pt>
                <c:pt idx="154">
                  <c:v>354.81338923357566</c:v>
                </c:pt>
                <c:pt idx="155">
                  <c:v>363.07805477010152</c:v>
                </c:pt>
                <c:pt idx="156">
                  <c:v>371.53522909717265</c:v>
                </c:pt>
                <c:pt idx="157">
                  <c:v>380.18939632056163</c:v>
                </c:pt>
                <c:pt idx="158">
                  <c:v>389.04514499428063</c:v>
                </c:pt>
                <c:pt idx="159">
                  <c:v>398.10717055349761</c:v>
                </c:pt>
                <c:pt idx="160">
                  <c:v>407.38027780411272</c:v>
                </c:pt>
                <c:pt idx="161">
                  <c:v>416.86938347033572</c:v>
                </c:pt>
                <c:pt idx="162">
                  <c:v>426.57951880159294</c:v>
                </c:pt>
                <c:pt idx="163">
                  <c:v>436.51583224016622</c:v>
                </c:pt>
                <c:pt idx="164">
                  <c:v>446.68359215096331</c:v>
                </c:pt>
                <c:pt idx="165">
                  <c:v>457.0881896148756</c:v>
                </c:pt>
                <c:pt idx="166">
                  <c:v>467.7351412871983</c:v>
                </c:pt>
                <c:pt idx="167">
                  <c:v>478.63009232263886</c:v>
                </c:pt>
                <c:pt idx="168">
                  <c:v>489.77881936844625</c:v>
                </c:pt>
                <c:pt idx="169">
                  <c:v>501.18723362727269</c:v>
                </c:pt>
                <c:pt idx="170">
                  <c:v>512.86138399136519</c:v>
                </c:pt>
                <c:pt idx="171">
                  <c:v>524.80746024977248</c:v>
                </c:pt>
                <c:pt idx="172">
                  <c:v>537.03179637025301</c:v>
                </c:pt>
                <c:pt idx="173">
                  <c:v>549.54087385762534</c:v>
                </c:pt>
                <c:pt idx="174">
                  <c:v>562.34132519034927</c:v>
                </c:pt>
                <c:pt idx="175">
                  <c:v>575.43993733715706</c:v>
                </c:pt>
                <c:pt idx="176">
                  <c:v>588.84365535558959</c:v>
                </c:pt>
                <c:pt idx="177">
                  <c:v>602.55958607435832</c:v>
                </c:pt>
                <c:pt idx="178">
                  <c:v>616.59500186148273</c:v>
                </c:pt>
                <c:pt idx="179">
                  <c:v>630.95734448019323</c:v>
                </c:pt>
                <c:pt idx="180">
                  <c:v>645.65422903465594</c:v>
                </c:pt>
                <c:pt idx="181">
                  <c:v>660.69344800759643</c:v>
                </c:pt>
                <c:pt idx="182">
                  <c:v>676.08297539198213</c:v>
                </c:pt>
                <c:pt idx="183">
                  <c:v>691.83097091893671</c:v>
                </c:pt>
                <c:pt idx="184">
                  <c:v>707.94578438413873</c:v>
                </c:pt>
                <c:pt idx="185">
                  <c:v>724.43596007499025</c:v>
                </c:pt>
                <c:pt idx="186">
                  <c:v>741.31024130091828</c:v>
                </c:pt>
                <c:pt idx="187">
                  <c:v>758.57757502918378</c:v>
                </c:pt>
                <c:pt idx="188">
                  <c:v>776.24711662869231</c:v>
                </c:pt>
                <c:pt idx="189">
                  <c:v>794.32823472428208</c:v>
                </c:pt>
                <c:pt idx="190">
                  <c:v>812.83051616409978</c:v>
                </c:pt>
                <c:pt idx="191">
                  <c:v>831.7637711026714</c:v>
                </c:pt>
                <c:pt idx="192">
                  <c:v>851.13803820237763</c:v>
                </c:pt>
                <c:pt idx="193">
                  <c:v>870.96358995608091</c:v>
                </c:pt>
                <c:pt idx="194">
                  <c:v>891.25093813374656</c:v>
                </c:pt>
                <c:pt idx="195">
                  <c:v>912.01083935590987</c:v>
                </c:pt>
                <c:pt idx="196">
                  <c:v>933.25430079699106</c:v>
                </c:pt>
                <c:pt idx="197">
                  <c:v>954.99258602143675</c:v>
                </c:pt>
                <c:pt idx="198">
                  <c:v>977.23722095581138</c:v>
                </c:pt>
                <c:pt idx="199">
                  <c:v>1000</c:v>
                </c:pt>
                <c:pt idx="200">
                  <c:v>1023.2929922807547</c:v>
                </c:pt>
                <c:pt idx="201">
                  <c:v>1047.1285480509</c:v>
                </c:pt>
                <c:pt idx="202">
                  <c:v>1071.5193052376069</c:v>
                </c:pt>
                <c:pt idx="203">
                  <c:v>1096.4781961431863</c:v>
                </c:pt>
                <c:pt idx="204">
                  <c:v>1122.0184543019636</c:v>
                </c:pt>
                <c:pt idx="205">
                  <c:v>1148.1536214968839</c:v>
                </c:pt>
                <c:pt idx="206">
                  <c:v>1174.8975549395295</c:v>
                </c:pt>
                <c:pt idx="207">
                  <c:v>1202.2644346174138</c:v>
                </c:pt>
                <c:pt idx="208">
                  <c:v>1230.2687708123824</c:v>
                </c:pt>
                <c:pt idx="209">
                  <c:v>1258.925411794168</c:v>
                </c:pt>
                <c:pt idx="210">
                  <c:v>1288.2495516931347</c:v>
                </c:pt>
                <c:pt idx="211">
                  <c:v>1318.2567385564089</c:v>
                </c:pt>
                <c:pt idx="212">
                  <c:v>1348.9628825916541</c:v>
                </c:pt>
                <c:pt idx="213">
                  <c:v>1380.3842646028863</c:v>
                </c:pt>
                <c:pt idx="214">
                  <c:v>1412.5375446227545</c:v>
                </c:pt>
                <c:pt idx="215">
                  <c:v>1445.4397707459289</c:v>
                </c:pt>
                <c:pt idx="216">
                  <c:v>1479.1083881682086</c:v>
                </c:pt>
                <c:pt idx="217">
                  <c:v>1513.5612484362093</c:v>
                </c:pt>
                <c:pt idx="218">
                  <c:v>1548.8166189124822</c:v>
                </c:pt>
                <c:pt idx="219">
                  <c:v>1584.8931924611156</c:v>
                </c:pt>
                <c:pt idx="220">
                  <c:v>1621.8100973589308</c:v>
                </c:pt>
                <c:pt idx="221">
                  <c:v>1659.5869074375626</c:v>
                </c:pt>
                <c:pt idx="222">
                  <c:v>1698.2436524617447</c:v>
                </c:pt>
                <c:pt idx="223">
                  <c:v>1737.8008287493772</c:v>
                </c:pt>
                <c:pt idx="224">
                  <c:v>1778.2794100389244</c:v>
                </c:pt>
                <c:pt idx="225">
                  <c:v>1819.7008586099832</c:v>
                </c:pt>
                <c:pt idx="226">
                  <c:v>1862.0871366628687</c:v>
                </c:pt>
                <c:pt idx="227">
                  <c:v>1905.4607179632501</c:v>
                </c:pt>
                <c:pt idx="228">
                  <c:v>1949.8445997580463</c:v>
                </c:pt>
                <c:pt idx="229">
                  <c:v>1995.2623149688804</c:v>
                </c:pt>
                <c:pt idx="230">
                  <c:v>2041.7379446695318</c:v>
                </c:pt>
                <c:pt idx="231">
                  <c:v>2089.2961308540398</c:v>
                </c:pt>
                <c:pt idx="232">
                  <c:v>2137.9620895022344</c:v>
                </c:pt>
                <c:pt idx="233">
                  <c:v>2187.7616239495528</c:v>
                </c:pt>
                <c:pt idx="234">
                  <c:v>2238.7211385683418</c:v>
                </c:pt>
                <c:pt idx="235">
                  <c:v>2290.8676527677749</c:v>
                </c:pt>
                <c:pt idx="236">
                  <c:v>2344.2288153199238</c:v>
                </c:pt>
                <c:pt idx="237">
                  <c:v>2398.8329190194918</c:v>
                </c:pt>
                <c:pt idx="238">
                  <c:v>2454.7089156850338</c:v>
                </c:pt>
                <c:pt idx="239">
                  <c:v>2511.8864315095811</c:v>
                </c:pt>
                <c:pt idx="240">
                  <c:v>2570.3957827688669</c:v>
                </c:pt>
                <c:pt idx="241">
                  <c:v>2630.2679918953822</c:v>
                </c:pt>
                <c:pt idx="242">
                  <c:v>2691.5348039269184</c:v>
                </c:pt>
                <c:pt idx="243">
                  <c:v>2754.228703338169</c:v>
                </c:pt>
                <c:pt idx="244">
                  <c:v>2818.3829312644561</c:v>
                </c:pt>
                <c:pt idx="245">
                  <c:v>2884.0315031266077</c:v>
                </c:pt>
                <c:pt idx="246">
                  <c:v>2951.2092266663876</c:v>
                </c:pt>
                <c:pt idx="247">
                  <c:v>3019.9517204020176</c:v>
                </c:pt>
                <c:pt idx="248">
                  <c:v>3090.295432513592</c:v>
                </c:pt>
                <c:pt idx="249">
                  <c:v>3162.2776601683804</c:v>
                </c:pt>
                <c:pt idx="250">
                  <c:v>3235.9365692962833</c:v>
                </c:pt>
                <c:pt idx="251">
                  <c:v>3311.3112148259115</c:v>
                </c:pt>
                <c:pt idx="252">
                  <c:v>3388.4415613920314</c:v>
                </c:pt>
                <c:pt idx="253">
                  <c:v>3467.3685045253224</c:v>
                </c:pt>
                <c:pt idx="254">
                  <c:v>3548.1338923357539</c:v>
                </c:pt>
                <c:pt idx="255">
                  <c:v>3630.7805477010188</c:v>
                </c:pt>
                <c:pt idx="256">
                  <c:v>3715.352290971724</c:v>
                </c:pt>
                <c:pt idx="257">
                  <c:v>3801.8939632056172</c:v>
                </c:pt>
                <c:pt idx="258">
                  <c:v>3890.451449942811</c:v>
                </c:pt>
                <c:pt idx="259">
                  <c:v>3981.0717055349769</c:v>
                </c:pt>
                <c:pt idx="260">
                  <c:v>4073.8027780411317</c:v>
                </c:pt>
                <c:pt idx="261">
                  <c:v>4168.6938347033583</c:v>
                </c:pt>
                <c:pt idx="262">
                  <c:v>4265.7951880159299</c:v>
                </c:pt>
                <c:pt idx="263">
                  <c:v>4365.1583224016631</c:v>
                </c:pt>
                <c:pt idx="264">
                  <c:v>4466.8359215096343</c:v>
                </c:pt>
                <c:pt idx="265">
                  <c:v>4570.8818961487532</c:v>
                </c:pt>
                <c:pt idx="266">
                  <c:v>4677.3514128719844</c:v>
                </c:pt>
                <c:pt idx="267">
                  <c:v>4786.3009232263848</c:v>
                </c:pt>
                <c:pt idx="268">
                  <c:v>4897.7881936844633</c:v>
                </c:pt>
                <c:pt idx="269">
                  <c:v>5011.8723362727324</c:v>
                </c:pt>
                <c:pt idx="270">
                  <c:v>5128.6138399136489</c:v>
                </c:pt>
                <c:pt idx="271">
                  <c:v>5248.0746024977261</c:v>
                </c:pt>
                <c:pt idx="272">
                  <c:v>5370.3179637025269</c:v>
                </c:pt>
                <c:pt idx="273">
                  <c:v>5495.4087385762541</c:v>
                </c:pt>
                <c:pt idx="274">
                  <c:v>5623.4132519034993</c:v>
                </c:pt>
                <c:pt idx="275">
                  <c:v>5754.399373371567</c:v>
                </c:pt>
                <c:pt idx="276">
                  <c:v>5888.4365535558973</c:v>
                </c:pt>
                <c:pt idx="277">
                  <c:v>6025.595860743585</c:v>
                </c:pt>
                <c:pt idx="278">
                  <c:v>6165.9500186148289</c:v>
                </c:pt>
                <c:pt idx="279">
                  <c:v>6309.5734448019384</c:v>
                </c:pt>
                <c:pt idx="280">
                  <c:v>6456.5422903465615</c:v>
                </c:pt>
                <c:pt idx="281">
                  <c:v>6606.9344800759654</c:v>
                </c:pt>
                <c:pt idx="282">
                  <c:v>6760.8297539198229</c:v>
                </c:pt>
                <c:pt idx="283">
                  <c:v>6918.3097091893687</c:v>
                </c:pt>
                <c:pt idx="284">
                  <c:v>7079.4578438413828</c:v>
                </c:pt>
                <c:pt idx="285">
                  <c:v>7244.3596007499036</c:v>
                </c:pt>
                <c:pt idx="286">
                  <c:v>7413.1024130091773</c:v>
                </c:pt>
                <c:pt idx="287">
                  <c:v>7585.7757502918394</c:v>
                </c:pt>
                <c:pt idx="288">
                  <c:v>7762.4711662869322</c:v>
                </c:pt>
                <c:pt idx="289">
                  <c:v>7943.2823472428154</c:v>
                </c:pt>
                <c:pt idx="290">
                  <c:v>8128.3051616410066</c:v>
                </c:pt>
                <c:pt idx="291">
                  <c:v>8317.6377110267094</c:v>
                </c:pt>
                <c:pt idx="292">
                  <c:v>8511.3803820237772</c:v>
                </c:pt>
                <c:pt idx="293">
                  <c:v>8709.6358995608189</c:v>
                </c:pt>
                <c:pt idx="294">
                  <c:v>8912.5093813374679</c:v>
                </c:pt>
                <c:pt idx="295">
                  <c:v>9120.1083935591087</c:v>
                </c:pt>
                <c:pt idx="296">
                  <c:v>9332.5430079699217</c:v>
                </c:pt>
                <c:pt idx="297">
                  <c:v>9549.9258602143691</c:v>
                </c:pt>
                <c:pt idx="298">
                  <c:v>9772.3722095581161</c:v>
                </c:pt>
                <c:pt idx="299">
                  <c:v>10000</c:v>
                </c:pt>
                <c:pt idx="300">
                  <c:v>10232.929922807549</c:v>
                </c:pt>
                <c:pt idx="301">
                  <c:v>10471.285480509003</c:v>
                </c:pt>
                <c:pt idx="302">
                  <c:v>10715.193052376071</c:v>
                </c:pt>
                <c:pt idx="303">
                  <c:v>10964.781961431856</c:v>
                </c:pt>
                <c:pt idx="304">
                  <c:v>11220.184543019639</c:v>
                </c:pt>
                <c:pt idx="305">
                  <c:v>11481.536214968832</c:v>
                </c:pt>
                <c:pt idx="306">
                  <c:v>11748.975549395318</c:v>
                </c:pt>
                <c:pt idx="307">
                  <c:v>12022.644346174151</c:v>
                </c:pt>
                <c:pt idx="308">
                  <c:v>12302.687708123816</c:v>
                </c:pt>
                <c:pt idx="309">
                  <c:v>12589.254117941671</c:v>
                </c:pt>
                <c:pt idx="310">
                  <c:v>12882.49551693136</c:v>
                </c:pt>
                <c:pt idx="311">
                  <c:v>13182.567385564091</c:v>
                </c:pt>
                <c:pt idx="312">
                  <c:v>13489.628825916556</c:v>
                </c:pt>
                <c:pt idx="313">
                  <c:v>13803.842646028841</c:v>
                </c:pt>
                <c:pt idx="314">
                  <c:v>14125.375446227561</c:v>
                </c:pt>
                <c:pt idx="315">
                  <c:v>14454.397707459291</c:v>
                </c:pt>
                <c:pt idx="316">
                  <c:v>14791.083881682089</c:v>
                </c:pt>
                <c:pt idx="317">
                  <c:v>15135.612484362096</c:v>
                </c:pt>
                <c:pt idx="318">
                  <c:v>15488.166189124853</c:v>
                </c:pt>
                <c:pt idx="319">
                  <c:v>15848.931924611146</c:v>
                </c:pt>
                <c:pt idx="320">
                  <c:v>16218.100973589309</c:v>
                </c:pt>
                <c:pt idx="321">
                  <c:v>16595.869074375616</c:v>
                </c:pt>
                <c:pt idx="322">
                  <c:v>16982.436524617482</c:v>
                </c:pt>
                <c:pt idx="323">
                  <c:v>17378.008287493791</c:v>
                </c:pt>
                <c:pt idx="324">
                  <c:v>17782.794100389234</c:v>
                </c:pt>
                <c:pt idx="325">
                  <c:v>18197.008586099837</c:v>
                </c:pt>
                <c:pt idx="326">
                  <c:v>18620.871366628675</c:v>
                </c:pt>
                <c:pt idx="327">
                  <c:v>19054.607179632505</c:v>
                </c:pt>
                <c:pt idx="328">
                  <c:v>19498.445997580486</c:v>
                </c:pt>
                <c:pt idx="329">
                  <c:v>19952.623149688792</c:v>
                </c:pt>
                <c:pt idx="330">
                  <c:v>20417.379446695286</c:v>
                </c:pt>
                <c:pt idx="331">
                  <c:v>20892.961308540423</c:v>
                </c:pt>
                <c:pt idx="332">
                  <c:v>21379.620895022348</c:v>
                </c:pt>
                <c:pt idx="333">
                  <c:v>21877.61623949555</c:v>
                </c:pt>
                <c:pt idx="334">
                  <c:v>22387.211385683382</c:v>
                </c:pt>
                <c:pt idx="335">
                  <c:v>22908.676527677751</c:v>
                </c:pt>
                <c:pt idx="336">
                  <c:v>23442.288153199243</c:v>
                </c:pt>
                <c:pt idx="337">
                  <c:v>23988.329190194923</c:v>
                </c:pt>
                <c:pt idx="338">
                  <c:v>24547.089156850321</c:v>
                </c:pt>
                <c:pt idx="339">
                  <c:v>25118.86431509586</c:v>
                </c:pt>
                <c:pt idx="340">
                  <c:v>25703.95782768865</c:v>
                </c:pt>
                <c:pt idx="341">
                  <c:v>26302.679918953829</c:v>
                </c:pt>
                <c:pt idx="342">
                  <c:v>26915.348039269167</c:v>
                </c:pt>
                <c:pt idx="343">
                  <c:v>27542.287033381719</c:v>
                </c:pt>
                <c:pt idx="344">
                  <c:v>28183.829312644593</c:v>
                </c:pt>
                <c:pt idx="345">
                  <c:v>28840.315031266062</c:v>
                </c:pt>
                <c:pt idx="346">
                  <c:v>29512.092266663854</c:v>
                </c:pt>
                <c:pt idx="347">
                  <c:v>30199.517204020212</c:v>
                </c:pt>
                <c:pt idx="348">
                  <c:v>30902.954325135954</c:v>
                </c:pt>
                <c:pt idx="349">
                  <c:v>31622.77660168384</c:v>
                </c:pt>
                <c:pt idx="350">
                  <c:v>32359.365692962871</c:v>
                </c:pt>
                <c:pt idx="351">
                  <c:v>33113.11214825909</c:v>
                </c:pt>
                <c:pt idx="352">
                  <c:v>33884.41561392029</c:v>
                </c:pt>
                <c:pt idx="353">
                  <c:v>34673.685045253202</c:v>
                </c:pt>
                <c:pt idx="354">
                  <c:v>35481.33892335758</c:v>
                </c:pt>
                <c:pt idx="355">
                  <c:v>36307.805477010232</c:v>
                </c:pt>
                <c:pt idx="356">
                  <c:v>37153.522909717351</c:v>
                </c:pt>
                <c:pt idx="357">
                  <c:v>38018.939632056143</c:v>
                </c:pt>
                <c:pt idx="358">
                  <c:v>38904.514499428085</c:v>
                </c:pt>
                <c:pt idx="359">
                  <c:v>39810.717055349742</c:v>
                </c:pt>
                <c:pt idx="360">
                  <c:v>40738.027780411358</c:v>
                </c:pt>
                <c:pt idx="361">
                  <c:v>41686.938347033625</c:v>
                </c:pt>
                <c:pt idx="362">
                  <c:v>42657.951880159271</c:v>
                </c:pt>
                <c:pt idx="363">
                  <c:v>43651.583224016598</c:v>
                </c:pt>
                <c:pt idx="364">
                  <c:v>44668.359215096389</c:v>
                </c:pt>
                <c:pt idx="365">
                  <c:v>45708.818961487581</c:v>
                </c:pt>
                <c:pt idx="366">
                  <c:v>46773.514128719893</c:v>
                </c:pt>
                <c:pt idx="367">
                  <c:v>47863.009232263823</c:v>
                </c:pt>
                <c:pt idx="368">
                  <c:v>48977.881936844598</c:v>
                </c:pt>
                <c:pt idx="369">
                  <c:v>50118.723362727294</c:v>
                </c:pt>
                <c:pt idx="370">
                  <c:v>51286.138399136544</c:v>
                </c:pt>
                <c:pt idx="371">
                  <c:v>52480.746024977314</c:v>
                </c:pt>
                <c:pt idx="372">
                  <c:v>53703.179637025423</c:v>
                </c:pt>
                <c:pt idx="373">
                  <c:v>54954.087385762505</c:v>
                </c:pt>
                <c:pt idx="374">
                  <c:v>56234.132519034953</c:v>
                </c:pt>
                <c:pt idx="375">
                  <c:v>57543.993733715732</c:v>
                </c:pt>
                <c:pt idx="376">
                  <c:v>58884.365535558936</c:v>
                </c:pt>
                <c:pt idx="377">
                  <c:v>60255.95860743591</c:v>
                </c:pt>
                <c:pt idx="378">
                  <c:v>61659.500186148245</c:v>
                </c:pt>
                <c:pt idx="379">
                  <c:v>63095.734448019342</c:v>
                </c:pt>
                <c:pt idx="380">
                  <c:v>64565.422903465682</c:v>
                </c:pt>
                <c:pt idx="381">
                  <c:v>66069.344800759733</c:v>
                </c:pt>
                <c:pt idx="382">
                  <c:v>67608.297539198305</c:v>
                </c:pt>
                <c:pt idx="383">
                  <c:v>69183.097091893651</c:v>
                </c:pt>
                <c:pt idx="384">
                  <c:v>70794.578438413781</c:v>
                </c:pt>
                <c:pt idx="385">
                  <c:v>72443.596007499116</c:v>
                </c:pt>
                <c:pt idx="386">
                  <c:v>74131.024130091857</c:v>
                </c:pt>
                <c:pt idx="387">
                  <c:v>75857.757502918481</c:v>
                </c:pt>
                <c:pt idx="388">
                  <c:v>77624.711662869129</c:v>
                </c:pt>
                <c:pt idx="389">
                  <c:v>79432.823472428237</c:v>
                </c:pt>
                <c:pt idx="390">
                  <c:v>81283.051616410012</c:v>
                </c:pt>
                <c:pt idx="391">
                  <c:v>83176.377110267174</c:v>
                </c:pt>
                <c:pt idx="392">
                  <c:v>85113.803820237721</c:v>
                </c:pt>
                <c:pt idx="393">
                  <c:v>87096.358995608127</c:v>
                </c:pt>
                <c:pt idx="394">
                  <c:v>89125.093813374609</c:v>
                </c:pt>
                <c:pt idx="395">
                  <c:v>91201.083935591028</c:v>
                </c:pt>
                <c:pt idx="396">
                  <c:v>93325.430079699145</c:v>
                </c:pt>
                <c:pt idx="397">
                  <c:v>95499.258602143804</c:v>
                </c:pt>
                <c:pt idx="398">
                  <c:v>97723.722095581266</c:v>
                </c:pt>
                <c:pt idx="399">
                  <c:v>100000</c:v>
                </c:pt>
                <c:pt idx="400">
                  <c:v>102329.29922807543</c:v>
                </c:pt>
                <c:pt idx="401">
                  <c:v>104712.85480508996</c:v>
                </c:pt>
                <c:pt idx="402">
                  <c:v>107151.93052376082</c:v>
                </c:pt>
                <c:pt idx="403">
                  <c:v>109647.81961431868</c:v>
                </c:pt>
                <c:pt idx="404">
                  <c:v>112201.84543019651</c:v>
                </c:pt>
                <c:pt idx="405">
                  <c:v>114815.36214968823</c:v>
                </c:pt>
                <c:pt idx="406">
                  <c:v>117489.75549395311</c:v>
                </c:pt>
                <c:pt idx="407">
                  <c:v>120226.44346174144</c:v>
                </c:pt>
                <c:pt idx="408">
                  <c:v>123026.87708123829</c:v>
                </c:pt>
                <c:pt idx="409">
                  <c:v>125892.54117941685</c:v>
                </c:pt>
                <c:pt idx="410">
                  <c:v>128824.95516931375</c:v>
                </c:pt>
                <c:pt idx="411">
                  <c:v>131825.67385564081</c:v>
                </c:pt>
                <c:pt idx="412">
                  <c:v>134896.28825916545</c:v>
                </c:pt>
                <c:pt idx="413">
                  <c:v>138038.42646028858</c:v>
                </c:pt>
                <c:pt idx="414">
                  <c:v>141253.75446227577</c:v>
                </c:pt>
                <c:pt idx="415">
                  <c:v>144543.97707459307</c:v>
                </c:pt>
                <c:pt idx="416">
                  <c:v>147910.83881682079</c:v>
                </c:pt>
                <c:pt idx="417">
                  <c:v>151356.12484362084</c:v>
                </c:pt>
                <c:pt idx="418">
                  <c:v>154881.66189124843</c:v>
                </c:pt>
                <c:pt idx="419">
                  <c:v>158489.31924611164</c:v>
                </c:pt>
                <c:pt idx="420">
                  <c:v>162181.00973589328</c:v>
                </c:pt>
                <c:pt idx="421">
                  <c:v>165958.69074375604</c:v>
                </c:pt>
                <c:pt idx="422">
                  <c:v>169824.36524617471</c:v>
                </c:pt>
                <c:pt idx="423">
                  <c:v>173780.0828749378</c:v>
                </c:pt>
                <c:pt idx="424">
                  <c:v>177827.94100389251</c:v>
                </c:pt>
                <c:pt idx="425">
                  <c:v>181970.08586099857</c:v>
                </c:pt>
                <c:pt idx="426">
                  <c:v>186208.71366628664</c:v>
                </c:pt>
                <c:pt idx="427">
                  <c:v>190546.07179632492</c:v>
                </c:pt>
                <c:pt idx="428">
                  <c:v>194984.45997580473</c:v>
                </c:pt>
                <c:pt idx="429">
                  <c:v>199526.23149688813</c:v>
                </c:pt>
                <c:pt idx="430">
                  <c:v>204173.79446695308</c:v>
                </c:pt>
                <c:pt idx="431">
                  <c:v>208929.61308540447</c:v>
                </c:pt>
                <c:pt idx="432">
                  <c:v>213796.20895022334</c:v>
                </c:pt>
                <c:pt idx="433">
                  <c:v>218776.16239495538</c:v>
                </c:pt>
                <c:pt idx="434">
                  <c:v>223872.11385683404</c:v>
                </c:pt>
                <c:pt idx="435">
                  <c:v>229086.76527677779</c:v>
                </c:pt>
                <c:pt idx="436">
                  <c:v>234422.88153199267</c:v>
                </c:pt>
                <c:pt idx="437">
                  <c:v>239883.29190194907</c:v>
                </c:pt>
                <c:pt idx="438">
                  <c:v>245470.89156850305</c:v>
                </c:pt>
                <c:pt idx="439">
                  <c:v>251188.64315095844</c:v>
                </c:pt>
                <c:pt idx="440">
                  <c:v>257039.57827688678</c:v>
                </c:pt>
                <c:pt idx="441">
                  <c:v>263026.79918953858</c:v>
                </c:pt>
                <c:pt idx="442">
                  <c:v>269153.48039269145</c:v>
                </c:pt>
                <c:pt idx="443">
                  <c:v>275422.87033381703</c:v>
                </c:pt>
                <c:pt idx="444">
                  <c:v>281838.29312644573</c:v>
                </c:pt>
                <c:pt idx="445">
                  <c:v>288403.1503126609</c:v>
                </c:pt>
                <c:pt idx="446">
                  <c:v>295120.92266663886</c:v>
                </c:pt>
                <c:pt idx="447">
                  <c:v>301995.17204020242</c:v>
                </c:pt>
                <c:pt idx="448">
                  <c:v>309029.54325135931</c:v>
                </c:pt>
                <c:pt idx="449">
                  <c:v>316227.7660168382</c:v>
                </c:pt>
                <c:pt idx="450">
                  <c:v>323593.65692962846</c:v>
                </c:pt>
                <c:pt idx="451">
                  <c:v>331131.12148259126</c:v>
                </c:pt>
                <c:pt idx="452">
                  <c:v>338844.15613920329</c:v>
                </c:pt>
                <c:pt idx="453">
                  <c:v>346736.85045253241</c:v>
                </c:pt>
                <c:pt idx="454">
                  <c:v>354813.38923357555</c:v>
                </c:pt>
                <c:pt idx="455">
                  <c:v>363078.05477010203</c:v>
                </c:pt>
                <c:pt idx="456">
                  <c:v>371535.2290971732</c:v>
                </c:pt>
                <c:pt idx="457">
                  <c:v>380189.39632056188</c:v>
                </c:pt>
                <c:pt idx="458">
                  <c:v>389045.14499428123</c:v>
                </c:pt>
                <c:pt idx="459">
                  <c:v>398107.17055349716</c:v>
                </c:pt>
                <c:pt idx="460">
                  <c:v>407380.27780411334</c:v>
                </c:pt>
                <c:pt idx="461">
                  <c:v>416869.38347033598</c:v>
                </c:pt>
                <c:pt idx="462">
                  <c:v>426579.51880159322</c:v>
                </c:pt>
                <c:pt idx="463">
                  <c:v>436515.83224016649</c:v>
                </c:pt>
                <c:pt idx="464">
                  <c:v>446683.59215096442</c:v>
                </c:pt>
                <c:pt idx="465">
                  <c:v>457088.18961487547</c:v>
                </c:pt>
                <c:pt idx="466">
                  <c:v>467735.14128719864</c:v>
                </c:pt>
                <c:pt idx="467">
                  <c:v>478630.09232263872</c:v>
                </c:pt>
                <c:pt idx="468">
                  <c:v>489778.81936844654</c:v>
                </c:pt>
                <c:pt idx="469">
                  <c:v>501187.23362727347</c:v>
                </c:pt>
                <c:pt idx="470">
                  <c:v>512861.38399136515</c:v>
                </c:pt>
                <c:pt idx="471">
                  <c:v>524807.46024977288</c:v>
                </c:pt>
                <c:pt idx="472">
                  <c:v>537031.7963702539</c:v>
                </c:pt>
                <c:pt idx="473">
                  <c:v>549540.87385762564</c:v>
                </c:pt>
                <c:pt idx="474">
                  <c:v>562341.32519035018</c:v>
                </c:pt>
                <c:pt idx="475">
                  <c:v>575439.93733715697</c:v>
                </c:pt>
                <c:pt idx="476">
                  <c:v>588843.65535558888</c:v>
                </c:pt>
                <c:pt idx="477">
                  <c:v>602559.58607435878</c:v>
                </c:pt>
                <c:pt idx="478">
                  <c:v>616595.00186148309</c:v>
                </c:pt>
                <c:pt idx="479">
                  <c:v>630957.34448019415</c:v>
                </c:pt>
                <c:pt idx="480">
                  <c:v>645654.22903465747</c:v>
                </c:pt>
                <c:pt idx="481">
                  <c:v>660693.44800759677</c:v>
                </c:pt>
                <c:pt idx="482">
                  <c:v>676082.97539198259</c:v>
                </c:pt>
                <c:pt idx="483">
                  <c:v>691830.97091893724</c:v>
                </c:pt>
                <c:pt idx="484">
                  <c:v>707945.78438413853</c:v>
                </c:pt>
                <c:pt idx="485">
                  <c:v>724435.96007499192</c:v>
                </c:pt>
                <c:pt idx="486">
                  <c:v>741310.24130091805</c:v>
                </c:pt>
                <c:pt idx="487">
                  <c:v>758577.57502918423</c:v>
                </c:pt>
                <c:pt idx="488">
                  <c:v>776247.11662869214</c:v>
                </c:pt>
                <c:pt idx="489">
                  <c:v>794328.23472428333</c:v>
                </c:pt>
                <c:pt idx="490">
                  <c:v>812830.51616410096</c:v>
                </c:pt>
                <c:pt idx="491">
                  <c:v>831763.77110267128</c:v>
                </c:pt>
                <c:pt idx="492">
                  <c:v>851138.03820237669</c:v>
                </c:pt>
                <c:pt idx="493">
                  <c:v>870963.58995608077</c:v>
                </c:pt>
                <c:pt idx="494">
                  <c:v>891250.93813374708</c:v>
                </c:pt>
                <c:pt idx="495">
                  <c:v>912010.83935591124</c:v>
                </c:pt>
                <c:pt idx="496">
                  <c:v>933254.30079699249</c:v>
                </c:pt>
                <c:pt idx="497">
                  <c:v>954992.58602143743</c:v>
                </c:pt>
                <c:pt idx="498">
                  <c:v>977237.22095581202</c:v>
                </c:pt>
                <c:pt idx="499">
                  <c:v>1000000</c:v>
                </c:pt>
                <c:pt idx="500">
                  <c:v>1023292.9922807553</c:v>
                </c:pt>
                <c:pt idx="501">
                  <c:v>1047128.5480509007</c:v>
                </c:pt>
                <c:pt idx="502">
                  <c:v>1071519.3052376076</c:v>
                </c:pt>
                <c:pt idx="503">
                  <c:v>1096478.196143186</c:v>
                </c:pt>
                <c:pt idx="504">
                  <c:v>1122018.4543019643</c:v>
                </c:pt>
                <c:pt idx="505">
                  <c:v>1148153.6214968837</c:v>
                </c:pt>
                <c:pt idx="506">
                  <c:v>1174897.5549395324</c:v>
                </c:pt>
                <c:pt idx="507">
                  <c:v>1202264.4346174158</c:v>
                </c:pt>
                <c:pt idx="508">
                  <c:v>1230268.770812382</c:v>
                </c:pt>
                <c:pt idx="509">
                  <c:v>1258925.4117941677</c:v>
                </c:pt>
                <c:pt idx="510">
                  <c:v>1288249.5516931366</c:v>
                </c:pt>
                <c:pt idx="511">
                  <c:v>1318256.7385564097</c:v>
                </c:pt>
                <c:pt idx="512">
                  <c:v>1348962.8825916562</c:v>
                </c:pt>
                <c:pt idx="513">
                  <c:v>1380384.2646028849</c:v>
                </c:pt>
                <c:pt idx="514">
                  <c:v>1412537.5446227565</c:v>
                </c:pt>
                <c:pt idx="515">
                  <c:v>1445439.7707459298</c:v>
                </c:pt>
                <c:pt idx="516">
                  <c:v>1479108.3881682095</c:v>
                </c:pt>
                <c:pt idx="517">
                  <c:v>1513561.2484362102</c:v>
                </c:pt>
                <c:pt idx="518">
                  <c:v>1548816.6189124861</c:v>
                </c:pt>
                <c:pt idx="519">
                  <c:v>1584893.1924611153</c:v>
                </c:pt>
                <c:pt idx="520">
                  <c:v>1621810.0973589318</c:v>
                </c:pt>
                <c:pt idx="521">
                  <c:v>1659586.9074375622</c:v>
                </c:pt>
                <c:pt idx="522">
                  <c:v>1698243.6524617488</c:v>
                </c:pt>
                <c:pt idx="523">
                  <c:v>1737800.8287493798</c:v>
                </c:pt>
                <c:pt idx="524">
                  <c:v>1778279.4100389241</c:v>
                </c:pt>
                <c:pt idx="525">
                  <c:v>1819700.8586099846</c:v>
                </c:pt>
                <c:pt idx="526">
                  <c:v>1862087.1366628683</c:v>
                </c:pt>
                <c:pt idx="527">
                  <c:v>1905460.7179632513</c:v>
                </c:pt>
                <c:pt idx="528">
                  <c:v>1949844.5997580495</c:v>
                </c:pt>
                <c:pt idx="529">
                  <c:v>1995262.31496888</c:v>
                </c:pt>
                <c:pt idx="530">
                  <c:v>2041737.9446695296</c:v>
                </c:pt>
                <c:pt idx="531">
                  <c:v>2089296.1308540432</c:v>
                </c:pt>
                <c:pt idx="532">
                  <c:v>2137962.0895022359</c:v>
                </c:pt>
                <c:pt idx="533">
                  <c:v>2187761.6239495561</c:v>
                </c:pt>
                <c:pt idx="534">
                  <c:v>2238721.1385683389</c:v>
                </c:pt>
                <c:pt idx="535">
                  <c:v>2290867.6527677765</c:v>
                </c:pt>
                <c:pt idx="536">
                  <c:v>2344228.8153199251</c:v>
                </c:pt>
                <c:pt idx="537">
                  <c:v>2398832.9190194933</c:v>
                </c:pt>
                <c:pt idx="538">
                  <c:v>2454708.915685033</c:v>
                </c:pt>
                <c:pt idx="539">
                  <c:v>2511886.431509587</c:v>
                </c:pt>
                <c:pt idx="540">
                  <c:v>2570395.782768866</c:v>
                </c:pt>
                <c:pt idx="541">
                  <c:v>2630267.9918953842</c:v>
                </c:pt>
              </c:numCache>
            </c:numRef>
          </c:xVal>
          <c:yVal>
            <c:numRef>
              <c:f>Loop_Modeling!$AQ$19:$AQ$560</c:f>
              <c:numCache>
                <c:formatCode>General</c:formatCode>
                <c:ptCount val="542"/>
                <c:pt idx="0">
                  <c:v>37.965061777885794</c:v>
                </c:pt>
                <c:pt idx="1">
                  <c:v>37.964860994605644</c:v>
                </c:pt>
                <c:pt idx="2">
                  <c:v>37.964650758650059</c:v>
                </c:pt>
                <c:pt idx="3">
                  <c:v>37.964430625486983</c:v>
                </c:pt>
                <c:pt idx="4">
                  <c:v>37.964200129726542</c:v>
                </c:pt>
                <c:pt idx="5">
                  <c:v>37.963958784146975</c:v>
                </c:pt>
                <c:pt idx="6">
                  <c:v>37.963706078675415</c:v>
                </c:pt>
                <c:pt idx="7">
                  <c:v>37.963441479321666</c:v>
                </c:pt>
                <c:pt idx="8">
                  <c:v>37.963164427062701</c:v>
                </c:pt>
                <c:pt idx="9">
                  <c:v>37.962874336675711</c:v>
                </c:pt>
                <c:pt idx="10">
                  <c:v>37.962570595517448</c:v>
                </c:pt>
                <c:pt idx="11">
                  <c:v>37.962252562247286</c:v>
                </c:pt>
                <c:pt idx="12">
                  <c:v>37.961919565491684</c:v>
                </c:pt>
                <c:pt idx="13">
                  <c:v>37.961570902447285</c:v>
                </c:pt>
                <c:pt idx="14">
                  <c:v>37.961205837419939</c:v>
                </c:pt>
                <c:pt idx="15">
                  <c:v>37.960823600296806</c:v>
                </c:pt>
                <c:pt idx="16">
                  <c:v>37.960423384948676</c:v>
                </c:pt>
                <c:pt idx="17">
                  <c:v>37.96000434755917</c:v>
                </c:pt>
                <c:pt idx="18">
                  <c:v>37.959565604877966</c:v>
                </c:pt>
                <c:pt idx="19">
                  <c:v>37.959106232394227</c:v>
                </c:pt>
                <c:pt idx="20">
                  <c:v>37.958625262427304</c:v>
                </c:pt>
                <c:pt idx="21">
                  <c:v>37.95812168213061</c:v>
                </c:pt>
                <c:pt idx="22">
                  <c:v>37.957594431405219</c:v>
                </c:pt>
                <c:pt idx="23">
                  <c:v>37.957042400719089</c:v>
                </c:pt>
                <c:pt idx="24">
                  <c:v>37.956464428827928</c:v>
                </c:pt>
                <c:pt idx="25">
                  <c:v>37.95585930039362</c:v>
                </c:pt>
                <c:pt idx="26">
                  <c:v>37.955225743495461</c:v>
                </c:pt>
                <c:pt idx="27">
                  <c:v>37.954562427030126</c:v>
                </c:pt>
                <c:pt idx="28">
                  <c:v>37.953867957995371</c:v>
                </c:pt>
                <c:pt idx="29">
                  <c:v>37.953140878652633</c:v>
                </c:pt>
                <c:pt idx="30">
                  <c:v>37.952379663563484</c:v>
                </c:pt>
                <c:pt idx="31">
                  <c:v>37.951582716494954</c:v>
                </c:pt>
                <c:pt idx="32">
                  <c:v>37.950748367187835</c:v>
                </c:pt>
                <c:pt idx="33">
                  <c:v>37.949874867982899</c:v>
                </c:pt>
                <c:pt idx="34">
                  <c:v>37.948960390298943</c:v>
                </c:pt>
                <c:pt idx="35">
                  <c:v>37.948003020956691</c:v>
                </c:pt>
                <c:pt idx="36">
                  <c:v>37.947000758342796</c:v>
                </c:pt>
                <c:pt idx="37">
                  <c:v>37.945951508407106</c:v>
                </c:pt>
                <c:pt idx="38">
                  <c:v>37.944853080487036</c:v>
                </c:pt>
                <c:pt idx="39">
                  <c:v>37.943703182952376</c:v>
                </c:pt>
                <c:pt idx="40">
                  <c:v>37.942499418663381</c:v>
                </c:pt>
                <c:pt idx="41">
                  <c:v>37.941239280235457</c:v>
                </c:pt>
                <c:pt idx="42">
                  <c:v>37.939920145102995</c:v>
                </c:pt>
                <c:pt idx="43">
                  <c:v>37.938539270375067</c:v>
                </c:pt>
                <c:pt idx="44">
                  <c:v>37.937093787475504</c:v>
                </c:pt>
                <c:pt idx="45">
                  <c:v>37.935580696559583</c:v>
                </c:pt>
                <c:pt idx="46">
                  <c:v>37.933996860699587</c:v>
                </c:pt>
                <c:pt idx="47">
                  <c:v>37.932338999831259</c:v>
                </c:pt>
                <c:pt idx="48">
                  <c:v>37.930603684453288</c:v>
                </c:pt>
                <c:pt idx="49">
                  <c:v>37.928787329071284</c:v>
                </c:pt>
                <c:pt idx="50">
                  <c:v>37.92688618537872</c:v>
                </c:pt>
                <c:pt idx="51">
                  <c:v>37.924896335165876</c:v>
                </c:pt>
                <c:pt idx="52">
                  <c:v>37.922813682949233</c:v>
                </c:pt>
                <c:pt idx="53">
                  <c:v>37.920633948312485</c:v>
                </c:pt>
                <c:pt idx="54">
                  <c:v>37.918352657951623</c:v>
                </c:pt>
                <c:pt idx="55">
                  <c:v>37.915965137415327</c:v>
                </c:pt>
                <c:pt idx="56">
                  <c:v>37.913466502533531</c:v>
                </c:pt>
                <c:pt idx="57">
                  <c:v>37.910851650525544</c:v>
                </c:pt>
                <c:pt idx="58">
                  <c:v>37.90811525078108</c:v>
                </c:pt>
                <c:pt idx="59">
                  <c:v>37.905251735306294</c:v>
                </c:pt>
                <c:pt idx="60">
                  <c:v>37.902255288828442</c:v>
                </c:pt>
                <c:pt idx="61">
                  <c:v>37.899119838552586</c:v>
                </c:pt>
                <c:pt idx="62">
                  <c:v>37.895839043564571</c:v>
                </c:pt>
                <c:pt idx="63">
                  <c:v>37.892406283874926</c:v>
                </c:pt>
                <c:pt idx="64">
                  <c:v>37.888814649099274</c:v>
                </c:pt>
                <c:pt idx="65">
                  <c:v>37.885056926771519</c:v>
                </c:pt>
                <c:pt idx="66">
                  <c:v>37.881125590286985</c:v>
                </c:pt>
                <c:pt idx="67">
                  <c:v>37.877012786473855</c:v>
                </c:pt>
                <c:pt idx="68">
                  <c:v>37.872710322792422</c:v>
                </c:pt>
                <c:pt idx="69">
                  <c:v>37.868209654162818</c:v>
                </c:pt>
                <c:pt idx="70">
                  <c:v>37.863501869423899</c:v>
                </c:pt>
                <c:pt idx="71">
                  <c:v>37.858577677427007</c:v>
                </c:pt>
                <c:pt idx="72">
                  <c:v>37.853427392770598</c:v>
                </c:pt>
                <c:pt idx="73">
                  <c:v>37.848040921183816</c:v>
                </c:pt>
                <c:pt idx="74">
                  <c:v>37.842407744569016</c:v>
                </c:pt>
                <c:pt idx="75">
                  <c:v>37.836516905716074</c:v>
                </c:pt>
                <c:pt idx="76">
                  <c:v>37.830356992704012</c:v>
                </c:pt>
                <c:pt idx="77">
                  <c:v>37.823916123008246</c:v>
                </c:pt>
                <c:pt idx="78">
                  <c:v>37.817181927335071</c:v>
                </c:pt>
                <c:pt idx="79">
                  <c:v>37.810141533208942</c:v>
                </c:pt>
                <c:pt idx="80">
                  <c:v>37.802781548341081</c:v>
                </c:pt>
                <c:pt idx="81">
                  <c:v>37.795088043812996</c:v>
                </c:pt>
                <c:pt idx="82">
                  <c:v>37.787046537112325</c:v>
                </c:pt>
                <c:pt idx="83">
                  <c:v>37.778641975063188</c:v>
                </c:pt>
                <c:pt idx="84">
                  <c:v>37.769858716698778</c:v>
                </c:pt>
                <c:pt idx="85">
                  <c:v>37.760680516128829</c:v>
                </c:pt>
                <c:pt idx="86">
                  <c:v>37.75109050546061</c:v>
                </c:pt>
                <c:pt idx="87">
                  <c:v>37.741071177838336</c:v>
                </c:pt>
                <c:pt idx="88">
                  <c:v>37.730604370671806</c:v>
                </c:pt>
                <c:pt idx="89">
                  <c:v>37.719671249132638</c:v>
                </c:pt>
                <c:pt idx="90">
                  <c:v>37.708252290002811</c:v>
                </c:pt>
                <c:pt idx="91">
                  <c:v>37.696327265968037</c:v>
                </c:pt>
                <c:pt idx="92">
                  <c:v>37.683875230456202</c:v>
                </c:pt>
                <c:pt idx="93">
                  <c:v>37.67087450312863</c:v>
                </c:pt>
                <c:pt idx="94">
                  <c:v>37.65730265614043</c:v>
                </c:pt>
                <c:pt idx="95">
                  <c:v>37.643136501294563</c:v>
                </c:pt>
                <c:pt idx="96">
                  <c:v>37.628352078222079</c:v>
                </c:pt>
                <c:pt idx="97">
                  <c:v>37.612924643730132</c:v>
                </c:pt>
                <c:pt idx="98">
                  <c:v>37.596828662467303</c:v>
                </c:pt>
                <c:pt idx="99">
                  <c:v>37.580037799064293</c:v>
                </c:pt>
                <c:pt idx="100">
                  <c:v>37.562524911916093</c:v>
                </c:pt>
                <c:pt idx="101">
                  <c:v>37.544262048779274</c:v>
                </c:pt>
                <c:pt idx="102">
                  <c:v>37.525220444365836</c:v>
                </c:pt>
                <c:pt idx="103">
                  <c:v>37.505370520121154</c:v>
                </c:pt>
                <c:pt idx="104">
                  <c:v>37.484681886379903</c:v>
                </c:pt>
                <c:pt idx="105">
                  <c:v>37.463123347099106</c:v>
                </c:pt>
                <c:pt idx="106">
                  <c:v>37.440662907370559</c:v>
                </c:pt>
                <c:pt idx="107">
                  <c:v>37.41726778391893</c:v>
                </c:pt>
                <c:pt idx="108">
                  <c:v>37.392904418791865</c:v>
                </c:pt>
                <c:pt idx="109">
                  <c:v>37.367538496448695</c:v>
                </c:pt>
                <c:pt idx="110">
                  <c:v>37.341134964452081</c:v>
                </c:pt>
                <c:pt idx="111">
                  <c:v>37.313658057962101</c:v>
                </c:pt>
                <c:pt idx="112">
                  <c:v>37.285071328226309</c:v>
                </c:pt>
                <c:pt idx="113">
                  <c:v>37.255337675249201</c:v>
                </c:pt>
                <c:pt idx="114">
                  <c:v>37.224419384813807</c:v>
                </c:pt>
                <c:pt idx="115">
                  <c:v>37.192278170012102</c:v>
                </c:pt>
                <c:pt idx="116">
                  <c:v>37.158875217423933</c:v>
                </c:pt>
                <c:pt idx="117">
                  <c:v>37.1241712380629</c:v>
                </c:pt>
                <c:pt idx="118">
                  <c:v>37.088126523182744</c:v>
                </c:pt>
                <c:pt idx="119">
                  <c:v>37.050701005010737</c:v>
                </c:pt>
                <c:pt idx="120">
                  <c:v>37.011854322442673</c:v>
                </c:pt>
                <c:pt idx="121">
                  <c:v>36.971545891699932</c:v>
                </c:pt>
                <c:pt idx="122">
                  <c:v>36.929734981910663</c:v>
                </c:pt>
                <c:pt idx="123">
                  <c:v>36.886380795536169</c:v>
                </c:pt>
                <c:pt idx="124">
                  <c:v>36.84144255351984</c:v>
                </c:pt>
                <c:pt idx="125">
                  <c:v>36.794879584988237</c:v>
                </c:pt>
                <c:pt idx="126">
                  <c:v>36.74665142128584</c:v>
                </c:pt>
                <c:pt idx="127">
                  <c:v>36.696717894073579</c:v>
                </c:pt>
                <c:pt idx="128">
                  <c:v>36.645039237168895</c:v>
                </c:pt>
                <c:pt idx="129">
                  <c:v>36.591576191752104</c:v>
                </c:pt>
                <c:pt idx="130">
                  <c:v>36.536290114511552</c:v>
                </c:pt>
                <c:pt idx="131">
                  <c:v>36.479143088246573</c:v>
                </c:pt>
                <c:pt idx="132">
                  <c:v>36.420098034397704</c:v>
                </c:pt>
                <c:pt idx="133">
                  <c:v>36.359118826924444</c:v>
                </c:pt>
                <c:pt idx="134">
                  <c:v>36.296170406906541</c:v>
                </c:pt>
                <c:pt idx="135">
                  <c:v>36.23121889720349</c:v>
                </c:pt>
                <c:pt idx="136">
                  <c:v>36.164231716471093</c:v>
                </c:pt>
                <c:pt idx="137">
                  <c:v>36.095177691805013</c:v>
                </c:pt>
                <c:pt idx="138">
                  <c:v>36.02402716925755</c:v>
                </c:pt>
                <c:pt idx="139">
                  <c:v>35.950752121458642</c:v>
                </c:pt>
                <c:pt idx="140">
                  <c:v>35.875326251565653</c:v>
                </c:pt>
                <c:pt idx="141">
                  <c:v>35.797725092767216</c:v>
                </c:pt>
                <c:pt idx="142">
                  <c:v>35.717926102578588</c:v>
                </c:pt>
                <c:pt idx="143">
                  <c:v>35.635908751185326</c:v>
                </c:pt>
                <c:pt idx="144">
                  <c:v>35.551654603122756</c:v>
                </c:pt>
                <c:pt idx="145">
                  <c:v>35.465147391618331</c:v>
                </c:pt>
                <c:pt idx="146">
                  <c:v>35.37637308497245</c:v>
                </c:pt>
                <c:pt idx="147">
                  <c:v>35.28531994441142</c:v>
                </c:pt>
                <c:pt idx="148">
                  <c:v>35.191978572911623</c:v>
                </c:pt>
                <c:pt idx="149">
                  <c:v>35.096341954567428</c:v>
                </c:pt>
                <c:pt idx="150">
                  <c:v>34.998405484154873</c:v>
                </c:pt>
                <c:pt idx="151">
                  <c:v>34.898166986627771</c:v>
                </c:pt>
                <c:pt idx="152">
                  <c:v>34.795626726372042</c:v>
                </c:pt>
                <c:pt idx="153">
                  <c:v>34.690787406134802</c:v>
                </c:pt>
                <c:pt idx="154">
                  <c:v>34.583654155638946</c:v>
                </c:pt>
                <c:pt idx="155">
                  <c:v>34.474234509984434</c:v>
                </c:pt>
                <c:pt idx="156">
                  <c:v>34.362538378031054</c:v>
                </c:pt>
                <c:pt idx="157">
                  <c:v>34.248578001042816</c:v>
                </c:pt>
                <c:pt idx="158">
                  <c:v>34.132367901960315</c:v>
                </c:pt>
                <c:pt idx="159">
                  <c:v>34.013924825744233</c:v>
                </c:pt>
                <c:pt idx="160">
                  <c:v>33.893267671304962</c:v>
                </c:pt>
                <c:pt idx="161">
                  <c:v>33.770417415598722</c:v>
                </c:pt>
                <c:pt idx="162">
                  <c:v>33.645397030524407</c:v>
                </c:pt>
                <c:pt idx="163">
                  <c:v>33.518231393303942</c:v>
                </c:pt>
                <c:pt idx="164">
                  <c:v>33.388947191065938</c:v>
                </c:pt>
                <c:pt idx="165">
                  <c:v>33.257572820380965</c:v>
                </c:pt>
                <c:pt idx="166">
                  <c:v>33.124138282513549</c:v>
                </c:pt>
                <c:pt idx="167">
                  <c:v>32.988675075167734</c:v>
                </c:pt>
                <c:pt idx="168">
                  <c:v>32.851216081500418</c:v>
                </c:pt>
                <c:pt idx="169">
                  <c:v>32.711795457169188</c:v>
                </c:pt>
                <c:pt idx="170">
                  <c:v>32.570448516164092</c:v>
                </c:pt>
                <c:pt idx="171">
                  <c:v>32.427211616147808</c:v>
                </c:pt>
                <c:pt idx="172">
                  <c:v>32.282122043999181</c:v>
                </c:pt>
                <c:pt idx="173">
                  <c:v>32.135217902215658</c:v>
                </c:pt>
                <c:pt idx="174">
                  <c:v>31.986537996791849</c:v>
                </c:pt>
                <c:pt idx="175">
                  <c:v>31.836121727141627</c:v>
                </c:pt>
                <c:pt idx="176">
                  <c:v>31.68400897858648</c:v>
                </c:pt>
                <c:pt idx="177">
                  <c:v>31.530240017877993</c:v>
                </c:pt>
                <c:pt idx="178">
                  <c:v>31.374855392172428</c:v>
                </c:pt>
                <c:pt idx="179">
                  <c:v>31.217895831821632</c:v>
                </c:pt>
                <c:pt idx="180">
                  <c:v>31.059402157290272</c:v>
                </c:pt>
                <c:pt idx="181">
                  <c:v>30.899415190460001</c:v>
                </c:pt>
                <c:pt idx="182">
                  <c:v>30.737975670527984</c:v>
                </c:pt>
                <c:pt idx="183">
                  <c:v>30.575124174660367</c:v>
                </c:pt>
                <c:pt idx="184">
                  <c:v>30.410901043513974</c:v>
                </c:pt>
                <c:pt idx="185">
                  <c:v>30.245346311696494</c:v>
                </c:pt>
                <c:pt idx="186">
                  <c:v>30.07849964319481</c:v>
                </c:pt>
                <c:pt idx="187">
                  <c:v>29.910400271763926</c:v>
                </c:pt>
                <c:pt idx="188">
                  <c:v>29.741086946234731</c:v>
                </c:pt>
                <c:pt idx="189">
                  <c:v>29.570597880668885</c:v>
                </c:pt>
                <c:pt idx="190">
                  <c:v>29.398970709261096</c:v>
                </c:pt>
                <c:pt idx="191">
                  <c:v>29.226242445866436</c:v>
                </c:pt>
                <c:pt idx="192">
                  <c:v>29.052449448009568</c:v>
                </c:pt>
                <c:pt idx="193">
                  <c:v>28.877627385214929</c:v>
                </c:pt>
                <c:pt idx="194">
                  <c:v>28.701811211483538</c:v>
                </c:pt>
                <c:pt idx="195">
                  <c:v>28.525035141730946</c:v>
                </c:pt>
                <c:pt idx="196">
                  <c:v>28.347332631991154</c:v>
                </c:pt>
                <c:pt idx="197">
                  <c:v>28.168736363186227</c:v>
                </c:pt>
                <c:pt idx="198">
                  <c:v>27.989278228257017</c:v>
                </c:pt>
                <c:pt idx="199">
                  <c:v>27.808989322448696</c:v>
                </c:pt>
                <c:pt idx="200">
                  <c:v>27.627899936544189</c:v>
                </c:pt>
                <c:pt idx="201">
                  <c:v>27.446039552841413</c:v>
                </c:pt>
                <c:pt idx="202">
                  <c:v>27.263436843671979</c:v>
                </c:pt>
                <c:pt idx="203">
                  <c:v>27.080119672263962</c:v>
                </c:pt>
                <c:pt idx="204">
                  <c:v>26.89611509575645</c:v>
                </c:pt>
                <c:pt idx="205">
                  <c:v>26.711449370179917</c:v>
                </c:pt>
                <c:pt idx="206">
                  <c:v>26.526147957222936</c:v>
                </c:pt>
                <c:pt idx="207">
                  <c:v>26.340235532613523</c:v>
                </c:pt>
                <c:pt idx="208">
                  <c:v>26.153735995951163</c:v>
                </c:pt>
                <c:pt idx="209">
                  <c:v>25.966672481833374</c:v>
                </c:pt>
                <c:pt idx="210">
                  <c:v>25.779067372130125</c:v>
                </c:pt>
                <c:pt idx="211">
                  <c:v>25.590942309265937</c:v>
                </c:pt>
                <c:pt idx="212">
                  <c:v>25.402318210380098</c:v>
                </c:pt>
                <c:pt idx="213">
                  <c:v>25.213215282242246</c:v>
                </c:pt>
                <c:pt idx="214">
                  <c:v>25.023653036809826</c:v>
                </c:pt>
                <c:pt idx="215">
                  <c:v>24.833650307321122</c:v>
                </c:pt>
                <c:pt idx="216">
                  <c:v>24.643225264826924</c:v>
                </c:pt>
                <c:pt idx="217">
                  <c:v>24.452395435069157</c:v>
                </c:pt>
                <c:pt idx="218">
                  <c:v>24.261177715625642</c:v>
                </c:pt>
                <c:pt idx="219">
                  <c:v>24.069588393242793</c:v>
                </c:pt>
                <c:pt idx="220">
                  <c:v>23.877643161289516</c:v>
                </c:pt>
                <c:pt idx="221">
                  <c:v>23.685357137267516</c:v>
                </c:pt>
                <c:pt idx="222">
                  <c:v>23.492744880323464</c:v>
                </c:pt>
                <c:pt idx="223">
                  <c:v>23.299820408710193</c:v>
                </c:pt>
                <c:pt idx="224">
                  <c:v>23.106597217153215</c:v>
                </c:pt>
                <c:pt idx="225">
                  <c:v>22.913088294080652</c:v>
                </c:pt>
                <c:pt idx="226">
                  <c:v>22.719306138681578</c:v>
                </c:pt>
                <c:pt idx="227">
                  <c:v>22.525262777762208</c:v>
                </c:pt>
                <c:pt idx="228">
                  <c:v>22.330969782371405</c:v>
                </c:pt>
                <c:pt idx="229">
                  <c:v>22.136438284172208</c:v>
                </c:pt>
                <c:pt idx="230">
                  <c:v>21.941678991541394</c:v>
                </c:pt>
                <c:pt idx="231">
                  <c:v>21.746702205377801</c:v>
                </c:pt>
                <c:pt idx="232">
                  <c:v>21.551517834608017</c:v>
                </c:pt>
                <c:pt idx="233">
                  <c:v>21.356135411376616</c:v>
                </c:pt>
                <c:pt idx="234">
                  <c:v>21.16056410591462</c:v>
                </c:pt>
                <c:pt idx="235">
                  <c:v>20.964812741078063</c:v>
                </c:pt>
                <c:pt idx="236">
                  <c:v>20.768889806553883</c:v>
                </c:pt>
                <c:pt idx="237">
                  <c:v>20.572803472730609</c:v>
                </c:pt>
                <c:pt idx="238">
                  <c:v>20.376561604233608</c:v>
                </c:pt>
                <c:pt idx="239">
                  <c:v>20.180171773125231</c:v>
                </c:pt>
                <c:pt idx="240">
                  <c:v>19.983641271773994</c:v>
                </c:pt>
                <c:pt idx="241">
                  <c:v>19.78697712539438</c:v>
                </c:pt>
                <c:pt idx="242">
                  <c:v>19.590186104263957</c:v>
                </c:pt>
                <c:pt idx="243">
                  <c:v>19.393274735622835</c:v>
                </c:pt>
                <c:pt idx="244">
                  <c:v>19.19624931526214</c:v>
                </c:pt>
                <c:pt idx="245">
                  <c:v>18.999115918809292</c:v>
                </c:pt>
                <c:pt idx="246">
                  <c:v>18.801880412718333</c:v>
                </c:pt>
                <c:pt idx="247">
                  <c:v>18.604548464973785</c:v>
                </c:pt>
                <c:pt idx="248">
                  <c:v>18.407125555517794</c:v>
                </c:pt>
                <c:pt idx="249">
                  <c:v>18.209616986410044</c:v>
                </c:pt>
                <c:pt idx="250">
                  <c:v>18.012027891730774</c:v>
                </c:pt>
                <c:pt idx="251">
                  <c:v>17.814363247237427</c:v>
                </c:pt>
                <c:pt idx="252">
                  <c:v>17.61662787978608</c:v>
                </c:pt>
                <c:pt idx="253">
                  <c:v>17.418826476527649</c:v>
                </c:pt>
                <c:pt idx="254">
                  <c:v>17.22096359389203</c:v>
                </c:pt>
                <c:pt idx="255">
                  <c:v>17.023043666369478</c:v>
                </c:pt>
                <c:pt idx="256">
                  <c:v>16.825071015103049</c:v>
                </c:pt>
                <c:pt idx="257">
                  <c:v>16.627049856301827</c:v>
                </c:pt>
                <c:pt idx="258">
                  <c:v>16.428984309487902</c:v>
                </c:pt>
                <c:pt idx="259">
                  <c:v>16.230878405589326</c:v>
                </c:pt>
                <c:pt idx="260">
                  <c:v>16.03273609488949</c:v>
                </c:pt>
                <c:pt idx="261">
                  <c:v>15.83456125484698</c:v>
                </c:pt>
                <c:pt idx="262">
                  <c:v>15.636357697796349</c:v>
                </c:pt>
                <c:pt idx="263">
                  <c:v>15.438129178542241</c:v>
                </c:pt>
                <c:pt idx="264">
                  <c:v>15.239879401859991</c:v>
                </c:pt>
                <c:pt idx="265">
                  <c:v>15.041612029913072</c:v>
                </c:pt>
                <c:pt idx="266">
                  <c:v>14.843330689601427</c:v>
                </c:pt>
                <c:pt idx="267">
                  <c:v>14.645038979851229</c:v>
                </c:pt>
                <c:pt idx="268">
                  <c:v>14.446740478859152</c:v>
                </c:pt>
                <c:pt idx="269">
                  <c:v>14.248438751303151</c:v>
                </c:pt>
                <c:pt idx="270">
                  <c:v>14.05013735553174</c:v>
                </c:pt>
                <c:pt idx="271">
                  <c:v>13.851839850743893</c:v>
                </c:pt>
                <c:pt idx="272">
                  <c:v>13.653549804172604</c:v>
                </c:pt>
                <c:pt idx="273">
                  <c:v>13.455270798282694</c:v>
                </c:pt>
                <c:pt idx="274">
                  <c:v>13.257006437997209</c:v>
                </c:pt>
                <c:pt idx="275">
                  <c:v>13.058760357962427</c:v>
                </c:pt>
                <c:pt idx="276">
                  <c:v>12.860536229865708</c:v>
                </c:pt>
                <c:pt idx="277">
                  <c:v>12.662337769817693</c:v>
                </c:pt>
                <c:pt idx="278">
                  <c:v>12.464168745810136</c:v>
                </c:pt>
                <c:pt idx="279">
                  <c:v>12.266032985264122</c:v>
                </c:pt>
                <c:pt idx="280">
                  <c:v>12.067934382678732</c:v>
                </c:pt>
                <c:pt idx="281">
                  <c:v>11.869876907393763</c:v>
                </c:pt>
                <c:pt idx="282">
                  <c:v>11.671864611478673</c:v>
                </c:pt>
                <c:pt idx="283">
                  <c:v>11.473901637760333</c:v>
                </c:pt>
                <c:pt idx="284">
                  <c:v>11.275992228001483</c:v>
                </c:pt>
                <c:pt idx="285">
                  <c:v>11.078140731242909</c:v>
                </c:pt>
                <c:pt idx="286">
                  <c:v>10.880351612321702</c:v>
                </c:pt>
                <c:pt idx="287">
                  <c:v>10.682629460577626</c:v>
                </c:pt>
                <c:pt idx="288">
                  <c:v>10.484978998760235</c:v>
                </c:pt>
                <c:pt idx="289">
                  <c:v>10.287405092149227</c:v>
                </c:pt>
                <c:pt idx="290">
                  <c:v>10.089912757899587</c:v>
                </c:pt>
                <c:pt idx="291">
                  <c:v>9.8925071746248339</c:v>
                </c:pt>
                <c:pt idx="292">
                  <c:v>9.6951936922285835</c:v>
                </c:pt>
                <c:pt idx="293">
                  <c:v>9.4979778419982619</c:v>
                </c:pt>
                <c:pt idx="294">
                  <c:v>9.300865346970939</c:v>
                </c:pt>
                <c:pt idx="295">
                  <c:v>9.1038621325834335</c:v>
                </c:pt>
                <c:pt idx="296">
                  <c:v>8.9069743376176884</c:v>
                </c:pt>
                <c:pt idx="297">
                  <c:v>8.7102083254518821</c:v>
                </c:pt>
                <c:pt idx="298">
                  <c:v>8.5135706956277062</c:v>
                </c:pt>
                <c:pt idx="299">
                  <c:v>8.3170682957436135</c:v>
                </c:pt>
                <c:pt idx="300">
                  <c:v>8.1207082336831107</c:v>
                </c:pt>
                <c:pt idx="301">
                  <c:v>7.9244978901868501</c:v>
                </c:pt>
                <c:pt idx="302">
                  <c:v>7.7284449317765613</c:v>
                </c:pt>
                <c:pt idx="303">
                  <c:v>7.5325573240370769</c:v>
                </c:pt>
                <c:pt idx="304">
                  <c:v>7.3368433452635715</c:v>
                </c:pt>
                <c:pt idx="305">
                  <c:v>7.1413116004782449</c:v>
                </c:pt>
                <c:pt idx="306">
                  <c:v>6.9459710358205324</c:v>
                </c:pt>
                <c:pt idx="307">
                  <c:v>6.7508309533131303</c:v>
                </c:pt>
                <c:pt idx="308">
                  <c:v>6.555901026005313</c:v>
                </c:pt>
                <c:pt idx="309">
                  <c:v>6.3611913134919718</c:v>
                </c:pt>
                <c:pt idx="310">
                  <c:v>6.1667122778069539</c:v>
                </c:pt>
                <c:pt idx="311">
                  <c:v>5.9724747996850169</c:v>
                </c:pt>
                <c:pt idx="312">
                  <c:v>5.7784901951865155</c:v>
                </c:pt>
                <c:pt idx="313">
                  <c:v>5.584770232674888</c:v>
                </c:pt>
                <c:pt idx="314">
                  <c:v>5.391327150135683</c:v>
                </c:pt>
                <c:pt idx="315">
                  <c:v>5.1981736728218921</c:v>
                </c:pt>
                <c:pt idx="316">
                  <c:v>5.0053230312073342</c:v>
                </c:pt>
                <c:pt idx="317">
                  <c:v>4.8127889792269389</c:v>
                </c:pt>
                <c:pt idx="318">
                  <c:v>4.6205858127791117</c:v>
                </c:pt>
                <c:pt idx="319">
                  <c:v>4.4287283884597199</c:v>
                </c:pt>
                <c:pt idx="320">
                  <c:v>4.2372321424953663</c:v>
                </c:pt>
                <c:pt idx="321">
                  <c:v>4.0461131098366288</c:v>
                </c:pt>
                <c:pt idx="322">
                  <c:v>3.8553879433689362</c:v>
                </c:pt>
                <c:pt idx="323">
                  <c:v>3.6650739331916951</c:v>
                </c:pt>
                <c:pt idx="324">
                  <c:v>3.475189025911785</c:v>
                </c:pt>
                <c:pt idx="325">
                  <c:v>3.2857518438910907</c:v>
                </c:pt>
                <c:pt idx="326">
                  <c:v>3.0967817043822632</c:v>
                </c:pt>
                <c:pt idx="327">
                  <c:v>2.908298638477631</c:v>
                </c:pt>
                <c:pt idx="328">
                  <c:v>2.7203234097936404</c:v>
                </c:pt>
                <c:pt idx="329">
                  <c:v>2.5328775328007462</c:v>
                </c:pt>
                <c:pt idx="330">
                  <c:v>2.3459832907065072</c:v>
                </c:pt>
                <c:pt idx="331">
                  <c:v>2.1596637527865852</c:v>
                </c:pt>
                <c:pt idx="332">
                  <c:v>1.9739427910554708</c:v>
                </c:pt>
                <c:pt idx="333">
                  <c:v>1.7888450961553406</c:v>
                </c:pt>
                <c:pt idx="334">
                  <c:v>1.604396192338736</c:v>
                </c:pt>
                <c:pt idx="335">
                  <c:v>1.4206224514074655</c:v>
                </c:pt>
                <c:pt idx="336">
                  <c:v>1.2375511054658452</c:v>
                </c:pt>
                <c:pt idx="337">
                  <c:v>1.0552102583346168</c:v>
                </c:pt>
                <c:pt idx="338">
                  <c:v>0.87362889546801048</c:v>
                </c:pt>
                <c:pt idx="339">
                  <c:v>0.6928368922043765</c:v>
                </c:pt>
                <c:pt idx="340">
                  <c:v>0.51286502017838798</c:v>
                </c:pt>
                <c:pt idx="341">
                  <c:v>0.33374495171100016</c:v>
                </c:pt>
                <c:pt idx="342">
                  <c:v>0.15550926199302009</c:v>
                </c:pt>
                <c:pt idx="343">
                  <c:v>-2.1808571131363745E-2</c:v>
                </c:pt>
                <c:pt idx="344">
                  <c:v>-0.19817416997583304</c:v>
                </c:pt>
                <c:pt idx="345">
                  <c:v>-0.37355226261674651</c:v>
                </c:pt>
                <c:pt idx="346">
                  <c:v>-0.5479066914904841</c:v>
                </c:pt>
                <c:pt idx="347">
                  <c:v>-0.72120042518229854</c:v>
                </c:pt>
                <c:pt idx="348">
                  <c:v>-0.89339557360380462</c:v>
                </c:pt>
                <c:pt idx="349">
                  <c:v>-1.0644534067505953</c:v>
                </c:pt>
                <c:pt idx="350">
                  <c:v>-1.2343343772257418</c:v>
                </c:pt>
                <c:pt idx="351">
                  <c:v>-1.4029981467053629</c:v>
                </c:pt>
                <c:pt idx="352">
                  <c:v>-1.5704036165109247</c:v>
                </c:pt>
                <c:pt idx="353">
                  <c:v>-1.736508962436909</c:v>
                </c:pt>
                <c:pt idx="354">
                  <c:v>-1.9012716739671105</c:v>
                </c:pt>
                <c:pt idx="355">
                  <c:v>-2.0646485979889095</c:v>
                </c:pt>
                <c:pt idx="356">
                  <c:v>-2.2265959870930012</c:v>
                </c:pt>
                <c:pt idx="357">
                  <c:v>-2.387069552516317</c:v>
                </c:pt>
                <c:pt idx="358">
                  <c:v>-2.5460245217574395</c:v>
                </c:pt>
                <c:pt idx="359">
                  <c:v>-2.7034157008558135</c:v>
                </c:pt>
                <c:pt idx="360">
                  <c:v>-2.8591975412924437</c:v>
                </c:pt>
                <c:pt idx="361">
                  <c:v>-3.013324211424528</c:v>
                </c:pt>
                <c:pt idx="362">
                  <c:v>-3.1657496723267977</c:v>
                </c:pt>
                <c:pt idx="363">
                  <c:v>-3.3164277578632664</c:v>
                </c:pt>
                <c:pt idx="364">
                  <c:v>-3.4653122587648926</c:v>
                </c:pt>
                <c:pt idx="365">
                  <c:v>-3.6123570104387541</c:v>
                </c:pt>
                <c:pt idx="366">
                  <c:v>-3.7575159841827239</c:v>
                </c:pt>
                <c:pt idx="367">
                  <c:v>-3.9007433814263908</c:v>
                </c:pt>
                <c:pt idx="368">
                  <c:v>-4.0419937305669205</c:v>
                </c:pt>
                <c:pt idx="369">
                  <c:v>-4.1812219859183388</c:v>
                </c:pt>
                <c:pt idx="370">
                  <c:v>-4.3183836282397534</c:v>
                </c:pt>
                <c:pt idx="371">
                  <c:v>-4.4534347662651168</c:v>
                </c:pt>
                <c:pt idx="372">
                  <c:v>-4.5863322386084269</c:v>
                </c:pt>
                <c:pt idx="373">
                  <c:v>-4.7170337153817306</c:v>
                </c:pt>
                <c:pt idx="374">
                  <c:v>-4.8454977988278856</c:v>
                </c:pt>
                <c:pt idx="375">
                  <c:v>-4.9716841222414292</c:v>
                </c:pt>
                <c:pt idx="376">
                  <c:v>-5.0955534464293875</c:v>
                </c:pt>
                <c:pt idx="377">
                  <c:v>-5.2170677529514764</c:v>
                </c:pt>
                <c:pt idx="378">
                  <c:v>-5.3361903333720004</c:v>
                </c:pt>
                <c:pt idx="379">
                  <c:v>-5.4528858737613444</c:v>
                </c:pt>
                <c:pt idx="380">
                  <c:v>-5.5671205336968885</c:v>
                </c:pt>
                <c:pt idx="381">
                  <c:v>-5.6788620190373145</c:v>
                </c:pt>
                <c:pt idx="382">
                  <c:v>-5.7880796477756356</c:v>
                </c:pt>
                <c:pt idx="383">
                  <c:v>-5.8947444083210634</c:v>
                </c:pt>
                <c:pt idx="384">
                  <c:v>-5.9988290096094943</c:v>
                </c:pt>
                <c:pt idx="385">
                  <c:v>-6.1003079225060741</c:v>
                </c:pt>
                <c:pt idx="386">
                  <c:v>-6.1991574120311306</c:v>
                </c:pt>
                <c:pt idx="387">
                  <c:v>-6.295355560020238</c:v>
                </c:pt>
                <c:pt idx="388">
                  <c:v>-6.3888822779117573</c:v>
                </c:pt>
                <c:pt idx="389">
                  <c:v>-6.479719309445704</c:v>
                </c:pt>
                <c:pt idx="390">
                  <c:v>-6.56785022315281</c:v>
                </c:pt>
                <c:pt idx="391">
                  <c:v>-6.6532603946089397</c:v>
                </c:pt>
                <c:pt idx="392">
                  <c:v>-6.7359369785291339</c:v>
                </c:pt>
                <c:pt idx="393">
                  <c:v>-6.8158688708758994</c:v>
                </c:pt>
                <c:pt idx="394">
                  <c:v>-6.8930466612535142</c:v>
                </c:pt>
                <c:pt idx="395">
                  <c:v>-6.9674625759546149</c:v>
                </c:pt>
                <c:pt idx="396">
                  <c:v>-7.0391104121201353</c:v>
                </c:pt>
                <c:pt idx="397">
                  <c:v>-7.1079854635556092</c:v>
                </c:pt>
                <c:pt idx="398">
                  <c:v>-7.1740844388303815</c:v>
                </c:pt>
                <c:pt idx="399">
                  <c:v>-7.2374053723580722</c:v>
                </c:pt>
                <c:pt idx="400">
                  <c:v>-7.2979475292182769</c:v>
                </c:pt>
                <c:pt idx="401">
                  <c:v>-7.3557113045415266</c:v>
                </c:pt>
                <c:pt idx="402">
                  <c:v>-7.4106981183180185</c:v>
                </c:pt>
                <c:pt idx="403">
                  <c:v>-7.4629103065345523</c:v>
                </c:pt>
                <c:pt idx="404">
                  <c:v>-7.5123510095664567</c:v>
                </c:pt>
                <c:pt idx="405">
                  <c:v>-7.5590240587697979</c:v>
                </c:pt>
                <c:pt idx="406">
                  <c:v>-7.6029338622283218</c:v>
                </c:pt>
                <c:pt idx="407">
                  <c:v>-7.6440852906061565</c:v>
                </c:pt>
                <c:pt idx="408">
                  <c:v>-7.6824835640466418</c:v>
                </c:pt>
                <c:pt idx="409">
                  <c:v>-7.7181341410421123</c:v>
                </c:pt>
                <c:pt idx="410">
                  <c:v>-7.7510426101688772</c:v>
                </c:pt>
                <c:pt idx="411">
                  <c:v>-7.7812145855516244</c:v>
                </c:pt>
                <c:pt idx="412">
                  <c:v>-7.8086556068794302</c:v>
                </c:pt>
                <c:pt idx="413">
                  <c:v>-7.8333710447530081</c:v>
                </c:pt>
                <c:pt idx="414">
                  <c:v>-7.8553660120892443</c:v>
                </c:pt>
                <c:pt idx="415">
                  <c:v>-7.8746452822576032</c:v>
                </c:pt>
                <c:pt idx="416">
                  <c:v>-7.8912132145630896</c:v>
                </c:pt>
                <c:pt idx="417">
                  <c:v>-7.9050736876301837</c:v>
                </c:pt>
                <c:pt idx="418">
                  <c:v>-7.9162300411779709</c:v>
                </c:pt>
                <c:pt idx="419">
                  <c:v>-7.9246850266127282</c:v>
                </c:pt>
                <c:pt idx="420">
                  <c:v>-7.9304407667939198</c:v>
                </c:pt>
                <c:pt idx="421">
                  <c:v>-7.9334987252652587</c:v>
                </c:pt>
                <c:pt idx="422">
                  <c:v>-7.9338596851696934</c:v>
                </c:pt>
                <c:pt idx="423">
                  <c:v>-7.9315237379989521</c:v>
                </c:pt>
                <c:pt idx="424">
                  <c:v>-7.9264902822584302</c:v>
                </c:pt>
                <c:pt idx="425">
                  <c:v>-7.9187580320557425</c:v>
                </c:pt>
                <c:pt idx="426">
                  <c:v>-7.9083250355525747</c:v>
                </c:pt>
                <c:pt idx="427">
                  <c:v>-7.8951887031479897</c:v>
                </c:pt>
                <c:pt idx="428">
                  <c:v>-7.8793458451920877</c:v>
                </c:pt>
                <c:pt idx="429">
                  <c:v>-7.8607927189578399</c:v>
                </c:pt>
                <c:pt idx="430">
                  <c:v>-7.8395250845330633</c:v>
                </c:pt>
                <c:pt idx="431">
                  <c:v>-7.8155382692233601</c:v>
                </c:pt>
                <c:pt idx="432">
                  <c:v>-7.7888272399947489</c:v>
                </c:pt>
                <c:pt idx="433">
                  <c:v>-7.7593866834168583</c:v>
                </c:pt>
                <c:pt idx="434">
                  <c:v>-7.7272110925088109</c:v>
                </c:pt>
                <c:pt idx="435">
                  <c:v>-7.692294859829004</c:v>
                </c:pt>
                <c:pt idx="436">
                  <c:v>-7.6546323760953596</c:v>
                </c:pt>
                <c:pt idx="437">
                  <c:v>-7.6142181335708381</c:v>
                </c:pt>
                <c:pt idx="438">
                  <c:v>-7.5710468334031535</c:v>
                </c:pt>
                <c:pt idx="439">
                  <c:v>-7.525113496064848</c:v>
                </c:pt>
                <c:pt idx="440">
                  <c:v>-7.4764135740064983</c:v>
                </c:pt>
                <c:pt idx="441">
                  <c:v>-7.4249430656061399</c:v>
                </c:pt>
                <c:pt idx="442">
                  <c:v>-7.3706986294782322</c:v>
                </c:pt>
                <c:pt idx="443">
                  <c:v>-7.3136776981920448</c:v>
                </c:pt>
                <c:pt idx="444">
                  <c:v>-7.2538785904460346</c:v>
                </c:pt>
                <c:pt idx="445">
                  <c:v>-7.191300620749411</c:v>
                </c:pt>
                <c:pt idx="446">
                  <c:v>-7.1259442056771194</c:v>
                </c:pt>
                <c:pt idx="447">
                  <c:v>-7.0578109657887147</c:v>
                </c:pt>
                <c:pt idx="448">
                  <c:v>-6.9869038223356377</c:v>
                </c:pt>
                <c:pt idx="449">
                  <c:v>-6.9132270879254856</c:v>
                </c:pt>
                <c:pt idx="450">
                  <c:v>-6.8367865503648906</c:v>
                </c:pt>
                <c:pt idx="451">
                  <c:v>-6.757589548964857</c:v>
                </c:pt>
                <c:pt idx="452">
                  <c:v>-6.6756450426631559</c:v>
                </c:pt>
                <c:pt idx="453">
                  <c:v>-6.590963669396511</c:v>
                </c:pt>
                <c:pt idx="454">
                  <c:v>-6.5035577962392601</c:v>
                </c:pt>
                <c:pt idx="455">
                  <c:v>-6.4134415599170946</c:v>
                </c:pt>
                <c:pt idx="456">
                  <c:v>-6.3206308973973329</c:v>
                </c:pt>
                <c:pt idx="457">
                  <c:v>-6.2251435663547277</c:v>
                </c:pt>
                <c:pt idx="458">
                  <c:v>-6.1269991554139445</c:v>
                </c:pt>
                <c:pt idx="459">
                  <c:v>-6.0262190841627126</c:v>
                </c:pt>
                <c:pt idx="460">
                  <c:v>-5.9228265930358077</c:v>
                </c:pt>
                <c:pt idx="461">
                  <c:v>-5.8168467232574788</c:v>
                </c:pt>
                <c:pt idx="462">
                  <c:v>-5.708306287126538</c:v>
                </c:pt>
                <c:pt idx="463">
                  <c:v>-5.5972338290120867</c:v>
                </c:pt>
                <c:pt idx="464">
                  <c:v>-5.4836595775068995</c:v>
                </c:pt>
                <c:pt idx="465">
                  <c:v>-5.3676153892586607</c:v>
                </c:pt>
                <c:pt idx="466">
                  <c:v>-5.249134685061934</c:v>
                </c:pt>
                <c:pt idx="467">
                  <c:v>-5.1282523788493926</c:v>
                </c:pt>
                <c:pt idx="468">
                  <c:v>-5.0050048002651284</c:v>
                </c:pt>
                <c:pt idx="469">
                  <c:v>-4.8794296115385904</c:v>
                </c:pt>
                <c:pt idx="470">
                  <c:v>-4.7515657194041676</c:v>
                </c:pt>
                <c:pt idx="471">
                  <c:v>-4.6214531828261443</c:v>
                </c:pt>
                <c:pt idx="472">
                  <c:v>-4.4891331172953022</c:v>
                </c:pt>
                <c:pt idx="473">
                  <c:v>-4.3546475964616951</c:v>
                </c:pt>
                <c:pt idx="474">
                  <c:v>-4.2180395518547318</c:v>
                </c:pt>
                <c:pt idx="475">
                  <c:v>-4.0793526714241448</c:v>
                </c:pt>
                <c:pt idx="476">
                  <c:v>-3.93863129760802</c:v>
                </c:pt>
                <c:pt idx="477">
                  <c:v>-3.7959203256003664</c:v>
                </c:pt>
                <c:pt idx="478">
                  <c:v>-3.6512651024548926</c:v>
                </c:pt>
                <c:pt idx="479">
                  <c:v>-3.5047113276154223</c:v>
                </c:pt>
                <c:pt idx="480">
                  <c:v>-3.3563049554183961</c:v>
                </c:pt>
                <c:pt idx="481">
                  <c:v>-3.2060921000658342</c:v>
                </c:pt>
                <c:pt idx="482">
                  <c:v>-3.0541189435097689</c:v>
                </c:pt>
                <c:pt idx="483">
                  <c:v>-2.9004316466448015</c:v>
                </c:pt>
                <c:pt idx="484">
                  <c:v>-2.7450762641466731</c:v>
                </c:pt>
                <c:pt idx="485">
                  <c:v>-2.5880986632459417</c:v>
                </c:pt>
                <c:pt idx="486">
                  <c:v>-2.4295444466743081</c:v>
                </c:pt>
                <c:pt idx="487">
                  <c:v>-2.269458879971419</c:v>
                </c:pt>
                <c:pt idx="488">
                  <c:v>-2.107886823294328</c:v>
                </c:pt>
                <c:pt idx="489">
                  <c:v>-1.9448726678247654</c:v>
                </c:pt>
                <c:pt idx="490">
                  <c:v>-1.7804602768305693</c:v>
                </c:pt>
                <c:pt idx="491">
                  <c:v>-1.6146929313969332</c:v>
                </c:pt>
                <c:pt idx="492">
                  <c:v>-1.4476132808085205</c:v>
                </c:pt>
                <c:pt idx="493">
                  <c:v>-1.2792632975319285</c:v>
                </c:pt>
                <c:pt idx="494">
                  <c:v>-1.1096842367183561</c:v>
                </c:pt>
                <c:pt idx="495">
                  <c:v>-0.9389166001221344</c:v>
                </c:pt>
                <c:pt idx="496">
                  <c:v>-0.76700010430865961</c:v>
                </c:pt>
                <c:pt idx="497">
                  <c:v>-0.59397365300528504</c:v>
                </c:pt>
                <c:pt idx="498">
                  <c:v>-0.41987531343631473</c:v>
                </c:pt>
                <c:pt idx="499">
                  <c:v>-0.24474229646639778</c:v>
                </c:pt>
                <c:pt idx="500">
                  <c:v>-6.8610940370086332E-2</c:v>
                </c:pt>
                <c:pt idx="501">
                  <c:v>0.10848330196279235</c:v>
                </c:pt>
                <c:pt idx="502">
                  <c:v>0.28650587258398008</c:v>
                </c:pt>
                <c:pt idx="503">
                  <c:v>0.4654231150018745</c:v>
                </c:pt>
                <c:pt idx="504">
                  <c:v>0.64520227785616002</c:v>
                </c:pt>
                <c:pt idx="505">
                  <c:v>0.82581151595106306</c:v>
                </c:pt>
                <c:pt idx="506">
                  <c:v>1.0072198888435515</c:v>
                </c:pt>
                <c:pt idx="507">
                  <c:v>1.1893973571790168</c:v>
                </c:pt>
                <c:pt idx="508">
                  <c:v>1.3723147769651991</c:v>
                </c:pt>
                <c:pt idx="509">
                  <c:v>1.5559438919647597</c:v>
                </c:pt>
                <c:pt idx="510">
                  <c:v>1.7402573243846431</c:v>
                </c:pt>
                <c:pt idx="511">
                  <c:v>1.9252285640319906</c:v>
                </c:pt>
                <c:pt idx="512">
                  <c:v>2.1108319560979365</c:v>
                </c:pt>
                <c:pt idx="513">
                  <c:v>2.2970426877241827</c:v>
                </c:pt>
                <c:pt idx="514">
                  <c:v>2.4838367734983406</c:v>
                </c:pt>
                <c:pt idx="515">
                  <c:v>2.6711910400163124</c:v>
                </c:pt>
                <c:pt idx="516">
                  <c:v>2.8590831096415155</c:v>
                </c:pt>
                <c:pt idx="517">
                  <c:v>3.0474913835818724</c:v>
                </c:pt>
                <c:pt idx="518">
                  <c:v>3.2363950243990232</c:v>
                </c:pt>
                <c:pt idx="519">
                  <c:v>3.4257739380542223</c:v>
                </c:pt>
                <c:pt idx="520">
                  <c:v>3.6156087555885046</c:v>
                </c:pt>
                <c:pt idx="521">
                  <c:v>3.8058808145280225</c:v>
                </c:pt>
                <c:pt idx="522">
                  <c:v>3.996572140095958</c:v>
                </c:pt>
                <c:pt idx="523">
                  <c:v>4.187665426307686</c:v>
                </c:pt>
                <c:pt idx="524">
                  <c:v>4.3791440170177696</c:v>
                </c:pt>
                <c:pt idx="525">
                  <c:v>4.5709918869811803</c:v>
                </c:pt>
                <c:pt idx="526">
                  <c:v>4.7631936229857654</c:v>
                </c:pt>
                <c:pt idx="527">
                  <c:v>4.9557344051063392</c:v>
                </c:pt>
                <c:pt idx="528">
                  <c:v>5.1485999881258735</c:v>
                </c:pt>
                <c:pt idx="529">
                  <c:v>5.3417766831651745</c:v>
                </c:pt>
                <c:pt idx="530">
                  <c:v>5.5352513395547351</c:v>
                </c:pt>
                <c:pt idx="531">
                  <c:v>5.7290113269825049</c:v>
                </c:pt>
                <c:pt idx="532">
                  <c:v>5.9230445179426994</c:v>
                </c:pt>
                <c:pt idx="533">
                  <c:v>6.1173392705106169</c:v>
                </c:pt>
                <c:pt idx="534">
                  <c:v>6.3118844114622972</c:v>
                </c:pt>
                <c:pt idx="535">
                  <c:v>6.5066692197574358</c:v>
                </c:pt>
                <c:pt idx="536">
                  <c:v>6.7016834103963294</c:v>
                </c:pt>
                <c:pt idx="537">
                  <c:v>6.8969171186659475</c:v>
                </c:pt>
                <c:pt idx="538">
                  <c:v>7.0923608847807547</c:v>
                </c:pt>
                <c:pt idx="539">
                  <c:v>7.2880056389256689</c:v>
                </c:pt>
                <c:pt idx="540">
                  <c:v>7.4838426867059358</c:v>
                </c:pt>
                <c:pt idx="541">
                  <c:v>7.679863695005916</c:v>
                </c:pt>
              </c:numCache>
            </c:numRef>
          </c:yVal>
          <c:smooth val="1"/>
          <c:extLst>
            <c:ext xmlns:c16="http://schemas.microsoft.com/office/drawing/2014/chart" uri="{C3380CC4-5D6E-409C-BE32-E72D297353CC}">
              <c16:uniqueId val="{00000000-F7C0-4EEE-87E3-EE720F12A204}"/>
            </c:ext>
          </c:extLst>
        </c:ser>
        <c:dLbls>
          <c:showLegendKey val="0"/>
          <c:showVal val="0"/>
          <c:showCatName val="0"/>
          <c:showSerName val="0"/>
          <c:showPercent val="0"/>
          <c:showBubbleSize val="0"/>
        </c:dLbls>
        <c:axId val="555304064"/>
        <c:axId val="555305984"/>
      </c:scatterChart>
      <c:scatterChart>
        <c:scatterStyle val="smoothMarker"/>
        <c:varyColors val="0"/>
        <c:ser>
          <c:idx val="1"/>
          <c:order val="1"/>
          <c:marker>
            <c:symbol val="none"/>
          </c:marker>
          <c:xVal>
            <c:numRef>
              <c:f>Loop_Modeling!$O$19:$O$560</c:f>
              <c:numCache>
                <c:formatCode>0.00</c:formatCode>
                <c:ptCount val="542"/>
                <c:pt idx="0">
                  <c:v>10.232929922807543</c:v>
                </c:pt>
                <c:pt idx="1">
                  <c:v>10.471285480509</c:v>
                </c:pt>
                <c:pt idx="2">
                  <c:v>10.715193052376069</c:v>
                </c:pt>
                <c:pt idx="3">
                  <c:v>10.964781961431854</c:v>
                </c:pt>
                <c:pt idx="4">
                  <c:v>11.220184543019636</c:v>
                </c:pt>
                <c:pt idx="5">
                  <c:v>11.481536214968834</c:v>
                </c:pt>
                <c:pt idx="6">
                  <c:v>11.748975549395301</c:v>
                </c:pt>
                <c:pt idx="7">
                  <c:v>12.022644346174133</c:v>
                </c:pt>
                <c:pt idx="8">
                  <c:v>12.302687708123818</c:v>
                </c:pt>
                <c:pt idx="9">
                  <c:v>12.58925411794168</c:v>
                </c:pt>
                <c:pt idx="10">
                  <c:v>12.882495516931346</c:v>
                </c:pt>
                <c:pt idx="11">
                  <c:v>13.182567385564075</c:v>
                </c:pt>
                <c:pt idx="12">
                  <c:v>13.489628825916535</c:v>
                </c:pt>
                <c:pt idx="13">
                  <c:v>13.803842646028857</c:v>
                </c:pt>
                <c:pt idx="14">
                  <c:v>14.125375446227544</c:v>
                </c:pt>
                <c:pt idx="15">
                  <c:v>14.454397707459275</c:v>
                </c:pt>
                <c:pt idx="16">
                  <c:v>14.791083881682074</c:v>
                </c:pt>
                <c:pt idx="17">
                  <c:v>15.135612484362087</c:v>
                </c:pt>
                <c:pt idx="18">
                  <c:v>15.488166189124817</c:v>
                </c:pt>
                <c:pt idx="19">
                  <c:v>15.848931924611136</c:v>
                </c:pt>
                <c:pt idx="20">
                  <c:v>16.218100973589298</c:v>
                </c:pt>
                <c:pt idx="21">
                  <c:v>16.595869074375614</c:v>
                </c:pt>
                <c:pt idx="22">
                  <c:v>16.982436524617448</c:v>
                </c:pt>
                <c:pt idx="23">
                  <c:v>17.378008287493756</c:v>
                </c:pt>
                <c:pt idx="24">
                  <c:v>17.782794100389236</c:v>
                </c:pt>
                <c:pt idx="25">
                  <c:v>18.197008586099841</c:v>
                </c:pt>
                <c:pt idx="26">
                  <c:v>18.62087136662868</c:v>
                </c:pt>
                <c:pt idx="27">
                  <c:v>19.054607179632477</c:v>
                </c:pt>
                <c:pt idx="28">
                  <c:v>19.498445997580465</c:v>
                </c:pt>
                <c:pt idx="29">
                  <c:v>19.952623149688804</c:v>
                </c:pt>
                <c:pt idx="30">
                  <c:v>20.4173794466953</c:v>
                </c:pt>
                <c:pt idx="31">
                  <c:v>20.8929613085404</c:v>
                </c:pt>
                <c:pt idx="32">
                  <c:v>21.379620895022335</c:v>
                </c:pt>
                <c:pt idx="33">
                  <c:v>21.877616239495538</c:v>
                </c:pt>
                <c:pt idx="34">
                  <c:v>22.387211385683404</c:v>
                </c:pt>
                <c:pt idx="35">
                  <c:v>22.908676527677727</c:v>
                </c:pt>
                <c:pt idx="36">
                  <c:v>23.442288153199236</c:v>
                </c:pt>
                <c:pt idx="37">
                  <c:v>23.988329190194907</c:v>
                </c:pt>
                <c:pt idx="38">
                  <c:v>24.547089156850316</c:v>
                </c:pt>
                <c:pt idx="39">
                  <c:v>25.118864315095799</c:v>
                </c:pt>
                <c:pt idx="40">
                  <c:v>25.703957827688647</c:v>
                </c:pt>
                <c:pt idx="41">
                  <c:v>26.302679918953825</c:v>
                </c:pt>
                <c:pt idx="42">
                  <c:v>26.915348039269158</c:v>
                </c:pt>
                <c:pt idx="43">
                  <c:v>27.542287033381665</c:v>
                </c:pt>
                <c:pt idx="44">
                  <c:v>28.183829312644548</c:v>
                </c:pt>
                <c:pt idx="45">
                  <c:v>28.840315031266066</c:v>
                </c:pt>
                <c:pt idx="46">
                  <c:v>29.512092266663863</c:v>
                </c:pt>
                <c:pt idx="47">
                  <c:v>30.199517204020164</c:v>
                </c:pt>
                <c:pt idx="48">
                  <c:v>30.902954325135919</c:v>
                </c:pt>
                <c:pt idx="49">
                  <c:v>31.622776601683803</c:v>
                </c:pt>
                <c:pt idx="50">
                  <c:v>32.359365692962832</c:v>
                </c:pt>
                <c:pt idx="51">
                  <c:v>33.113112148259127</c:v>
                </c:pt>
                <c:pt idx="52">
                  <c:v>33.884415613920268</c:v>
                </c:pt>
                <c:pt idx="53">
                  <c:v>34.67368504525318</c:v>
                </c:pt>
                <c:pt idx="54">
                  <c:v>35.481338923357555</c:v>
                </c:pt>
                <c:pt idx="55">
                  <c:v>36.307805477010156</c:v>
                </c:pt>
                <c:pt idx="56">
                  <c:v>37.15352290971726</c:v>
                </c:pt>
                <c:pt idx="57">
                  <c:v>38.018939632056139</c:v>
                </c:pt>
                <c:pt idx="58">
                  <c:v>38.904514499428053</c:v>
                </c:pt>
                <c:pt idx="59">
                  <c:v>39.810717055349755</c:v>
                </c:pt>
                <c:pt idx="60">
                  <c:v>40.738027780411279</c:v>
                </c:pt>
                <c:pt idx="61">
                  <c:v>41.686938347033561</c:v>
                </c:pt>
                <c:pt idx="62">
                  <c:v>42.657951880159267</c:v>
                </c:pt>
                <c:pt idx="63">
                  <c:v>43.651583224016633</c:v>
                </c:pt>
                <c:pt idx="64">
                  <c:v>44.668359215096324</c:v>
                </c:pt>
                <c:pt idx="65">
                  <c:v>45.70881896148753</c:v>
                </c:pt>
                <c:pt idx="66">
                  <c:v>46.773514128719818</c:v>
                </c:pt>
                <c:pt idx="67">
                  <c:v>47.863009232263877</c:v>
                </c:pt>
                <c:pt idx="68">
                  <c:v>48.977881936844632</c:v>
                </c:pt>
                <c:pt idx="69">
                  <c:v>50.118723362727238</c:v>
                </c:pt>
                <c:pt idx="70">
                  <c:v>51.28613839913649</c:v>
                </c:pt>
                <c:pt idx="71">
                  <c:v>52.480746024977286</c:v>
                </c:pt>
                <c:pt idx="72">
                  <c:v>53.703179637025293</c:v>
                </c:pt>
                <c:pt idx="73">
                  <c:v>54.95408738576247</c:v>
                </c:pt>
                <c:pt idx="74">
                  <c:v>56.234132519034915</c:v>
                </c:pt>
                <c:pt idx="75">
                  <c:v>57.543993733715695</c:v>
                </c:pt>
                <c:pt idx="76">
                  <c:v>58.884365535558949</c:v>
                </c:pt>
                <c:pt idx="77">
                  <c:v>60.255958607435822</c:v>
                </c:pt>
                <c:pt idx="78">
                  <c:v>61.659500186148257</c:v>
                </c:pt>
                <c:pt idx="79">
                  <c:v>63.095734448019364</c:v>
                </c:pt>
                <c:pt idx="80">
                  <c:v>64.565422903465588</c:v>
                </c:pt>
                <c:pt idx="81">
                  <c:v>66.069344800759623</c:v>
                </c:pt>
                <c:pt idx="82">
                  <c:v>67.60829753919819</c:v>
                </c:pt>
                <c:pt idx="83">
                  <c:v>69.183097091893657</c:v>
                </c:pt>
                <c:pt idx="84">
                  <c:v>70.794578438413865</c:v>
                </c:pt>
                <c:pt idx="85">
                  <c:v>72.443596007499011</c:v>
                </c:pt>
                <c:pt idx="86">
                  <c:v>74.131024130091816</c:v>
                </c:pt>
                <c:pt idx="87">
                  <c:v>75.857757502918361</c:v>
                </c:pt>
                <c:pt idx="88">
                  <c:v>77.624711662869217</c:v>
                </c:pt>
                <c:pt idx="89">
                  <c:v>79.432823472428197</c:v>
                </c:pt>
                <c:pt idx="90">
                  <c:v>81.283051616409963</c:v>
                </c:pt>
                <c:pt idx="91">
                  <c:v>83.176377110267126</c:v>
                </c:pt>
                <c:pt idx="92">
                  <c:v>85.113803820237734</c:v>
                </c:pt>
                <c:pt idx="93">
                  <c:v>87.096358995608071</c:v>
                </c:pt>
                <c:pt idx="94">
                  <c:v>89.125093813374562</c:v>
                </c:pt>
                <c:pt idx="95">
                  <c:v>91.201083935590972</c:v>
                </c:pt>
                <c:pt idx="96">
                  <c:v>93.325430079699174</c:v>
                </c:pt>
                <c:pt idx="97">
                  <c:v>95.499258602143655</c:v>
                </c:pt>
                <c:pt idx="98">
                  <c:v>97.723722095581124</c:v>
                </c:pt>
                <c:pt idx="99">
                  <c:v>100</c:v>
                </c:pt>
                <c:pt idx="100">
                  <c:v>102.32929922807544</c:v>
                </c:pt>
                <c:pt idx="101">
                  <c:v>104.71285480508998</c:v>
                </c:pt>
                <c:pt idx="102">
                  <c:v>107.15193052376065</c:v>
                </c:pt>
                <c:pt idx="103">
                  <c:v>109.64781961431861</c:v>
                </c:pt>
                <c:pt idx="104">
                  <c:v>112.20184543019634</c:v>
                </c:pt>
                <c:pt idx="105">
                  <c:v>114.81536214968835</c:v>
                </c:pt>
                <c:pt idx="106">
                  <c:v>117.48975549395293</c:v>
                </c:pt>
                <c:pt idx="107">
                  <c:v>120.22644346174135</c:v>
                </c:pt>
                <c:pt idx="108">
                  <c:v>123.02687708123821</c:v>
                </c:pt>
                <c:pt idx="109">
                  <c:v>125.89254117941677</c:v>
                </c:pt>
                <c:pt idx="110">
                  <c:v>128.82495516931343</c:v>
                </c:pt>
                <c:pt idx="111">
                  <c:v>131.82567385564084</c:v>
                </c:pt>
                <c:pt idx="112">
                  <c:v>134.89628825916537</c:v>
                </c:pt>
                <c:pt idx="113">
                  <c:v>138.0384264602886</c:v>
                </c:pt>
                <c:pt idx="114">
                  <c:v>141.25375446227542</c:v>
                </c:pt>
                <c:pt idx="115">
                  <c:v>144.54397707459285</c:v>
                </c:pt>
                <c:pt idx="116">
                  <c:v>147.91083881682084</c:v>
                </c:pt>
                <c:pt idx="117">
                  <c:v>151.3561248436209</c:v>
                </c:pt>
                <c:pt idx="118">
                  <c:v>154.8816618912482</c:v>
                </c:pt>
                <c:pt idx="119">
                  <c:v>158.48931924611153</c:v>
                </c:pt>
                <c:pt idx="120">
                  <c:v>162.18100973589304</c:v>
                </c:pt>
                <c:pt idx="121">
                  <c:v>165.95869074375622</c:v>
                </c:pt>
                <c:pt idx="122">
                  <c:v>169.82436524617444</c:v>
                </c:pt>
                <c:pt idx="123">
                  <c:v>173.78008287493768</c:v>
                </c:pt>
                <c:pt idx="124">
                  <c:v>177.82794100389242</c:v>
                </c:pt>
                <c:pt idx="125">
                  <c:v>181.9700858609983</c:v>
                </c:pt>
                <c:pt idx="126">
                  <c:v>186.20871366628685</c:v>
                </c:pt>
                <c:pt idx="127">
                  <c:v>190.54607179632498</c:v>
                </c:pt>
                <c:pt idx="128">
                  <c:v>194.98445997580458</c:v>
                </c:pt>
                <c:pt idx="129">
                  <c:v>199.52623149688802</c:v>
                </c:pt>
                <c:pt idx="130">
                  <c:v>204.17379446695315</c:v>
                </c:pt>
                <c:pt idx="131">
                  <c:v>208.92961308540396</c:v>
                </c:pt>
                <c:pt idx="132">
                  <c:v>213.79620895022339</c:v>
                </c:pt>
                <c:pt idx="133">
                  <c:v>218.77616239495524</c:v>
                </c:pt>
                <c:pt idx="134">
                  <c:v>223.87211385683412</c:v>
                </c:pt>
                <c:pt idx="135">
                  <c:v>229.08676527677744</c:v>
                </c:pt>
                <c:pt idx="136">
                  <c:v>234.42288153199232</c:v>
                </c:pt>
                <c:pt idx="137">
                  <c:v>239.88329190194912</c:v>
                </c:pt>
                <c:pt idx="138">
                  <c:v>245.4708915685033</c:v>
                </c:pt>
                <c:pt idx="139">
                  <c:v>251.18864315095806</c:v>
                </c:pt>
                <c:pt idx="140">
                  <c:v>257.03957827688663</c:v>
                </c:pt>
                <c:pt idx="141">
                  <c:v>263.02679918953817</c:v>
                </c:pt>
                <c:pt idx="142">
                  <c:v>269.15348039269179</c:v>
                </c:pt>
                <c:pt idx="143">
                  <c:v>275.42287033381683</c:v>
                </c:pt>
                <c:pt idx="144">
                  <c:v>281.83829312644554</c:v>
                </c:pt>
                <c:pt idx="145">
                  <c:v>288.40315031266073</c:v>
                </c:pt>
                <c:pt idx="146">
                  <c:v>295.12092266663871</c:v>
                </c:pt>
                <c:pt idx="147">
                  <c:v>301.99517204020168</c:v>
                </c:pt>
                <c:pt idx="148">
                  <c:v>309.02954325135937</c:v>
                </c:pt>
                <c:pt idx="149">
                  <c:v>316.22776601683825</c:v>
                </c:pt>
                <c:pt idx="150">
                  <c:v>323.59365692962825</c:v>
                </c:pt>
                <c:pt idx="151">
                  <c:v>331.13112148259137</c:v>
                </c:pt>
                <c:pt idx="152">
                  <c:v>338.84415613920277</c:v>
                </c:pt>
                <c:pt idx="153">
                  <c:v>346.73685045253183</c:v>
                </c:pt>
                <c:pt idx="154">
                  <c:v>354.81338923357566</c:v>
                </c:pt>
                <c:pt idx="155">
                  <c:v>363.07805477010152</c:v>
                </c:pt>
                <c:pt idx="156">
                  <c:v>371.53522909717265</c:v>
                </c:pt>
                <c:pt idx="157">
                  <c:v>380.18939632056163</c:v>
                </c:pt>
                <c:pt idx="158">
                  <c:v>389.04514499428063</c:v>
                </c:pt>
                <c:pt idx="159">
                  <c:v>398.10717055349761</c:v>
                </c:pt>
                <c:pt idx="160">
                  <c:v>407.38027780411272</c:v>
                </c:pt>
                <c:pt idx="161">
                  <c:v>416.86938347033572</c:v>
                </c:pt>
                <c:pt idx="162">
                  <c:v>426.57951880159294</c:v>
                </c:pt>
                <c:pt idx="163">
                  <c:v>436.51583224016622</c:v>
                </c:pt>
                <c:pt idx="164">
                  <c:v>446.68359215096331</c:v>
                </c:pt>
                <c:pt idx="165">
                  <c:v>457.0881896148756</c:v>
                </c:pt>
                <c:pt idx="166">
                  <c:v>467.7351412871983</c:v>
                </c:pt>
                <c:pt idx="167">
                  <c:v>478.63009232263886</c:v>
                </c:pt>
                <c:pt idx="168">
                  <c:v>489.77881936844625</c:v>
                </c:pt>
                <c:pt idx="169">
                  <c:v>501.18723362727269</c:v>
                </c:pt>
                <c:pt idx="170">
                  <c:v>512.86138399136519</c:v>
                </c:pt>
                <c:pt idx="171">
                  <c:v>524.80746024977248</c:v>
                </c:pt>
                <c:pt idx="172">
                  <c:v>537.03179637025301</c:v>
                </c:pt>
                <c:pt idx="173">
                  <c:v>549.54087385762534</c:v>
                </c:pt>
                <c:pt idx="174">
                  <c:v>562.34132519034927</c:v>
                </c:pt>
                <c:pt idx="175">
                  <c:v>575.43993733715706</c:v>
                </c:pt>
                <c:pt idx="176">
                  <c:v>588.84365535558959</c:v>
                </c:pt>
                <c:pt idx="177">
                  <c:v>602.55958607435832</c:v>
                </c:pt>
                <c:pt idx="178">
                  <c:v>616.59500186148273</c:v>
                </c:pt>
                <c:pt idx="179">
                  <c:v>630.95734448019323</c:v>
                </c:pt>
                <c:pt idx="180">
                  <c:v>645.65422903465594</c:v>
                </c:pt>
                <c:pt idx="181">
                  <c:v>660.69344800759643</c:v>
                </c:pt>
                <c:pt idx="182">
                  <c:v>676.08297539198213</c:v>
                </c:pt>
                <c:pt idx="183">
                  <c:v>691.83097091893671</c:v>
                </c:pt>
                <c:pt idx="184">
                  <c:v>707.94578438413873</c:v>
                </c:pt>
                <c:pt idx="185">
                  <c:v>724.43596007499025</c:v>
                </c:pt>
                <c:pt idx="186">
                  <c:v>741.31024130091828</c:v>
                </c:pt>
                <c:pt idx="187">
                  <c:v>758.57757502918378</c:v>
                </c:pt>
                <c:pt idx="188">
                  <c:v>776.24711662869231</c:v>
                </c:pt>
                <c:pt idx="189">
                  <c:v>794.32823472428208</c:v>
                </c:pt>
                <c:pt idx="190">
                  <c:v>812.83051616409978</c:v>
                </c:pt>
                <c:pt idx="191">
                  <c:v>831.7637711026714</c:v>
                </c:pt>
                <c:pt idx="192">
                  <c:v>851.13803820237763</c:v>
                </c:pt>
                <c:pt idx="193">
                  <c:v>870.96358995608091</c:v>
                </c:pt>
                <c:pt idx="194">
                  <c:v>891.25093813374656</c:v>
                </c:pt>
                <c:pt idx="195">
                  <c:v>912.01083935590987</c:v>
                </c:pt>
                <c:pt idx="196">
                  <c:v>933.25430079699106</c:v>
                </c:pt>
                <c:pt idx="197">
                  <c:v>954.99258602143675</c:v>
                </c:pt>
                <c:pt idx="198">
                  <c:v>977.23722095581138</c:v>
                </c:pt>
                <c:pt idx="199">
                  <c:v>1000</c:v>
                </c:pt>
                <c:pt idx="200">
                  <c:v>1023.2929922807547</c:v>
                </c:pt>
                <c:pt idx="201">
                  <c:v>1047.1285480509</c:v>
                </c:pt>
                <c:pt idx="202">
                  <c:v>1071.5193052376069</c:v>
                </c:pt>
                <c:pt idx="203">
                  <c:v>1096.4781961431863</c:v>
                </c:pt>
                <c:pt idx="204">
                  <c:v>1122.0184543019636</c:v>
                </c:pt>
                <c:pt idx="205">
                  <c:v>1148.1536214968839</c:v>
                </c:pt>
                <c:pt idx="206">
                  <c:v>1174.8975549395295</c:v>
                </c:pt>
                <c:pt idx="207">
                  <c:v>1202.2644346174138</c:v>
                </c:pt>
                <c:pt idx="208">
                  <c:v>1230.2687708123824</c:v>
                </c:pt>
                <c:pt idx="209">
                  <c:v>1258.925411794168</c:v>
                </c:pt>
                <c:pt idx="210">
                  <c:v>1288.2495516931347</c:v>
                </c:pt>
                <c:pt idx="211">
                  <c:v>1318.2567385564089</c:v>
                </c:pt>
                <c:pt idx="212">
                  <c:v>1348.9628825916541</c:v>
                </c:pt>
                <c:pt idx="213">
                  <c:v>1380.3842646028863</c:v>
                </c:pt>
                <c:pt idx="214">
                  <c:v>1412.5375446227545</c:v>
                </c:pt>
                <c:pt idx="215">
                  <c:v>1445.4397707459289</c:v>
                </c:pt>
                <c:pt idx="216">
                  <c:v>1479.1083881682086</c:v>
                </c:pt>
                <c:pt idx="217">
                  <c:v>1513.5612484362093</c:v>
                </c:pt>
                <c:pt idx="218">
                  <c:v>1548.8166189124822</c:v>
                </c:pt>
                <c:pt idx="219">
                  <c:v>1584.8931924611156</c:v>
                </c:pt>
                <c:pt idx="220">
                  <c:v>1621.8100973589308</c:v>
                </c:pt>
                <c:pt idx="221">
                  <c:v>1659.5869074375626</c:v>
                </c:pt>
                <c:pt idx="222">
                  <c:v>1698.2436524617447</c:v>
                </c:pt>
                <c:pt idx="223">
                  <c:v>1737.8008287493772</c:v>
                </c:pt>
                <c:pt idx="224">
                  <c:v>1778.2794100389244</c:v>
                </c:pt>
                <c:pt idx="225">
                  <c:v>1819.7008586099832</c:v>
                </c:pt>
                <c:pt idx="226">
                  <c:v>1862.0871366628687</c:v>
                </c:pt>
                <c:pt idx="227">
                  <c:v>1905.4607179632501</c:v>
                </c:pt>
                <c:pt idx="228">
                  <c:v>1949.8445997580463</c:v>
                </c:pt>
                <c:pt idx="229">
                  <c:v>1995.2623149688804</c:v>
                </c:pt>
                <c:pt idx="230">
                  <c:v>2041.7379446695318</c:v>
                </c:pt>
                <c:pt idx="231">
                  <c:v>2089.2961308540398</c:v>
                </c:pt>
                <c:pt idx="232">
                  <c:v>2137.9620895022344</c:v>
                </c:pt>
                <c:pt idx="233">
                  <c:v>2187.7616239495528</c:v>
                </c:pt>
                <c:pt idx="234">
                  <c:v>2238.7211385683418</c:v>
                </c:pt>
                <c:pt idx="235">
                  <c:v>2290.8676527677749</c:v>
                </c:pt>
                <c:pt idx="236">
                  <c:v>2344.2288153199238</c:v>
                </c:pt>
                <c:pt idx="237">
                  <c:v>2398.8329190194918</c:v>
                </c:pt>
                <c:pt idx="238">
                  <c:v>2454.7089156850338</c:v>
                </c:pt>
                <c:pt idx="239">
                  <c:v>2511.8864315095811</c:v>
                </c:pt>
                <c:pt idx="240">
                  <c:v>2570.3957827688669</c:v>
                </c:pt>
                <c:pt idx="241">
                  <c:v>2630.2679918953822</c:v>
                </c:pt>
                <c:pt idx="242">
                  <c:v>2691.5348039269184</c:v>
                </c:pt>
                <c:pt idx="243">
                  <c:v>2754.228703338169</c:v>
                </c:pt>
                <c:pt idx="244">
                  <c:v>2818.3829312644561</c:v>
                </c:pt>
                <c:pt idx="245">
                  <c:v>2884.0315031266077</c:v>
                </c:pt>
                <c:pt idx="246">
                  <c:v>2951.2092266663876</c:v>
                </c:pt>
                <c:pt idx="247">
                  <c:v>3019.9517204020176</c:v>
                </c:pt>
                <c:pt idx="248">
                  <c:v>3090.295432513592</c:v>
                </c:pt>
                <c:pt idx="249">
                  <c:v>3162.2776601683804</c:v>
                </c:pt>
                <c:pt idx="250">
                  <c:v>3235.9365692962833</c:v>
                </c:pt>
                <c:pt idx="251">
                  <c:v>3311.3112148259115</c:v>
                </c:pt>
                <c:pt idx="252">
                  <c:v>3388.4415613920314</c:v>
                </c:pt>
                <c:pt idx="253">
                  <c:v>3467.3685045253224</c:v>
                </c:pt>
                <c:pt idx="254">
                  <c:v>3548.1338923357539</c:v>
                </c:pt>
                <c:pt idx="255">
                  <c:v>3630.7805477010188</c:v>
                </c:pt>
                <c:pt idx="256">
                  <c:v>3715.352290971724</c:v>
                </c:pt>
                <c:pt idx="257">
                  <c:v>3801.8939632056172</c:v>
                </c:pt>
                <c:pt idx="258">
                  <c:v>3890.451449942811</c:v>
                </c:pt>
                <c:pt idx="259">
                  <c:v>3981.0717055349769</c:v>
                </c:pt>
                <c:pt idx="260">
                  <c:v>4073.8027780411317</c:v>
                </c:pt>
                <c:pt idx="261">
                  <c:v>4168.6938347033583</c:v>
                </c:pt>
                <c:pt idx="262">
                  <c:v>4265.7951880159299</c:v>
                </c:pt>
                <c:pt idx="263">
                  <c:v>4365.1583224016631</c:v>
                </c:pt>
                <c:pt idx="264">
                  <c:v>4466.8359215096343</c:v>
                </c:pt>
                <c:pt idx="265">
                  <c:v>4570.8818961487532</c:v>
                </c:pt>
                <c:pt idx="266">
                  <c:v>4677.3514128719844</c:v>
                </c:pt>
                <c:pt idx="267">
                  <c:v>4786.3009232263848</c:v>
                </c:pt>
                <c:pt idx="268">
                  <c:v>4897.7881936844633</c:v>
                </c:pt>
                <c:pt idx="269">
                  <c:v>5011.8723362727324</c:v>
                </c:pt>
                <c:pt idx="270">
                  <c:v>5128.6138399136489</c:v>
                </c:pt>
                <c:pt idx="271">
                  <c:v>5248.0746024977261</c:v>
                </c:pt>
                <c:pt idx="272">
                  <c:v>5370.3179637025269</c:v>
                </c:pt>
                <c:pt idx="273">
                  <c:v>5495.4087385762541</c:v>
                </c:pt>
                <c:pt idx="274">
                  <c:v>5623.4132519034993</c:v>
                </c:pt>
                <c:pt idx="275">
                  <c:v>5754.399373371567</c:v>
                </c:pt>
                <c:pt idx="276">
                  <c:v>5888.4365535558973</c:v>
                </c:pt>
                <c:pt idx="277">
                  <c:v>6025.595860743585</c:v>
                </c:pt>
                <c:pt idx="278">
                  <c:v>6165.9500186148289</c:v>
                </c:pt>
                <c:pt idx="279">
                  <c:v>6309.5734448019384</c:v>
                </c:pt>
                <c:pt idx="280">
                  <c:v>6456.5422903465615</c:v>
                </c:pt>
                <c:pt idx="281">
                  <c:v>6606.9344800759654</c:v>
                </c:pt>
                <c:pt idx="282">
                  <c:v>6760.8297539198229</c:v>
                </c:pt>
                <c:pt idx="283">
                  <c:v>6918.3097091893687</c:v>
                </c:pt>
                <c:pt idx="284">
                  <c:v>7079.4578438413828</c:v>
                </c:pt>
                <c:pt idx="285">
                  <c:v>7244.3596007499036</c:v>
                </c:pt>
                <c:pt idx="286">
                  <c:v>7413.1024130091773</c:v>
                </c:pt>
                <c:pt idx="287">
                  <c:v>7585.7757502918394</c:v>
                </c:pt>
                <c:pt idx="288">
                  <c:v>7762.4711662869322</c:v>
                </c:pt>
                <c:pt idx="289">
                  <c:v>7943.2823472428154</c:v>
                </c:pt>
                <c:pt idx="290">
                  <c:v>8128.3051616410066</c:v>
                </c:pt>
                <c:pt idx="291">
                  <c:v>8317.6377110267094</c:v>
                </c:pt>
                <c:pt idx="292">
                  <c:v>8511.3803820237772</c:v>
                </c:pt>
                <c:pt idx="293">
                  <c:v>8709.6358995608189</c:v>
                </c:pt>
                <c:pt idx="294">
                  <c:v>8912.5093813374679</c:v>
                </c:pt>
                <c:pt idx="295">
                  <c:v>9120.1083935591087</c:v>
                </c:pt>
                <c:pt idx="296">
                  <c:v>9332.5430079699217</c:v>
                </c:pt>
                <c:pt idx="297">
                  <c:v>9549.9258602143691</c:v>
                </c:pt>
                <c:pt idx="298">
                  <c:v>9772.3722095581161</c:v>
                </c:pt>
                <c:pt idx="299">
                  <c:v>10000</c:v>
                </c:pt>
                <c:pt idx="300">
                  <c:v>10232.929922807549</c:v>
                </c:pt>
                <c:pt idx="301">
                  <c:v>10471.285480509003</c:v>
                </c:pt>
                <c:pt idx="302">
                  <c:v>10715.193052376071</c:v>
                </c:pt>
                <c:pt idx="303">
                  <c:v>10964.781961431856</c:v>
                </c:pt>
                <c:pt idx="304">
                  <c:v>11220.184543019639</c:v>
                </c:pt>
                <c:pt idx="305">
                  <c:v>11481.536214968832</c:v>
                </c:pt>
                <c:pt idx="306">
                  <c:v>11748.975549395318</c:v>
                </c:pt>
                <c:pt idx="307">
                  <c:v>12022.644346174151</c:v>
                </c:pt>
                <c:pt idx="308">
                  <c:v>12302.687708123816</c:v>
                </c:pt>
                <c:pt idx="309">
                  <c:v>12589.254117941671</c:v>
                </c:pt>
                <c:pt idx="310">
                  <c:v>12882.49551693136</c:v>
                </c:pt>
                <c:pt idx="311">
                  <c:v>13182.567385564091</c:v>
                </c:pt>
                <c:pt idx="312">
                  <c:v>13489.628825916556</c:v>
                </c:pt>
                <c:pt idx="313">
                  <c:v>13803.842646028841</c:v>
                </c:pt>
                <c:pt idx="314">
                  <c:v>14125.375446227561</c:v>
                </c:pt>
                <c:pt idx="315">
                  <c:v>14454.397707459291</c:v>
                </c:pt>
                <c:pt idx="316">
                  <c:v>14791.083881682089</c:v>
                </c:pt>
                <c:pt idx="317">
                  <c:v>15135.612484362096</c:v>
                </c:pt>
                <c:pt idx="318">
                  <c:v>15488.166189124853</c:v>
                </c:pt>
                <c:pt idx="319">
                  <c:v>15848.931924611146</c:v>
                </c:pt>
                <c:pt idx="320">
                  <c:v>16218.100973589309</c:v>
                </c:pt>
                <c:pt idx="321">
                  <c:v>16595.869074375616</c:v>
                </c:pt>
                <c:pt idx="322">
                  <c:v>16982.436524617482</c:v>
                </c:pt>
                <c:pt idx="323">
                  <c:v>17378.008287493791</c:v>
                </c:pt>
                <c:pt idx="324">
                  <c:v>17782.794100389234</c:v>
                </c:pt>
                <c:pt idx="325">
                  <c:v>18197.008586099837</c:v>
                </c:pt>
                <c:pt idx="326">
                  <c:v>18620.871366628675</c:v>
                </c:pt>
                <c:pt idx="327">
                  <c:v>19054.607179632505</c:v>
                </c:pt>
                <c:pt idx="328">
                  <c:v>19498.445997580486</c:v>
                </c:pt>
                <c:pt idx="329">
                  <c:v>19952.623149688792</c:v>
                </c:pt>
                <c:pt idx="330">
                  <c:v>20417.379446695286</c:v>
                </c:pt>
                <c:pt idx="331">
                  <c:v>20892.961308540423</c:v>
                </c:pt>
                <c:pt idx="332">
                  <c:v>21379.620895022348</c:v>
                </c:pt>
                <c:pt idx="333">
                  <c:v>21877.61623949555</c:v>
                </c:pt>
                <c:pt idx="334">
                  <c:v>22387.211385683382</c:v>
                </c:pt>
                <c:pt idx="335">
                  <c:v>22908.676527677751</c:v>
                </c:pt>
                <c:pt idx="336">
                  <c:v>23442.288153199243</c:v>
                </c:pt>
                <c:pt idx="337">
                  <c:v>23988.329190194923</c:v>
                </c:pt>
                <c:pt idx="338">
                  <c:v>24547.089156850321</c:v>
                </c:pt>
                <c:pt idx="339">
                  <c:v>25118.86431509586</c:v>
                </c:pt>
                <c:pt idx="340">
                  <c:v>25703.95782768865</c:v>
                </c:pt>
                <c:pt idx="341">
                  <c:v>26302.679918953829</c:v>
                </c:pt>
                <c:pt idx="342">
                  <c:v>26915.348039269167</c:v>
                </c:pt>
                <c:pt idx="343">
                  <c:v>27542.287033381719</c:v>
                </c:pt>
                <c:pt idx="344">
                  <c:v>28183.829312644593</c:v>
                </c:pt>
                <c:pt idx="345">
                  <c:v>28840.315031266062</c:v>
                </c:pt>
                <c:pt idx="346">
                  <c:v>29512.092266663854</c:v>
                </c:pt>
                <c:pt idx="347">
                  <c:v>30199.517204020212</c:v>
                </c:pt>
                <c:pt idx="348">
                  <c:v>30902.954325135954</c:v>
                </c:pt>
                <c:pt idx="349">
                  <c:v>31622.77660168384</c:v>
                </c:pt>
                <c:pt idx="350">
                  <c:v>32359.365692962871</c:v>
                </c:pt>
                <c:pt idx="351">
                  <c:v>33113.11214825909</c:v>
                </c:pt>
                <c:pt idx="352">
                  <c:v>33884.41561392029</c:v>
                </c:pt>
                <c:pt idx="353">
                  <c:v>34673.685045253202</c:v>
                </c:pt>
                <c:pt idx="354">
                  <c:v>35481.33892335758</c:v>
                </c:pt>
                <c:pt idx="355">
                  <c:v>36307.805477010232</c:v>
                </c:pt>
                <c:pt idx="356">
                  <c:v>37153.522909717351</c:v>
                </c:pt>
                <c:pt idx="357">
                  <c:v>38018.939632056143</c:v>
                </c:pt>
                <c:pt idx="358">
                  <c:v>38904.514499428085</c:v>
                </c:pt>
                <c:pt idx="359">
                  <c:v>39810.717055349742</c:v>
                </c:pt>
                <c:pt idx="360">
                  <c:v>40738.027780411358</c:v>
                </c:pt>
                <c:pt idx="361">
                  <c:v>41686.938347033625</c:v>
                </c:pt>
                <c:pt idx="362">
                  <c:v>42657.951880159271</c:v>
                </c:pt>
                <c:pt idx="363">
                  <c:v>43651.583224016598</c:v>
                </c:pt>
                <c:pt idx="364">
                  <c:v>44668.359215096389</c:v>
                </c:pt>
                <c:pt idx="365">
                  <c:v>45708.818961487581</c:v>
                </c:pt>
                <c:pt idx="366">
                  <c:v>46773.514128719893</c:v>
                </c:pt>
                <c:pt idx="367">
                  <c:v>47863.009232263823</c:v>
                </c:pt>
                <c:pt idx="368">
                  <c:v>48977.881936844598</c:v>
                </c:pt>
                <c:pt idx="369">
                  <c:v>50118.723362727294</c:v>
                </c:pt>
                <c:pt idx="370">
                  <c:v>51286.138399136544</c:v>
                </c:pt>
                <c:pt idx="371">
                  <c:v>52480.746024977314</c:v>
                </c:pt>
                <c:pt idx="372">
                  <c:v>53703.179637025423</c:v>
                </c:pt>
                <c:pt idx="373">
                  <c:v>54954.087385762505</c:v>
                </c:pt>
                <c:pt idx="374">
                  <c:v>56234.132519034953</c:v>
                </c:pt>
                <c:pt idx="375">
                  <c:v>57543.993733715732</c:v>
                </c:pt>
                <c:pt idx="376">
                  <c:v>58884.365535558936</c:v>
                </c:pt>
                <c:pt idx="377">
                  <c:v>60255.95860743591</c:v>
                </c:pt>
                <c:pt idx="378">
                  <c:v>61659.500186148245</c:v>
                </c:pt>
                <c:pt idx="379">
                  <c:v>63095.734448019342</c:v>
                </c:pt>
                <c:pt idx="380">
                  <c:v>64565.422903465682</c:v>
                </c:pt>
                <c:pt idx="381">
                  <c:v>66069.344800759733</c:v>
                </c:pt>
                <c:pt idx="382">
                  <c:v>67608.297539198305</c:v>
                </c:pt>
                <c:pt idx="383">
                  <c:v>69183.097091893651</c:v>
                </c:pt>
                <c:pt idx="384">
                  <c:v>70794.578438413781</c:v>
                </c:pt>
                <c:pt idx="385">
                  <c:v>72443.596007499116</c:v>
                </c:pt>
                <c:pt idx="386">
                  <c:v>74131.024130091857</c:v>
                </c:pt>
                <c:pt idx="387">
                  <c:v>75857.757502918481</c:v>
                </c:pt>
                <c:pt idx="388">
                  <c:v>77624.711662869129</c:v>
                </c:pt>
                <c:pt idx="389">
                  <c:v>79432.823472428237</c:v>
                </c:pt>
                <c:pt idx="390">
                  <c:v>81283.051616410012</c:v>
                </c:pt>
                <c:pt idx="391">
                  <c:v>83176.377110267174</c:v>
                </c:pt>
                <c:pt idx="392">
                  <c:v>85113.803820237721</c:v>
                </c:pt>
                <c:pt idx="393">
                  <c:v>87096.358995608127</c:v>
                </c:pt>
                <c:pt idx="394">
                  <c:v>89125.093813374609</c:v>
                </c:pt>
                <c:pt idx="395">
                  <c:v>91201.083935591028</c:v>
                </c:pt>
                <c:pt idx="396">
                  <c:v>93325.430079699145</c:v>
                </c:pt>
                <c:pt idx="397">
                  <c:v>95499.258602143804</c:v>
                </c:pt>
                <c:pt idx="398">
                  <c:v>97723.722095581266</c:v>
                </c:pt>
                <c:pt idx="399">
                  <c:v>100000</c:v>
                </c:pt>
                <c:pt idx="400">
                  <c:v>102329.29922807543</c:v>
                </c:pt>
                <c:pt idx="401">
                  <c:v>104712.85480508996</c:v>
                </c:pt>
                <c:pt idx="402">
                  <c:v>107151.93052376082</c:v>
                </c:pt>
                <c:pt idx="403">
                  <c:v>109647.81961431868</c:v>
                </c:pt>
                <c:pt idx="404">
                  <c:v>112201.84543019651</c:v>
                </c:pt>
                <c:pt idx="405">
                  <c:v>114815.36214968823</c:v>
                </c:pt>
                <c:pt idx="406">
                  <c:v>117489.75549395311</c:v>
                </c:pt>
                <c:pt idx="407">
                  <c:v>120226.44346174144</c:v>
                </c:pt>
                <c:pt idx="408">
                  <c:v>123026.87708123829</c:v>
                </c:pt>
                <c:pt idx="409">
                  <c:v>125892.54117941685</c:v>
                </c:pt>
                <c:pt idx="410">
                  <c:v>128824.95516931375</c:v>
                </c:pt>
                <c:pt idx="411">
                  <c:v>131825.67385564081</c:v>
                </c:pt>
                <c:pt idx="412">
                  <c:v>134896.28825916545</c:v>
                </c:pt>
                <c:pt idx="413">
                  <c:v>138038.42646028858</c:v>
                </c:pt>
                <c:pt idx="414">
                  <c:v>141253.75446227577</c:v>
                </c:pt>
                <c:pt idx="415">
                  <c:v>144543.97707459307</c:v>
                </c:pt>
                <c:pt idx="416">
                  <c:v>147910.83881682079</c:v>
                </c:pt>
                <c:pt idx="417">
                  <c:v>151356.12484362084</c:v>
                </c:pt>
                <c:pt idx="418">
                  <c:v>154881.66189124843</c:v>
                </c:pt>
                <c:pt idx="419">
                  <c:v>158489.31924611164</c:v>
                </c:pt>
                <c:pt idx="420">
                  <c:v>162181.00973589328</c:v>
                </c:pt>
                <c:pt idx="421">
                  <c:v>165958.69074375604</c:v>
                </c:pt>
                <c:pt idx="422">
                  <c:v>169824.36524617471</c:v>
                </c:pt>
                <c:pt idx="423">
                  <c:v>173780.0828749378</c:v>
                </c:pt>
                <c:pt idx="424">
                  <c:v>177827.94100389251</c:v>
                </c:pt>
                <c:pt idx="425">
                  <c:v>181970.08586099857</c:v>
                </c:pt>
                <c:pt idx="426">
                  <c:v>186208.71366628664</c:v>
                </c:pt>
                <c:pt idx="427">
                  <c:v>190546.07179632492</c:v>
                </c:pt>
                <c:pt idx="428">
                  <c:v>194984.45997580473</c:v>
                </c:pt>
                <c:pt idx="429">
                  <c:v>199526.23149688813</c:v>
                </c:pt>
                <c:pt idx="430">
                  <c:v>204173.79446695308</c:v>
                </c:pt>
                <c:pt idx="431">
                  <c:v>208929.61308540447</c:v>
                </c:pt>
                <c:pt idx="432">
                  <c:v>213796.20895022334</c:v>
                </c:pt>
                <c:pt idx="433">
                  <c:v>218776.16239495538</c:v>
                </c:pt>
                <c:pt idx="434">
                  <c:v>223872.11385683404</c:v>
                </c:pt>
                <c:pt idx="435">
                  <c:v>229086.76527677779</c:v>
                </c:pt>
                <c:pt idx="436">
                  <c:v>234422.88153199267</c:v>
                </c:pt>
                <c:pt idx="437">
                  <c:v>239883.29190194907</c:v>
                </c:pt>
                <c:pt idx="438">
                  <c:v>245470.89156850305</c:v>
                </c:pt>
                <c:pt idx="439">
                  <c:v>251188.64315095844</c:v>
                </c:pt>
                <c:pt idx="440">
                  <c:v>257039.57827688678</c:v>
                </c:pt>
                <c:pt idx="441">
                  <c:v>263026.79918953858</c:v>
                </c:pt>
                <c:pt idx="442">
                  <c:v>269153.48039269145</c:v>
                </c:pt>
                <c:pt idx="443">
                  <c:v>275422.87033381703</c:v>
                </c:pt>
                <c:pt idx="444">
                  <c:v>281838.29312644573</c:v>
                </c:pt>
                <c:pt idx="445">
                  <c:v>288403.1503126609</c:v>
                </c:pt>
                <c:pt idx="446">
                  <c:v>295120.92266663886</c:v>
                </c:pt>
                <c:pt idx="447">
                  <c:v>301995.17204020242</c:v>
                </c:pt>
                <c:pt idx="448">
                  <c:v>309029.54325135931</c:v>
                </c:pt>
                <c:pt idx="449">
                  <c:v>316227.7660168382</c:v>
                </c:pt>
                <c:pt idx="450">
                  <c:v>323593.65692962846</c:v>
                </c:pt>
                <c:pt idx="451">
                  <c:v>331131.12148259126</c:v>
                </c:pt>
                <c:pt idx="452">
                  <c:v>338844.15613920329</c:v>
                </c:pt>
                <c:pt idx="453">
                  <c:v>346736.85045253241</c:v>
                </c:pt>
                <c:pt idx="454">
                  <c:v>354813.38923357555</c:v>
                </c:pt>
                <c:pt idx="455">
                  <c:v>363078.05477010203</c:v>
                </c:pt>
                <c:pt idx="456">
                  <c:v>371535.2290971732</c:v>
                </c:pt>
                <c:pt idx="457">
                  <c:v>380189.39632056188</c:v>
                </c:pt>
                <c:pt idx="458">
                  <c:v>389045.14499428123</c:v>
                </c:pt>
                <c:pt idx="459">
                  <c:v>398107.17055349716</c:v>
                </c:pt>
                <c:pt idx="460">
                  <c:v>407380.27780411334</c:v>
                </c:pt>
                <c:pt idx="461">
                  <c:v>416869.38347033598</c:v>
                </c:pt>
                <c:pt idx="462">
                  <c:v>426579.51880159322</c:v>
                </c:pt>
                <c:pt idx="463">
                  <c:v>436515.83224016649</c:v>
                </c:pt>
                <c:pt idx="464">
                  <c:v>446683.59215096442</c:v>
                </c:pt>
                <c:pt idx="465">
                  <c:v>457088.18961487547</c:v>
                </c:pt>
                <c:pt idx="466">
                  <c:v>467735.14128719864</c:v>
                </c:pt>
                <c:pt idx="467">
                  <c:v>478630.09232263872</c:v>
                </c:pt>
                <c:pt idx="468">
                  <c:v>489778.81936844654</c:v>
                </c:pt>
                <c:pt idx="469">
                  <c:v>501187.23362727347</c:v>
                </c:pt>
                <c:pt idx="470">
                  <c:v>512861.38399136515</c:v>
                </c:pt>
                <c:pt idx="471">
                  <c:v>524807.46024977288</c:v>
                </c:pt>
                <c:pt idx="472">
                  <c:v>537031.7963702539</c:v>
                </c:pt>
                <c:pt idx="473">
                  <c:v>549540.87385762564</c:v>
                </c:pt>
                <c:pt idx="474">
                  <c:v>562341.32519035018</c:v>
                </c:pt>
                <c:pt idx="475">
                  <c:v>575439.93733715697</c:v>
                </c:pt>
                <c:pt idx="476">
                  <c:v>588843.65535558888</c:v>
                </c:pt>
                <c:pt idx="477">
                  <c:v>602559.58607435878</c:v>
                </c:pt>
                <c:pt idx="478">
                  <c:v>616595.00186148309</c:v>
                </c:pt>
                <c:pt idx="479">
                  <c:v>630957.34448019415</c:v>
                </c:pt>
                <c:pt idx="480">
                  <c:v>645654.22903465747</c:v>
                </c:pt>
                <c:pt idx="481">
                  <c:v>660693.44800759677</c:v>
                </c:pt>
                <c:pt idx="482">
                  <c:v>676082.97539198259</c:v>
                </c:pt>
                <c:pt idx="483">
                  <c:v>691830.97091893724</c:v>
                </c:pt>
                <c:pt idx="484">
                  <c:v>707945.78438413853</c:v>
                </c:pt>
                <c:pt idx="485">
                  <c:v>724435.96007499192</c:v>
                </c:pt>
                <c:pt idx="486">
                  <c:v>741310.24130091805</c:v>
                </c:pt>
                <c:pt idx="487">
                  <c:v>758577.57502918423</c:v>
                </c:pt>
                <c:pt idx="488">
                  <c:v>776247.11662869214</c:v>
                </c:pt>
                <c:pt idx="489">
                  <c:v>794328.23472428333</c:v>
                </c:pt>
                <c:pt idx="490">
                  <c:v>812830.51616410096</c:v>
                </c:pt>
                <c:pt idx="491">
                  <c:v>831763.77110267128</c:v>
                </c:pt>
                <c:pt idx="492">
                  <c:v>851138.03820237669</c:v>
                </c:pt>
                <c:pt idx="493">
                  <c:v>870963.58995608077</c:v>
                </c:pt>
                <c:pt idx="494">
                  <c:v>891250.93813374708</c:v>
                </c:pt>
                <c:pt idx="495">
                  <c:v>912010.83935591124</c:v>
                </c:pt>
                <c:pt idx="496">
                  <c:v>933254.30079699249</c:v>
                </c:pt>
                <c:pt idx="497">
                  <c:v>954992.58602143743</c:v>
                </c:pt>
                <c:pt idx="498">
                  <c:v>977237.22095581202</c:v>
                </c:pt>
                <c:pt idx="499">
                  <c:v>1000000</c:v>
                </c:pt>
                <c:pt idx="500">
                  <c:v>1023292.9922807553</c:v>
                </c:pt>
                <c:pt idx="501">
                  <c:v>1047128.5480509007</c:v>
                </c:pt>
                <c:pt idx="502">
                  <c:v>1071519.3052376076</c:v>
                </c:pt>
                <c:pt idx="503">
                  <c:v>1096478.196143186</c:v>
                </c:pt>
                <c:pt idx="504">
                  <c:v>1122018.4543019643</c:v>
                </c:pt>
                <c:pt idx="505">
                  <c:v>1148153.6214968837</c:v>
                </c:pt>
                <c:pt idx="506">
                  <c:v>1174897.5549395324</c:v>
                </c:pt>
                <c:pt idx="507">
                  <c:v>1202264.4346174158</c:v>
                </c:pt>
                <c:pt idx="508">
                  <c:v>1230268.770812382</c:v>
                </c:pt>
                <c:pt idx="509">
                  <c:v>1258925.4117941677</c:v>
                </c:pt>
                <c:pt idx="510">
                  <c:v>1288249.5516931366</c:v>
                </c:pt>
                <c:pt idx="511">
                  <c:v>1318256.7385564097</c:v>
                </c:pt>
                <c:pt idx="512">
                  <c:v>1348962.8825916562</c:v>
                </c:pt>
                <c:pt idx="513">
                  <c:v>1380384.2646028849</c:v>
                </c:pt>
                <c:pt idx="514">
                  <c:v>1412537.5446227565</c:v>
                </c:pt>
                <c:pt idx="515">
                  <c:v>1445439.7707459298</c:v>
                </c:pt>
                <c:pt idx="516">
                  <c:v>1479108.3881682095</c:v>
                </c:pt>
                <c:pt idx="517">
                  <c:v>1513561.2484362102</c:v>
                </c:pt>
                <c:pt idx="518">
                  <c:v>1548816.6189124861</c:v>
                </c:pt>
                <c:pt idx="519">
                  <c:v>1584893.1924611153</c:v>
                </c:pt>
                <c:pt idx="520">
                  <c:v>1621810.0973589318</c:v>
                </c:pt>
                <c:pt idx="521">
                  <c:v>1659586.9074375622</c:v>
                </c:pt>
                <c:pt idx="522">
                  <c:v>1698243.6524617488</c:v>
                </c:pt>
                <c:pt idx="523">
                  <c:v>1737800.8287493798</c:v>
                </c:pt>
                <c:pt idx="524">
                  <c:v>1778279.4100389241</c:v>
                </c:pt>
                <c:pt idx="525">
                  <c:v>1819700.8586099846</c:v>
                </c:pt>
                <c:pt idx="526">
                  <c:v>1862087.1366628683</c:v>
                </c:pt>
                <c:pt idx="527">
                  <c:v>1905460.7179632513</c:v>
                </c:pt>
                <c:pt idx="528">
                  <c:v>1949844.5997580495</c:v>
                </c:pt>
                <c:pt idx="529">
                  <c:v>1995262.31496888</c:v>
                </c:pt>
                <c:pt idx="530">
                  <c:v>2041737.9446695296</c:v>
                </c:pt>
                <c:pt idx="531">
                  <c:v>2089296.1308540432</c:v>
                </c:pt>
                <c:pt idx="532">
                  <c:v>2137962.0895022359</c:v>
                </c:pt>
                <c:pt idx="533">
                  <c:v>2187761.6239495561</c:v>
                </c:pt>
                <c:pt idx="534">
                  <c:v>2238721.1385683389</c:v>
                </c:pt>
                <c:pt idx="535">
                  <c:v>2290867.6527677765</c:v>
                </c:pt>
                <c:pt idx="536">
                  <c:v>2344228.8153199251</c:v>
                </c:pt>
                <c:pt idx="537">
                  <c:v>2398832.9190194933</c:v>
                </c:pt>
                <c:pt idx="538">
                  <c:v>2454708.915685033</c:v>
                </c:pt>
                <c:pt idx="539">
                  <c:v>2511886.431509587</c:v>
                </c:pt>
                <c:pt idx="540">
                  <c:v>2570395.782768866</c:v>
                </c:pt>
                <c:pt idx="541">
                  <c:v>2630267.9918953842</c:v>
                </c:pt>
              </c:numCache>
            </c:numRef>
          </c:xVal>
          <c:yVal>
            <c:numRef>
              <c:f>Loop_Modeling!$AR$19:$AR$560</c:f>
              <c:numCache>
                <c:formatCode>General</c:formatCode>
                <c:ptCount val="542"/>
                <c:pt idx="0">
                  <c:v>-1.8007242712625393</c:v>
                </c:pt>
                <c:pt idx="1">
                  <c:v>-1.8426402193069056</c:v>
                </c:pt>
                <c:pt idx="2">
                  <c:v>-1.8855304923233651</c:v>
                </c:pt>
                <c:pt idx="3">
                  <c:v>-1.9294176407908228</c:v>
                </c:pt>
                <c:pt idx="4">
                  <c:v>-1.974324730149867</c:v>
                </c:pt>
                <c:pt idx="5">
                  <c:v>-2.020275352063742</c:v>
                </c:pt>
                <c:pt idx="6">
                  <c:v>-2.0672936358895697</c:v>
                </c:pt>
                <c:pt idx="7">
                  <c:v>-2.1154042603609113</c:v>
                </c:pt>
                <c:pt idx="8">
                  <c:v>-2.1646324654827995</c:v>
                </c:pt>
                <c:pt idx="9">
                  <c:v>-2.2150040646397415</c:v>
                </c:pt>
                <c:pt idx="10">
                  <c:v>-2.2665454569174877</c:v>
                </c:pt>
                <c:pt idx="11">
                  <c:v>-2.319283639638396</c:v>
                </c:pt>
                <c:pt idx="12">
                  <c:v>-2.3732462211103313</c:v>
                </c:pt>
                <c:pt idx="13">
                  <c:v>-2.4284614335887098</c:v>
                </c:pt>
                <c:pt idx="14">
                  <c:v>-2.4849581464503814</c:v>
                </c:pt>
                <c:pt idx="15">
                  <c:v>-2.5427658795784485</c:v>
                </c:pt>
                <c:pt idx="16">
                  <c:v>-2.6019148169557149</c:v>
                </c:pt>
                <c:pt idx="17">
                  <c:v>-2.6624358204647498</c:v>
                </c:pt>
                <c:pt idx="18">
                  <c:v>-2.7243604438915194</c:v>
                </c:pt>
                <c:pt idx="19">
                  <c:v>-2.7877209471290882</c:v>
                </c:pt>
                <c:pt idx="20">
                  <c:v>-2.8525503105772456</c:v>
                </c:pt>
                <c:pt idx="21">
                  <c:v>-2.9188822497332634</c:v>
                </c:pt>
                <c:pt idx="22">
                  <c:v>-2.9867512299679424</c:v>
                </c:pt>
                <c:pt idx="23">
                  <c:v>-3.0561924814809482</c:v>
                </c:pt>
                <c:pt idx="24">
                  <c:v>-3.1272420144275577</c:v>
                </c:pt>
                <c:pt idx="25">
                  <c:v>-3.1999366342091045</c:v>
                </c:pt>
                <c:pt idx="26">
                  <c:v>-3.2743139569172217</c:v>
                </c:pt>
                <c:pt idx="27">
                  <c:v>-3.3504124249221303</c:v>
                </c:pt>
                <c:pt idx="28">
                  <c:v>-3.4282713225928387</c:v>
                </c:pt>
                <c:pt idx="29">
                  <c:v>-3.507930792136583</c:v>
                </c:pt>
                <c:pt idx="30">
                  <c:v>-3.5894318495433595</c:v>
                </c:pt>
                <c:pt idx="31">
                  <c:v>-3.672816400619717</c:v>
                </c:pt>
                <c:pt idx="32">
                  <c:v>-3.7581272570943085</c:v>
                </c:pt>
                <c:pt idx="33">
                  <c:v>-3.8454081527767912</c:v>
                </c:pt>
                <c:pt idx="34">
                  <c:v>-3.9347037597484733</c:v>
                </c:pt>
                <c:pt idx="35">
                  <c:v>-4.0260597045627078</c:v>
                </c:pt>
                <c:pt idx="36">
                  <c:v>-4.1195225844296761</c:v>
                </c:pt>
                <c:pt idx="37">
                  <c:v>-4.2151399833587053</c:v>
                </c:pt>
                <c:pt idx="38">
                  <c:v>-4.3129604882288186</c:v>
                </c:pt>
                <c:pt idx="39">
                  <c:v>-4.4130337047553558</c:v>
                </c:pt>
                <c:pt idx="40">
                  <c:v>-4.515410273317932</c:v>
                </c:pt>
                <c:pt idx="41">
                  <c:v>-4.6201418846127451</c:v>
                </c:pt>
                <c:pt idx="42">
                  <c:v>-4.7272812950878826</c:v>
                </c:pt>
                <c:pt idx="43">
                  <c:v>-4.8368823421182494</c:v>
                </c:pt>
                <c:pt idx="44">
                  <c:v>-4.9489999588726743</c:v>
                </c:pt>
                <c:pt idx="45">
                  <c:v>-5.0636901888220862</c:v>
                </c:pt>
                <c:pt idx="46">
                  <c:v>-5.1810101998338922</c:v>
                </c:pt>
                <c:pt idx="47">
                  <c:v>-5.3010182977933447</c:v>
                </c:pt>
                <c:pt idx="48">
                  <c:v>-5.4237739396884352</c:v>
                </c:pt>
                <c:pt idx="49">
                  <c:v>-5.5493377460901856</c:v>
                </c:pt>
                <c:pt idx="50">
                  <c:v>-5.677771512955001</c:v>
                </c:pt>
                <c:pt idx="51">
                  <c:v>-5.8091382226709998</c:v>
                </c:pt>
                <c:pt idx="52">
                  <c:v>-5.9435020542639139</c:v>
                </c:pt>
                <c:pt idx="53">
                  <c:v>-6.0809283926737816</c:v>
                </c:pt>
                <c:pt idx="54">
                  <c:v>-6.221483837005275</c:v>
                </c:pt>
                <c:pt idx="55">
                  <c:v>-6.3652362076507796</c:v>
                </c:pt>
                <c:pt idx="56">
                  <c:v>-6.5122545521756168</c:v>
                </c:pt>
                <c:pt idx="57">
                  <c:v>-6.662609149850593</c:v>
                </c:pt>
                <c:pt idx="58">
                  <c:v>-6.8163715147073098</c:v>
                </c:pt>
                <c:pt idx="59">
                  <c:v>-6.9736143969846083</c:v>
                </c:pt>
                <c:pt idx="60">
                  <c:v>-7.1344117828272982</c:v>
                </c:pt>
                <c:pt idx="61">
                  <c:v>-7.2988388920876055</c:v>
                </c:pt>
                <c:pt idx="62">
                  <c:v>-7.4669721740734785</c:v>
                </c:pt>
                <c:pt idx="63">
                  <c:v>-7.6388893010766541</c:v>
                </c:pt>
                <c:pt idx="64">
                  <c:v>-7.8146691595048985</c:v>
                </c:pt>
                <c:pt idx="65">
                  <c:v>-7.9943918384321213</c:v>
                </c:pt>
                <c:pt idx="66">
                  <c:v>-8.1781386153706457</c:v>
                </c:pt>
                <c:pt idx="67">
                  <c:v>-8.3659919390595512</c:v>
                </c:pt>
                <c:pt idx="68">
                  <c:v>-8.5580354090507456</c:v>
                </c:pt>
                <c:pt idx="69">
                  <c:v>-8.754353751865029</c:v>
                </c:pt>
                <c:pt idx="70">
                  <c:v>-8.9550327934786225</c:v>
                </c:pt>
                <c:pt idx="71">
                  <c:v>-9.1601594278892833</c:v>
                </c:pt>
                <c:pt idx="72">
                  <c:v>-9.3698215814987691</c:v>
                </c:pt>
                <c:pt idx="73">
                  <c:v>-9.5841081730397502</c:v>
                </c:pt>
                <c:pt idx="74">
                  <c:v>-9.8031090687587916</c:v>
                </c:pt>
                <c:pt idx="75">
                  <c:v>-10.026915032562233</c:v>
                </c:pt>
                <c:pt idx="76">
                  <c:v>-10.25561767081402</c:v>
                </c:pt>
                <c:pt idx="77">
                  <c:v>-10.489309371468794</c:v>
                </c:pt>
                <c:pt idx="78">
                  <c:v>-10.728083237210971</c:v>
                </c:pt>
                <c:pt idx="79">
                  <c:v>-10.972033012259779</c:v>
                </c:pt>
                <c:pt idx="80">
                  <c:v>-11.221253002494814</c:v>
                </c:pt>
                <c:pt idx="81">
                  <c:v>-11.475837988544217</c:v>
                </c:pt>
                <c:pt idx="82">
                  <c:v>-11.735883131473456</c:v>
                </c:pt>
                <c:pt idx="83">
                  <c:v>-12.00148387070622</c:v>
                </c:pt>
                <c:pt idx="84">
                  <c:v>-12.272735813805165</c:v>
                </c:pt>
                <c:pt idx="85">
                  <c:v>-12.549734617736327</c:v>
                </c:pt>
                <c:pt idx="86">
                  <c:v>-12.83257586124344</c:v>
                </c:pt>
                <c:pt idx="87">
                  <c:v>-13.121354907957711</c:v>
                </c:pt>
                <c:pt idx="88">
                  <c:v>-13.416166759876059</c:v>
                </c:pt>
                <c:pt idx="89">
                  <c:v>-13.717105900845853</c:v>
                </c:pt>
                <c:pt idx="90">
                  <c:v>-14.024266129707881</c:v>
                </c:pt>
                <c:pt idx="91">
                  <c:v>-14.337740382762851</c:v>
                </c:pt>
                <c:pt idx="92">
                  <c:v>-14.657620545245214</c:v>
                </c:pt>
                <c:pt idx="93">
                  <c:v>-14.983997251514152</c:v>
                </c:pt>
                <c:pt idx="94">
                  <c:v>-15.316959673697118</c:v>
                </c:pt>
                <c:pt idx="95">
                  <c:v>-15.656595298557303</c:v>
                </c:pt>
                <c:pt idx="96">
                  <c:v>-16.002989692396241</c:v>
                </c:pt>
                <c:pt idx="97">
                  <c:v>-16.356226253847716</c:v>
                </c:pt>
                <c:pt idx="98">
                  <c:v>-16.716385954472585</c:v>
                </c:pt>
                <c:pt idx="99">
                  <c:v>-17.083547067125643</c:v>
                </c:pt>
                <c:pt idx="100">
                  <c:v>-17.457784882128614</c:v>
                </c:pt>
                <c:pt idx="101">
                  <c:v>-17.839171411365541</c:v>
                </c:pt>
                <c:pt idx="102">
                  <c:v>-18.227775080492361</c:v>
                </c:pt>
                <c:pt idx="103">
                  <c:v>-18.623660409551643</c:v>
                </c:pt>
                <c:pt idx="104">
                  <c:v>-19.026887682378035</c:v>
                </c:pt>
                <c:pt idx="105">
                  <c:v>-19.437512605292177</c:v>
                </c:pt>
                <c:pt idx="106">
                  <c:v>-19.855585955698217</c:v>
                </c:pt>
                <c:pt idx="107">
                  <c:v>-20.281153221324239</c:v>
                </c:pt>
                <c:pt idx="108">
                  <c:v>-20.714254230980792</c:v>
                </c:pt>
                <c:pt idx="109">
                  <c:v>-21.154922777855134</c:v>
                </c:pt>
                <c:pt idx="110">
                  <c:v>-21.603186236504694</c:v>
                </c:pt>
                <c:pt idx="111">
                  <c:v>-22.059065174873265</c:v>
                </c:pt>
                <c:pt idx="112">
                  <c:v>-22.522572962809615</c:v>
                </c:pt>
                <c:pt idx="113">
                  <c:v>-22.993715378735796</c:v>
                </c:pt>
                <c:pt idx="114">
                  <c:v>-23.47249021627881</c:v>
                </c:pt>
                <c:pt idx="115">
                  <c:v>-23.958886892847026</c:v>
                </c:pt>
                <c:pt idx="116">
                  <c:v>-24.452886062299289</c:v>
                </c:pt>
                <c:pt idx="117">
                  <c:v>-24.954459234021368</c:v>
                </c:pt>
                <c:pt idx="118">
                  <c:v>-25.463568400877662</c:v>
                </c:pt>
                <c:pt idx="119">
                  <c:v>-25.980165678660963</c:v>
                </c:pt>
                <c:pt idx="120">
                  <c:v>-26.504192959796004</c:v>
                </c:pt>
                <c:pt idx="121">
                  <c:v>-27.035581584182783</c:v>
                </c:pt>
                <c:pt idx="122">
                  <c:v>-27.574252030164313</c:v>
                </c:pt>
                <c:pt idx="123">
                  <c:v>-28.120113628699897</c:v>
                </c:pt>
                <c:pt idx="124">
                  <c:v>-28.673064303873879</c:v>
                </c:pt>
                <c:pt idx="125">
                  <c:v>-29.232990342915148</c:v>
                </c:pt>
                <c:pt idx="126">
                  <c:v>-29.799766198901683</c:v>
                </c:pt>
                <c:pt idx="127">
                  <c:v>-30.37325432929017</c:v>
                </c:pt>
                <c:pt idx="128">
                  <c:v>-30.953305073352304</c:v>
                </c:pt>
                <c:pt idx="129">
                  <c:v>-31.53975657149034</c:v>
                </c:pt>
                <c:pt idx="130">
                  <c:v>-32.132434729251386</c:v>
                </c:pt>
                <c:pt idx="131">
                  <c:v>-32.731153228684121</c:v>
                </c:pt>
                <c:pt idx="132">
                  <c:v>-33.33571358943643</c:v>
                </c:pt>
                <c:pt idx="133">
                  <c:v>-33.945905281727725</c:v>
                </c:pt>
                <c:pt idx="134">
                  <c:v>-34.56150589300097</c:v>
                </c:pt>
                <c:pt idx="135">
                  <c:v>-35.182281349709925</c:v>
                </c:pt>
                <c:pt idx="136">
                  <c:v>-35.807986195291463</c:v>
                </c:pt>
                <c:pt idx="137">
                  <c:v>-36.438363924941662</c:v>
                </c:pt>
                <c:pt idx="138">
                  <c:v>-37.073147377347247</c:v>
                </c:pt>
                <c:pt idx="139">
                  <c:v>-37.712059183035258</c:v>
                </c:pt>
                <c:pt idx="140">
                  <c:v>-38.354812268485055</c:v>
                </c:pt>
                <c:pt idx="141">
                  <c:v>-39.001110414626702</c:v>
                </c:pt>
                <c:pt idx="142">
                  <c:v>-39.650648867812258</c:v>
                </c:pt>
                <c:pt idx="143">
                  <c:v>-40.303115000815041</c:v>
                </c:pt>
                <c:pt idx="144">
                  <c:v>-40.958189020893201</c:v>
                </c:pt>
                <c:pt idx="145">
                  <c:v>-41.615544721442873</c:v>
                </c:pt>
                <c:pt idx="146">
                  <c:v>-42.27485027329319</c:v>
                </c:pt>
                <c:pt idx="147">
                  <c:v>-42.935769051248442</c:v>
                </c:pt>
                <c:pt idx="148">
                  <c:v>-43.597960491082347</c:v>
                </c:pt>
                <c:pt idx="149">
                  <c:v>-44.261080971836002</c:v>
                </c:pt>
                <c:pt idx="150">
                  <c:v>-44.924784717975783</c:v>
                </c:pt>
                <c:pt idx="151">
                  <c:v>-45.588724715732504</c:v>
                </c:pt>
                <c:pt idx="152">
                  <c:v>-46.252553637774469</c:v>
                </c:pt>
                <c:pt idx="153">
                  <c:v>-46.915924770269164</c:v>
                </c:pt>
                <c:pt idx="154">
                  <c:v>-47.578492936354976</c:v>
                </c:pt>
                <c:pt idx="155">
                  <c:v>-48.239915410097268</c:v>
                </c:pt>
                <c:pt idx="156">
                  <c:v>-48.899852815103607</c:v>
                </c:pt>
                <c:pt idx="157">
                  <c:v>-49.557970002171679</c:v>
                </c:pt>
                <c:pt idx="158">
                  <c:v>-50.21393690057895</c:v>
                </c:pt>
                <c:pt idx="159">
                  <c:v>-50.867429337934261</c:v>
                </c:pt>
                <c:pt idx="160">
                  <c:v>-51.518129823883037</c:v>
                </c:pt>
                <c:pt idx="161">
                  <c:v>-52.165728293354114</c:v>
                </c:pt>
                <c:pt idx="162">
                  <c:v>-52.809922805504357</c:v>
                </c:pt>
                <c:pt idx="163">
                  <c:v>-53.450420194990208</c:v>
                </c:pt>
                <c:pt idx="164">
                  <c:v>-54.086936672708568</c:v>
                </c:pt>
                <c:pt idx="165">
                  <c:v>-54.719198373675106</c:v>
                </c:pt>
                <c:pt idx="166">
                  <c:v>-55.346941850242025</c:v>
                </c:pt>
                <c:pt idx="167">
                  <c:v>-55.969914509387195</c:v>
                </c:pt>
                <c:pt idx="168">
                  <c:v>-56.587874993329521</c:v>
                </c:pt>
                <c:pt idx="169">
                  <c:v>-57.200593503242359</c:v>
                </c:pt>
                <c:pt idx="170">
                  <c:v>-57.807852066311469</c:v>
                </c:pt>
                <c:pt idx="171">
                  <c:v>-58.409444746857133</c:v>
                </c:pt>
                <c:pt idx="172">
                  <c:v>-59.005177802652561</c:v>
                </c:pt>
                <c:pt idx="173">
                  <c:v>-59.594869787977373</c:v>
                </c:pt>
                <c:pt idx="174">
                  <c:v>-60.178351605278785</c:v>
                </c:pt>
                <c:pt idx="175">
                  <c:v>-60.7554665076402</c:v>
                </c:pt>
                <c:pt idx="176">
                  <c:v>-61.326070054506189</c:v>
                </c:pt>
                <c:pt idx="177">
                  <c:v>-61.890030023350498</c:v>
                </c:pt>
                <c:pt idx="178">
                  <c:v>-62.447226280145337</c:v>
                </c:pt>
                <c:pt idx="179">
                  <c:v>-62.997550611627823</c:v>
                </c:pt>
                <c:pt idx="180">
                  <c:v>-63.540906522464219</c:v>
                </c:pt>
                <c:pt idx="181">
                  <c:v>-64.077209000460414</c:v>
                </c:pt>
                <c:pt idx="182">
                  <c:v>-64.6063842530004</c:v>
                </c:pt>
                <c:pt idx="183">
                  <c:v>-65.128369417876385</c:v>
                </c:pt>
                <c:pt idx="184">
                  <c:v>-65.64311225163874</c:v>
                </c:pt>
                <c:pt idx="185">
                  <c:v>-66.15057079852609</c:v>
                </c:pt>
                <c:pt idx="186">
                  <c:v>-66.650713042942826</c:v>
                </c:pt>
                <c:pt idx="187">
                  <c:v>-67.143516548345829</c:v>
                </c:pt>
                <c:pt idx="188">
                  <c:v>-67.628968085267516</c:v>
                </c:pt>
                <c:pt idx="189">
                  <c:v>-68.107063251071494</c:v>
                </c:pt>
                <c:pt idx="190">
                  <c:v>-68.577806083874378</c:v>
                </c:pt>
                <c:pt idx="191">
                  <c:v>-69.041208672918117</c:v>
                </c:pt>
                <c:pt idx="192">
                  <c:v>-69.497290767502378</c:v>
                </c:pt>
                <c:pt idx="193">
                  <c:v>-69.946079386430668</c:v>
                </c:pt>
                <c:pt idx="194">
                  <c:v>-70.387608429744461</c:v>
                </c:pt>
                <c:pt idx="195">
                  <c:v>-70.821918294360231</c:v>
                </c:pt>
                <c:pt idx="196">
                  <c:v>-71.249055495059096</c:v>
                </c:pt>
                <c:pt idx="197">
                  <c:v>-71.669072292115672</c:v>
                </c:pt>
                <c:pt idx="198">
                  <c:v>-72.082026326703229</c:v>
                </c:pt>
                <c:pt idx="199">
                  <c:v>-72.487980265062447</c:v>
                </c:pt>
                <c:pt idx="200">
                  <c:v>-72.88700145227979</c:v>
                </c:pt>
                <c:pt idx="201">
                  <c:v>-73.279161576391971</c:v>
                </c:pt>
                <c:pt idx="202">
                  <c:v>-73.664536343405075</c:v>
                </c:pt>
                <c:pt idx="203">
                  <c:v>-74.043205163705295</c:v>
                </c:pt>
                <c:pt idx="204">
                  <c:v>-74.415250850226684</c:v>
                </c:pt>
                <c:pt idx="205">
                  <c:v>-74.780759328646127</c:v>
                </c:pt>
                <c:pt idx="206">
                  <c:v>-75.139819359785321</c:v>
                </c:pt>
                <c:pt idx="207">
                  <c:v>-75.492522274315633</c:v>
                </c:pt>
                <c:pt idx="208">
                  <c:v>-75.838961719790376</c:v>
                </c:pt>
                <c:pt idx="209">
                  <c:v>-76.179233419963211</c:v>
                </c:pt>
                <c:pt idx="210">
                  <c:v>-76.513434946291639</c:v>
                </c:pt>
                <c:pt idx="211">
                  <c:v>-76.841665501473742</c:v>
                </c:pt>
                <c:pt idx="212">
                  <c:v>-77.164025714822074</c:v>
                </c:pt>
                <c:pt idx="213">
                  <c:v>-77.480617449240057</c:v>
                </c:pt>
                <c:pt idx="214">
                  <c:v>-77.79154361953178</c:v>
                </c:pt>
                <c:pt idx="215">
                  <c:v>-78.096908021751574</c:v>
                </c:pt>
                <c:pt idx="216">
                  <c:v>-78.396815173273723</c:v>
                </c:pt>
                <c:pt idx="217">
                  <c:v>-78.691370163247214</c:v>
                </c:pt>
                <c:pt idx="218">
                  <c:v>-78.980678513085309</c:v>
                </c:pt>
                <c:pt idx="219">
                  <c:v>-79.264846046628676</c:v>
                </c:pt>
                <c:pt idx="220">
                  <c:v>-79.543978769614782</c:v>
                </c:pt>
                <c:pt idx="221">
                  <c:v>-79.818182758081747</c:v>
                </c:pt>
                <c:pt idx="222">
                  <c:v>-80.08756405533228</c:v>
                </c:pt>
                <c:pt idx="223">
                  <c:v>-80.352228577086123</c:v>
                </c:pt>
                <c:pt idx="224">
                  <c:v>-80.612282024449911</c:v>
                </c:pt>
                <c:pt idx="225">
                  <c:v>-80.86782980433874</c:v>
                </c:pt>
                <c:pt idx="226">
                  <c:v>-81.118976956990991</c:v>
                </c:pt>
                <c:pt idx="227">
                  <c:v>-81.365828090222436</c:v>
                </c:pt>
                <c:pt idx="228">
                  <c:v>-81.60848732007581</c:v>
                </c:pt>
                <c:pt idx="229">
                  <c:v>-81.847058217532108</c:v>
                </c:pt>
                <c:pt idx="230">
                  <c:v>-82.081643760956197</c:v>
                </c:pt>
                <c:pt idx="231">
                  <c:v>-82.31234629396404</c:v>
                </c:pt>
                <c:pt idx="232">
                  <c:v>-82.539267488405855</c:v>
                </c:pt>
                <c:pt idx="233">
                  <c:v>-82.762508312173949</c:v>
                </c:pt>
                <c:pt idx="234">
                  <c:v>-82.982169001552208</c:v>
                </c:pt>
                <c:pt idx="235">
                  <c:v>-83.198349037838426</c:v>
                </c:pt>
                <c:pt idx="236">
                  <c:v>-83.411147127979291</c:v>
                </c:pt>
                <c:pt idx="237">
                  <c:v>-83.620661188972036</c:v>
                </c:pt>
                <c:pt idx="238">
                  <c:v>-83.826988335796017</c:v>
                </c:pt>
                <c:pt idx="239">
                  <c:v>-84.030224872647992</c:v>
                </c:pt>
                <c:pt idx="240">
                  <c:v>-84.23046628726901</c:v>
                </c:pt>
                <c:pt idx="241">
                  <c:v>-84.427807248157208</c:v>
                </c:pt>
                <c:pt idx="242">
                  <c:v>-84.622341604473831</c:v>
                </c:pt>
                <c:pt idx="243">
                  <c:v>-84.814162388458726</c:v>
                </c:pt>
                <c:pt idx="244">
                  <c:v>-85.003361820181638</c:v>
                </c:pt>
                <c:pt idx="245">
                  <c:v>-85.190031314464534</c:v>
                </c:pt>
                <c:pt idx="246">
                  <c:v>-85.374261489818835</c:v>
                </c:pt>
                <c:pt idx="247">
                  <c:v>-85.556142179250926</c:v>
                </c:pt>
                <c:pt idx="248">
                  <c:v>-85.735762442796343</c:v>
                </c:pt>
                <c:pt idx="249">
                  <c:v>-85.913210581651782</c:v>
                </c:pt>
                <c:pt idx="250">
                  <c:v>-86.088574153780527</c:v>
                </c:pt>
                <c:pt idx="251">
                  <c:v>-86.261939990874879</c:v>
                </c:pt>
                <c:pt idx="252">
                  <c:v>-86.433394216564679</c:v>
                </c:pt>
                <c:pt idx="253">
                  <c:v>-86.603022265768985</c:v>
                </c:pt>
                <c:pt idx="254">
                  <c:v>-86.770908905091162</c:v>
                </c:pt>
                <c:pt idx="255">
                  <c:v>-86.937138254166712</c:v>
                </c:pt>
                <c:pt idx="256">
                  <c:v>-87.10179380787433</c:v>
                </c:pt>
                <c:pt idx="257">
                  <c:v>-87.264958459329662</c:v>
                </c:pt>
                <c:pt idx="258">
                  <c:v>-87.426714523582277</c:v>
                </c:pt>
                <c:pt idx="259">
                  <c:v>-87.587143761941945</c:v>
                </c:pt>
                <c:pt idx="260">
                  <c:v>-87.746327406865291</c:v>
                </c:pt>
                <c:pt idx="261">
                  <c:v>-87.90434618733444</c:v>
                </c:pt>
                <c:pt idx="262">
                  <c:v>-88.061280354665612</c:v>
                </c:pt>
                <c:pt idx="263">
                  <c:v>-88.217209708686681</c:v>
                </c:pt>
                <c:pt idx="264">
                  <c:v>-88.372213624225353</c:v>
                </c:pt>
                <c:pt idx="265">
                  <c:v>-88.526371077852801</c:v>
                </c:pt>
                <c:pt idx="266">
                  <c:v>-88.679760674828913</c:v>
                </c:pt>
                <c:pt idx="267">
                  <c:v>-88.83246067619686</c:v>
                </c:pt>
                <c:pt idx="268">
                  <c:v>-88.984549025977145</c:v>
                </c:pt>
                <c:pt idx="269">
                  <c:v>-89.136103378411008</c:v>
                </c:pt>
                <c:pt idx="270">
                  <c:v>-89.287201125205257</c:v>
                </c:pt>
                <c:pt idx="271">
                  <c:v>-89.43791942273036</c:v>
                </c:pt>
                <c:pt idx="272">
                  <c:v>-89.588335219124232</c:v>
                </c:pt>
                <c:pt idx="273">
                  <c:v>-89.738525281254738</c:v>
                </c:pt>
                <c:pt idx="274">
                  <c:v>-89.888566221492368</c:v>
                </c:pt>
                <c:pt idx="275">
                  <c:v>-90.038534524245989</c:v>
                </c:pt>
                <c:pt idx="276">
                  <c:v>-90.188506572212162</c:v>
                </c:pt>
                <c:pt idx="277">
                  <c:v>-90.338558672288002</c:v>
                </c:pt>
                <c:pt idx="278">
                  <c:v>-90.488767081097606</c:v>
                </c:pt>
                <c:pt idx="279">
                  <c:v>-90.639208030077697</c:v>
                </c:pt>
                <c:pt idx="280">
                  <c:v>-90.789957750069476</c:v>
                </c:pt>
                <c:pt idx="281">
                  <c:v>-90.941092495359086</c:v>
                </c:pt>
                <c:pt idx="282">
                  <c:v>-91.092688567108112</c:v>
                </c:pt>
                <c:pt idx="283">
                  <c:v>-91.244822336112264</c:v>
                </c:pt>
                <c:pt idx="284">
                  <c:v>-91.397570264823415</c:v>
                </c:pt>
                <c:pt idx="285">
                  <c:v>-91.551008928567242</c:v>
                </c:pt>
                <c:pt idx="286">
                  <c:v>-91.705215035884251</c:v>
                </c:pt>
                <c:pt idx="287">
                  <c:v>-91.860265447919474</c:v>
                </c:pt>
                <c:pt idx="288">
                  <c:v>-92.016237196780068</c:v>
                </c:pt>
                <c:pt idx="289">
                  <c:v>-92.173207502776975</c:v>
                </c:pt>
                <c:pt idx="290">
                  <c:v>-92.331253790461005</c:v>
                </c:pt>
                <c:pt idx="291">
                  <c:v>-92.490453703358938</c:v>
                </c:pt>
                <c:pt idx="292">
                  <c:v>-92.650885117309187</c:v>
                </c:pt>
                <c:pt idx="293">
                  <c:v>-92.812626152290491</c:v>
                </c:pt>
                <c:pt idx="294">
                  <c:v>-92.975755182631858</c:v>
                </c:pt>
                <c:pt idx="295">
                  <c:v>-93.140350845483724</c:v>
                </c:pt>
                <c:pt idx="296">
                  <c:v>-93.306492047423731</c:v>
                </c:pt>
                <c:pt idx="297">
                  <c:v>-93.474257969064297</c:v>
                </c:pt>
                <c:pt idx="298">
                  <c:v>-93.64372806751922</c:v>
                </c:pt>
                <c:pt idx="299">
                  <c:v>-93.814982076579696</c:v>
                </c:pt>
                <c:pt idx="300">
                  <c:v>-93.988100004441989</c:v>
                </c:pt>
                <c:pt idx="301">
                  <c:v>-94.163162128817802</c:v>
                </c:pt>
                <c:pt idx="302">
                  <c:v>-94.340248989252515</c:v>
                </c:pt>
                <c:pt idx="303">
                  <c:v>-94.519441376463391</c:v>
                </c:pt>
                <c:pt idx="304">
                  <c:v>-94.700820318502082</c:v>
                </c:pt>
                <c:pt idx="305">
                  <c:v>-94.884467063535439</c:v>
                </c:pt>
                <c:pt idx="306">
                  <c:v>-95.070463059026352</c:v>
                </c:pt>
                <c:pt idx="307">
                  <c:v>-95.258889927087978</c:v>
                </c:pt>
                <c:pt idx="308">
                  <c:v>-95.449829435772017</c:v>
                </c:pt>
                <c:pt idx="309">
                  <c:v>-95.643363466041322</c:v>
                </c:pt>
                <c:pt idx="310">
                  <c:v>-95.83957397416529</c:v>
                </c:pt>
                <c:pt idx="311">
                  <c:v>-96.038542949266798</c:v>
                </c:pt>
                <c:pt idx="312">
                  <c:v>-96.240352365736257</c:v>
                </c:pt>
                <c:pt idx="313">
                  <c:v>-96.445084130218291</c:v>
                </c:pt>
                <c:pt idx="314">
                  <c:v>-96.652820022866351</c:v>
                </c:pt>
                <c:pt idx="315">
                  <c:v>-96.86364163254855</c:v>
                </c:pt>
                <c:pt idx="316">
                  <c:v>-97.077630285679305</c:v>
                </c:pt>
                <c:pt idx="317">
                  <c:v>-97.294866968341481</c:v>
                </c:pt>
                <c:pt idx="318">
                  <c:v>-97.515432241355214</c:v>
                </c:pt>
                <c:pt idx="319">
                  <c:v>-97.739406147940642</c:v>
                </c:pt>
                <c:pt idx="320">
                  <c:v>-97.966868113618261</c:v>
                </c:pt>
                <c:pt idx="321">
                  <c:v>-98.197896837981759</c:v>
                </c:pt>
                <c:pt idx="322">
                  <c:v>-98.43257017797643</c:v>
                </c:pt>
                <c:pt idx="323">
                  <c:v>-98.670965022315244</c:v>
                </c:pt>
                <c:pt idx="324">
                  <c:v>-98.913157156662479</c:v>
                </c:pt>
                <c:pt idx="325">
                  <c:v>-99.159221119220106</c:v>
                </c:pt>
                <c:pt idx="326">
                  <c:v>-99.409230046354367</c:v>
                </c:pt>
                <c:pt idx="327">
                  <c:v>-99.663255507913846</c:v>
                </c:pt>
                <c:pt idx="328">
                  <c:v>-99.921367331894061</c:v>
                </c:pt>
                <c:pt idx="329">
                  <c:v>-100.18363341812891</c:v>
                </c:pt>
                <c:pt idx="330">
                  <c:v>-100.45011954069892</c:v>
                </c:pt>
                <c:pt idx="331">
                  <c:v>-100.72088913878207</c:v>
                </c:pt>
                <c:pt idx="332">
                  <c:v>-100.99600309568962</c:v>
                </c:pt>
                <c:pt idx="333">
                  <c:v>-101.27551950587753</c:v>
                </c:pt>
                <c:pt idx="334">
                  <c:v>-101.55949342975518</c:v>
                </c:pt>
                <c:pt idx="335">
                  <c:v>-101.84797663616388</c:v>
                </c:pt>
                <c:pt idx="336">
                  <c:v>-102.14101733245241</c:v>
                </c:pt>
                <c:pt idx="337">
                  <c:v>-102.43865988213938</c:v>
                </c:pt>
                <c:pt idx="338">
                  <c:v>-102.74094451021432</c:v>
                </c:pt>
                <c:pt idx="339">
                  <c:v>-103.04790699621665</c:v>
                </c:pt>
                <c:pt idx="340">
                  <c:v>-103.35957835530623</c:v>
                </c:pt>
                <c:pt idx="341">
                  <c:v>-103.67598450764176</c:v>
                </c:pt>
                <c:pt idx="342">
                  <c:v>-103.99714593647853</c:v>
                </c:pt>
                <c:pt idx="343">
                  <c:v>-104.32307733551333</c:v>
                </c:pt>
                <c:pt idx="344">
                  <c:v>-104.65378724612016</c:v>
                </c:pt>
                <c:pt idx="345">
                  <c:v>-104.98927768525257</c:v>
                </c:pt>
                <c:pt idx="346">
                  <c:v>-105.32954376492204</c:v>
                </c:pt>
                <c:pt idx="347">
                  <c:v>-105.67457330430797</c:v>
                </c:pt>
                <c:pt idx="348">
                  <c:v>-106.02434643570842</c:v>
                </c:pt>
                <c:pt idx="349">
                  <c:v>-106.37883520569672</c:v>
                </c:pt>
                <c:pt idx="350">
                  <c:v>-106.73800317301495</c:v>
                </c:pt>
                <c:pt idx="351">
                  <c:v>-107.10180500490334</c:v>
                </c:pt>
                <c:pt idx="352">
                  <c:v>-107.47018607373704</c:v>
                </c:pt>
                <c:pt idx="353">
                  <c:v>-107.84308205601144</c:v>
                </c:pt>
                <c:pt idx="354">
                  <c:v>-108.22041853589559</c:v>
                </c:pt>
                <c:pt idx="355">
                  <c:v>-108.60211061573142</c:v>
                </c:pt>
                <c:pt idx="356">
                  <c:v>-108.98806253603313</c:v>
                </c:pt>
                <c:pt idx="357">
                  <c:v>-109.37816730768542</c:v>
                </c:pt>
                <c:pt idx="358">
                  <c:v>-109.77230635919219</c:v>
                </c:pt>
                <c:pt idx="359">
                  <c:v>-110.17034920195158</c:v>
                </c:pt>
                <c:pt idx="360">
                  <c:v>-110.57215311665423</c:v>
                </c:pt>
                <c:pt idx="361">
                  <c:v>-110.97756286398776</c:v>
                </c:pt>
                <c:pt idx="362">
                  <c:v>-111.38641042290656</c:v>
                </c:pt>
                <c:pt idx="363">
                  <c:v>-111.79851475976454</c:v>
                </c:pt>
                <c:pt idx="364">
                  <c:v>-112.21368163162425</c:v>
                </c:pt>
                <c:pt idx="365">
                  <c:v>-112.63170342703226</c:v>
                </c:pt>
                <c:pt idx="366">
                  <c:v>-113.05235904749792</c:v>
                </c:pt>
                <c:pt idx="367">
                  <c:v>-113.47541383281245</c:v>
                </c:pt>
                <c:pt idx="368">
                  <c:v>-113.9006195332158</c:v>
                </c:pt>
                <c:pt idx="369">
                  <c:v>-114.32771433123563</c:v>
                </c:pt>
                <c:pt idx="370">
                  <c:v>-114.75642291580417</c:v>
                </c:pt>
                <c:pt idx="371">
                  <c:v>-115.18645661099855</c:v>
                </c:pt>
                <c:pt idx="372">
                  <c:v>-115.61751356143644</c:v>
                </c:pt>
                <c:pt idx="373">
                  <c:v>-116.04927897601988</c:v>
                </c:pt>
                <c:pt idx="374">
                  <c:v>-116.4814254313285</c:v>
                </c:pt>
                <c:pt idx="375">
                  <c:v>-116.91361323554278</c:v>
                </c:pt>
                <c:pt idx="376">
                  <c:v>-117.34549085332792</c:v>
                </c:pt>
                <c:pt idx="377">
                  <c:v>-117.77669539162423</c:v>
                </c:pt>
                <c:pt idx="378">
                  <c:v>-118.20685314579291</c:v>
                </c:pt>
                <c:pt idx="379">
                  <c:v>-118.63558020505084</c:v>
                </c:pt>
                <c:pt idx="380">
                  <c:v>-119.06248311560303</c:v>
                </c:pt>
                <c:pt idx="381">
                  <c:v>-119.48715959936631</c:v>
                </c:pt>
                <c:pt idx="382">
                  <c:v>-119.90919932565792</c:v>
                </c:pt>
                <c:pt idx="383">
                  <c:v>-120.32818473273328</c:v>
                </c:pt>
                <c:pt idx="384">
                  <c:v>-120.74369189558378</c:v>
                </c:pt>
                <c:pt idx="385">
                  <c:v>-121.1552914359681</c:v>
                </c:pt>
                <c:pt idx="386">
                  <c:v>-121.5625494702588</c:v>
                </c:pt>
                <c:pt idx="387">
                  <c:v>-121.96502859033036</c:v>
                </c:pt>
                <c:pt idx="388">
                  <c:v>-122.36228887243099</c:v>
                </c:pt>
                <c:pt idx="389">
                  <c:v>-122.75388890873704</c:v>
                </c:pt>
                <c:pt idx="390">
                  <c:v>-123.13938685612719</c:v>
                </c:pt>
                <c:pt idx="391">
                  <c:v>-123.51834149660411</c:v>
                </c:pt>
                <c:pt idx="392">
                  <c:v>-123.89031330376152</c:v>
                </c:pt>
                <c:pt idx="393">
                  <c:v>-124.25486550972603</c:v>
                </c:pt>
                <c:pt idx="394">
                  <c:v>-124.61156516710463</c:v>
                </c:pt>
                <c:pt idx="395">
                  <c:v>-124.9599842006412</c:v>
                </c:pt>
                <c:pt idx="396">
                  <c:v>-125.29970044350449</c:v>
                </c:pt>
                <c:pt idx="397">
                  <c:v>-125.63029865342472</c:v>
                </c:pt>
                <c:pt idx="398">
                  <c:v>-125.95137150422333</c:v>
                </c:pt>
                <c:pt idx="399">
                  <c:v>-126.26252054866438</c:v>
                </c:pt>
                <c:pt idx="400">
                  <c:v>-126.56335714896132</c:v>
                </c:pt>
                <c:pt idx="401">
                  <c:v>-126.85350337172601</c:v>
                </c:pt>
                <c:pt idx="402">
                  <c:v>-127.13259284459184</c:v>
                </c:pt>
                <c:pt idx="403">
                  <c:v>-127.40027157221776</c:v>
                </c:pt>
                <c:pt idx="404">
                  <c:v>-127.6561987098525</c:v>
                </c:pt>
                <c:pt idx="405">
                  <c:v>-127.90004729308622</c:v>
                </c:pt>
                <c:pt idx="406">
                  <c:v>-128.13150492287835</c:v>
                </c:pt>
                <c:pt idx="407">
                  <c:v>-128.35027440535862</c:v>
                </c:pt>
                <c:pt idx="408">
                  <c:v>-128.55607434629448</c:v>
                </c:pt>
                <c:pt idx="409">
                  <c:v>-128.74863970047505</c:v>
                </c:pt>
                <c:pt idx="410">
                  <c:v>-128.92772227657491</c:v>
                </c:pt>
                <c:pt idx="411">
                  <c:v>-129.09309119832793</c:v>
                </c:pt>
                <c:pt idx="412">
                  <c:v>-129.24453332306848</c:v>
                </c:pt>
                <c:pt idx="413">
                  <c:v>-129.38185361886568</c:v>
                </c:pt>
                <c:pt idx="414">
                  <c:v>-129.50487550159986</c:v>
                </c:pt>
                <c:pt idx="415">
                  <c:v>-129.6134411334022</c:v>
                </c:pt>
                <c:pt idx="416">
                  <c:v>-129.70741168390194</c:v>
                </c:pt>
                <c:pt idx="417">
                  <c:v>-129.78666755570109</c:v>
                </c:pt>
                <c:pt idx="418">
                  <c:v>-129.85110857543094</c:v>
                </c:pt>
                <c:pt idx="419">
                  <c:v>-129.90065415163173</c:v>
                </c:pt>
                <c:pt idx="420">
                  <c:v>-129.93524340056032</c:v>
                </c:pt>
                <c:pt idx="421">
                  <c:v>-129.95483524085054</c:v>
                </c:pt>
                <c:pt idx="422">
                  <c:v>-129.95940845775388</c:v>
                </c:pt>
                <c:pt idx="423">
                  <c:v>-129.94896173746511</c:v>
                </c:pt>
                <c:pt idx="424">
                  <c:v>-129.92351367181041</c:v>
                </c:pt>
                <c:pt idx="425">
                  <c:v>-129.88310273332468</c:v>
                </c:pt>
                <c:pt idx="426">
                  <c:v>-129.82778722051765</c:v>
                </c:pt>
                <c:pt idx="427">
                  <c:v>-129.75764517287553</c:v>
                </c:pt>
                <c:pt idx="428">
                  <c:v>-129.67277425493648</c:v>
                </c:pt>
                <c:pt idx="429">
                  <c:v>-129.57329160856122</c:v>
                </c:pt>
                <c:pt idx="430">
                  <c:v>-129.45933367234466</c:v>
                </c:pt>
                <c:pt idx="431">
                  <c:v>-129.33105596695995</c:v>
                </c:pt>
                <c:pt idx="432">
                  <c:v>-129.18863284510442</c:v>
                </c:pt>
                <c:pt idx="433">
                  <c:v>-129.03225720464741</c:v>
                </c:pt>
                <c:pt idx="434">
                  <c:v>-128.86214016353372</c:v>
                </c:pt>
                <c:pt idx="435">
                  <c:v>-128.67851069501549</c:v>
                </c:pt>
                <c:pt idx="436">
                  <c:v>-128.4816152218354</c:v>
                </c:pt>
                <c:pt idx="437">
                  <c:v>-128.27171716810227</c:v>
                </c:pt>
                <c:pt idx="438">
                  <c:v>-128.04909646775076</c:v>
                </c:pt>
                <c:pt idx="439">
                  <c:v>-127.81404902869076</c:v>
                </c:pt>
                <c:pt idx="440">
                  <c:v>-127.56688615200497</c:v>
                </c:pt>
                <c:pt idx="441">
                  <c:v>-127.30793390586204</c:v>
                </c:pt>
                <c:pt idx="442">
                  <c:v>-127.03753245414973</c:v>
                </c:pt>
                <c:pt idx="443">
                  <c:v>-126.7560353402237</c:v>
                </c:pt>
                <c:pt idx="444">
                  <c:v>-126.46380872657079</c:v>
                </c:pt>
                <c:pt idx="445">
                  <c:v>-126.16123059163685</c:v>
                </c:pt>
                <c:pt idx="446">
                  <c:v>-125.84868988551712</c:v>
                </c:pt>
                <c:pt idx="447">
                  <c:v>-125.52658564667881</c:v>
                </c:pt>
                <c:pt idx="448">
                  <c:v>-125.19532608235366</c:v>
                </c:pt>
                <c:pt idx="449">
                  <c:v>-124.85532761570229</c:v>
                </c:pt>
                <c:pt idx="450">
                  <c:v>-124.50701390329337</c:v>
                </c:pt>
                <c:pt idx="451">
                  <c:v>-124.15081482686702</c:v>
                </c:pt>
                <c:pt idx="452">
                  <c:v>-123.78716546373856</c:v>
                </c:pt>
                <c:pt idx="453">
                  <c:v>-123.41650504054455</c:v>
                </c:pt>
                <c:pt idx="454">
                  <c:v>-123.03927587533434</c:v>
                </c:pt>
                <c:pt idx="455">
                  <c:v>-122.65592231325154</c:v>
                </c:pt>
                <c:pt idx="456">
                  <c:v>-122.26688966123938</c:v>
                </c:pt>
                <c:pt idx="457">
                  <c:v>-121.87262312731261</c:v>
                </c:pt>
                <c:pt idx="458">
                  <c:v>-121.4735667700097</c:v>
                </c:pt>
                <c:pt idx="459">
                  <c:v>-121.07016246359798</c:v>
                </c:pt>
                <c:pt idx="460">
                  <c:v>-120.66284888454695</c:v>
                </c:pt>
                <c:pt idx="461">
                  <c:v>-120.25206052461067</c:v>
                </c:pt>
                <c:pt idx="462">
                  <c:v>-119.83822673565425</c:v>
                </c:pt>
                <c:pt idx="463">
                  <c:v>-119.42177081107923</c:v>
                </c:pt>
                <c:pt idx="464">
                  <c:v>-119.00310910837054</c:v>
                </c:pt>
                <c:pt idx="465">
                  <c:v>-118.58265021689769</c:v>
                </c:pt>
                <c:pt idx="466">
                  <c:v>-118.16079417468407</c:v>
                </c:pt>
                <c:pt idx="467">
                  <c:v>-117.73793173739126</c:v>
                </c:pt>
                <c:pt idx="468">
                  <c:v>-117.3144437022774</c:v>
                </c:pt>
                <c:pt idx="469">
                  <c:v>-116.89070028937971</c:v>
                </c:pt>
                <c:pt idx="470">
                  <c:v>-116.46706058165019</c:v>
                </c:pt>
                <c:pt idx="471">
                  <c:v>-116.04387202525525</c:v>
                </c:pt>
                <c:pt idx="472">
                  <c:v>-115.6214699907259</c:v>
                </c:pt>
                <c:pt idx="473">
                  <c:v>-115.20017739514699</c:v>
                </c:pt>
                <c:pt idx="474">
                  <c:v>-114.78030438508418</c:v>
                </c:pt>
                <c:pt idx="475">
                  <c:v>-114.36214807948539</c:v>
                </c:pt>
                <c:pt idx="476">
                  <c:v>-113.94599237136846</c:v>
                </c:pt>
                <c:pt idx="477">
                  <c:v>-113.5321077867025</c:v>
                </c:pt>
                <c:pt idx="478">
                  <c:v>-113.12075139854147</c:v>
                </c:pt>
                <c:pt idx="479">
                  <c:v>-112.71216679414637</c:v>
                </c:pt>
                <c:pt idx="480">
                  <c:v>-112.30658409255126</c:v>
                </c:pt>
                <c:pt idx="481">
                  <c:v>-111.90422000981626</c:v>
                </c:pt>
                <c:pt idx="482">
                  <c:v>-111.50527796899269</c:v>
                </c:pt>
                <c:pt idx="483">
                  <c:v>-111.10994825170657</c:v>
                </c:pt>
                <c:pt idx="484">
                  <c:v>-110.71840818814296</c:v>
                </c:pt>
                <c:pt idx="485">
                  <c:v>-110.33082238215262</c:v>
                </c:pt>
                <c:pt idx="486">
                  <c:v>-109.94734296817482</c:v>
                </c:pt>
                <c:pt idx="487">
                  <c:v>-109.56810989667065</c:v>
                </c:pt>
                <c:pt idx="488">
                  <c:v>-109.19325124479911</c:v>
                </c:pt>
                <c:pt idx="489">
                  <c:v>-108.82288354912706</c:v>
                </c:pt>
                <c:pt idx="490">
                  <c:v>-108.45711215725733</c:v>
                </c:pt>
                <c:pt idx="491">
                  <c:v>-108.09603159536421</c:v>
                </c:pt>
                <c:pt idx="492">
                  <c:v>-107.7397259487517</c:v>
                </c:pt>
                <c:pt idx="493">
                  <c:v>-107.38826925269642</c:v>
                </c:pt>
                <c:pt idx="494">
                  <c:v>-107.04172589098152</c:v>
                </c:pt>
                <c:pt idx="495">
                  <c:v>-106.70015099969922</c:v>
                </c:pt>
                <c:pt idx="496">
                  <c:v>-106.36359087406112</c:v>
                </c:pt>
                <c:pt idx="497">
                  <c:v>-106.03208337612733</c:v>
                </c:pt>
                <c:pt idx="498">
                  <c:v>-105.70565834154279</c:v>
                </c:pt>
                <c:pt idx="499">
                  <c:v>-105.38433798353398</c:v>
                </c:pt>
                <c:pt idx="500">
                  <c:v>-105.06813729259559</c:v>
                </c:pt>
                <c:pt idx="501">
                  <c:v>-104.75706443045767</c:v>
                </c:pt>
                <c:pt idx="502">
                  <c:v>-104.45112111708613</c:v>
                </c:pt>
                <c:pt idx="503">
                  <c:v>-104.15030300962231</c:v>
                </c:pt>
                <c:pt idx="504">
                  <c:v>-103.85460007231625</c:v>
                </c:pt>
                <c:pt idx="505">
                  <c:v>-103.56399693664544</c:v>
                </c:pt>
                <c:pt idx="506">
                  <c:v>-103.27847325094024</c:v>
                </c:pt>
                <c:pt idx="507">
                  <c:v>-102.99800401896537</c:v>
                </c:pt>
                <c:pt idx="508">
                  <c:v>-102.72255992701214</c:v>
                </c:pt>
                <c:pt idx="509">
                  <c:v>-102.45210765916725</c:v>
                </c:pt>
                <c:pt idx="510">
                  <c:v>-102.18661020051812</c:v>
                </c:pt>
                <c:pt idx="511">
                  <c:v>-101.92602712813868</c:v>
                </c:pt>
                <c:pt idx="512">
                  <c:v>-101.67031488978571</c:v>
                </c:pt>
                <c:pt idx="513">
                  <c:v>-101.4194270702981</c:v>
                </c:pt>
                <c:pt idx="514">
                  <c:v>-101.17331464576375</c:v>
                </c:pt>
                <c:pt idx="515">
                  <c:v>-100.93192622556703</c:v>
                </c:pt>
                <c:pt idx="516">
                  <c:v>-100.69520828248298</c:v>
                </c:pt>
                <c:pt idx="517">
                  <c:v>-100.46310537102772</c:v>
                </c:pt>
                <c:pt idx="518">
                  <c:v>-100.23556033430782</c:v>
                </c:pt>
                <c:pt idx="519">
                  <c:v>-100.01251449964435</c:v>
                </c:pt>
                <c:pt idx="520">
                  <c:v>-99.793907863274526</c:v>
                </c:pt>
                <c:pt idx="521">
                  <c:v>-99.579679264451187</c:v>
                </c:pt>
                <c:pt idx="522">
                  <c:v>-99.369766549281408</c:v>
                </c:pt>
                <c:pt idx="523">
                  <c:v>-99.164106724655312</c:v>
                </c:pt>
                <c:pt idx="524">
                  <c:v>-98.962636102625893</c:v>
                </c:pt>
                <c:pt idx="525">
                  <c:v>-98.765290435609757</c:v>
                </c:pt>
                <c:pt idx="526">
                  <c:v>-98.572005042776993</c:v>
                </c:pt>
                <c:pt idx="527">
                  <c:v>-98.3827149280052</c:v>
                </c:pt>
                <c:pt idx="528">
                  <c:v>-98.197354889765379</c:v>
                </c:pt>
                <c:pt idx="529">
                  <c:v>-98.015859623309126</c:v>
                </c:pt>
                <c:pt idx="530">
                  <c:v>-97.838163815519451</c:v>
                </c:pt>
                <c:pt idx="531">
                  <c:v>-97.66420223278098</c:v>
                </c:pt>
                <c:pt idx="532">
                  <c:v>-97.493909802219022</c:v>
                </c:pt>
                <c:pt idx="533">
                  <c:v>-97.327221686647945</c:v>
                </c:pt>
                <c:pt idx="534">
                  <c:v>-97.164073353560539</c:v>
                </c:pt>
                <c:pt idx="535">
                  <c:v>-97.004400638478003</c:v>
                </c:pt>
                <c:pt idx="536">
                  <c:v>-96.848139802974785</c:v>
                </c:pt>
                <c:pt idx="537">
                  <c:v>-96.695227587674907</c:v>
                </c:pt>
                <c:pt idx="538">
                  <c:v>-96.545601260510949</c:v>
                </c:pt>
                <c:pt idx="539">
                  <c:v>-96.399198660523851</c:v>
                </c:pt>
                <c:pt idx="540">
                  <c:v>-96.25595823746842</c:v>
                </c:pt>
                <c:pt idx="541">
                  <c:v>-96.115819087481853</c:v>
                </c:pt>
              </c:numCache>
            </c:numRef>
          </c:yVal>
          <c:smooth val="1"/>
          <c:extLst>
            <c:ext xmlns:c16="http://schemas.microsoft.com/office/drawing/2014/chart" uri="{C3380CC4-5D6E-409C-BE32-E72D297353CC}">
              <c16:uniqueId val="{00000001-F7C0-4EEE-87E3-EE720F12A204}"/>
            </c:ext>
          </c:extLst>
        </c:ser>
        <c:dLbls>
          <c:showLegendKey val="0"/>
          <c:showVal val="0"/>
          <c:showCatName val="0"/>
          <c:showSerName val="0"/>
          <c:showPercent val="0"/>
          <c:showBubbleSize val="0"/>
        </c:dLbls>
        <c:axId val="555313792"/>
        <c:axId val="555312256"/>
      </c:scatterChart>
      <c:valAx>
        <c:axId val="555304064"/>
        <c:scaling>
          <c:logBase val="10"/>
          <c:orientation val="minMax"/>
          <c:max val="2200000"/>
          <c:min val="10"/>
        </c:scaling>
        <c:delete val="0"/>
        <c:axPos val="b"/>
        <c:minorGridlines/>
        <c:title>
          <c:tx>
            <c:rich>
              <a:bodyPr/>
              <a:lstStyle/>
              <a:p>
                <a:pPr>
                  <a:defRPr/>
                </a:pPr>
                <a:r>
                  <a:rPr lang="en-US"/>
                  <a:t>Frequency</a:t>
                </a:r>
                <a:r>
                  <a:rPr lang="en-US" baseline="0"/>
                  <a:t> (Hz)</a:t>
                </a:r>
                <a:endParaRPr lang="en-US"/>
              </a:p>
            </c:rich>
          </c:tx>
          <c:overlay val="0"/>
        </c:title>
        <c:numFmt formatCode="0" sourceLinked="0"/>
        <c:majorTickMark val="out"/>
        <c:minorTickMark val="none"/>
        <c:tickLblPos val="low"/>
        <c:crossAx val="555305984"/>
        <c:crosses val="autoZero"/>
        <c:crossBetween val="midCat"/>
      </c:valAx>
      <c:valAx>
        <c:axId val="555305984"/>
        <c:scaling>
          <c:orientation val="minMax"/>
          <c:max val="40"/>
          <c:min val="-40"/>
        </c:scaling>
        <c:delete val="0"/>
        <c:axPos val="l"/>
        <c:majorGridlines/>
        <c:minorGridlines/>
        <c:title>
          <c:tx>
            <c:rich>
              <a:bodyPr rot="-5400000" vert="horz"/>
              <a:lstStyle/>
              <a:p>
                <a:pPr>
                  <a:defRPr/>
                </a:pPr>
                <a:r>
                  <a:rPr lang="en-US"/>
                  <a:t>Gain</a:t>
                </a:r>
                <a:r>
                  <a:rPr lang="en-US" baseline="0"/>
                  <a:t> (dB)</a:t>
                </a:r>
                <a:endParaRPr lang="en-US"/>
              </a:p>
            </c:rich>
          </c:tx>
          <c:overlay val="0"/>
        </c:title>
        <c:numFmt formatCode="General" sourceLinked="0"/>
        <c:majorTickMark val="out"/>
        <c:minorTickMark val="none"/>
        <c:tickLblPos val="nextTo"/>
        <c:crossAx val="555304064"/>
        <c:crosses val="autoZero"/>
        <c:crossBetween val="midCat"/>
        <c:majorUnit val="20"/>
        <c:minorUnit val="10"/>
      </c:valAx>
      <c:valAx>
        <c:axId val="555312256"/>
        <c:scaling>
          <c:orientation val="minMax"/>
          <c:max val="180"/>
          <c:min val="-180"/>
        </c:scaling>
        <c:delete val="0"/>
        <c:axPos val="r"/>
        <c:numFmt formatCode="General" sourceLinked="1"/>
        <c:majorTickMark val="out"/>
        <c:minorTickMark val="none"/>
        <c:tickLblPos val="nextTo"/>
        <c:crossAx val="555313792"/>
        <c:crosses val="max"/>
        <c:crossBetween val="midCat"/>
        <c:majorUnit val="90"/>
        <c:minorUnit val="45"/>
      </c:valAx>
      <c:valAx>
        <c:axId val="555313792"/>
        <c:scaling>
          <c:logBase val="10"/>
          <c:orientation val="minMax"/>
        </c:scaling>
        <c:delete val="1"/>
        <c:axPos val="b"/>
        <c:numFmt formatCode="0.00" sourceLinked="1"/>
        <c:majorTickMark val="out"/>
        <c:minorTickMark val="none"/>
        <c:tickLblPos val="nextTo"/>
        <c:crossAx val="555312256"/>
        <c:crosses val="autoZero"/>
        <c:crossBetween val="midCat"/>
      </c:valAx>
    </c:plotArea>
    <c:legend>
      <c:legendPos val="r"/>
      <c:layout>
        <c:manualLayout>
          <c:xMode val="edge"/>
          <c:yMode val="edge"/>
          <c:x val="0.79880558209512509"/>
          <c:y val="0.14321997959862004"/>
          <c:w val="0.13459449276057311"/>
          <c:h val="0.10691609861199437"/>
        </c:manualLayout>
      </c:layout>
      <c:overlay val="1"/>
      <c:spPr>
        <a:solidFill>
          <a:schemeClr val="bg1"/>
        </a:solidFill>
      </c:spPr>
    </c:legend>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DCM Control Loop Transfer Function</a:t>
            </a:r>
          </a:p>
        </c:rich>
      </c:tx>
      <c:overlay val="0"/>
    </c:title>
    <c:autoTitleDeleted val="0"/>
    <c:plotArea>
      <c:layout/>
      <c:scatterChart>
        <c:scatterStyle val="smoothMarker"/>
        <c:varyColors val="0"/>
        <c:ser>
          <c:idx val="0"/>
          <c:order val="0"/>
          <c:spPr>
            <a:ln w="38100">
              <a:solidFill>
                <a:srgbClr val="FF0000"/>
              </a:solidFill>
            </a:ln>
          </c:spPr>
          <c:marker>
            <c:symbol val="none"/>
          </c:marker>
          <c:xVal>
            <c:numRef>
              <c:f>Loop_Modeling!$O$19:$O$560</c:f>
              <c:numCache>
                <c:formatCode>0.00</c:formatCode>
                <c:ptCount val="542"/>
                <c:pt idx="0">
                  <c:v>10.232929922807543</c:v>
                </c:pt>
                <c:pt idx="1">
                  <c:v>10.471285480509</c:v>
                </c:pt>
                <c:pt idx="2">
                  <c:v>10.715193052376069</c:v>
                </c:pt>
                <c:pt idx="3">
                  <c:v>10.964781961431854</c:v>
                </c:pt>
                <c:pt idx="4">
                  <c:v>11.220184543019636</c:v>
                </c:pt>
                <c:pt idx="5">
                  <c:v>11.481536214968834</c:v>
                </c:pt>
                <c:pt idx="6">
                  <c:v>11.748975549395301</c:v>
                </c:pt>
                <c:pt idx="7">
                  <c:v>12.022644346174133</c:v>
                </c:pt>
                <c:pt idx="8">
                  <c:v>12.302687708123818</c:v>
                </c:pt>
                <c:pt idx="9">
                  <c:v>12.58925411794168</c:v>
                </c:pt>
                <c:pt idx="10">
                  <c:v>12.882495516931346</c:v>
                </c:pt>
                <c:pt idx="11">
                  <c:v>13.182567385564075</c:v>
                </c:pt>
                <c:pt idx="12">
                  <c:v>13.489628825916535</c:v>
                </c:pt>
                <c:pt idx="13">
                  <c:v>13.803842646028857</c:v>
                </c:pt>
                <c:pt idx="14">
                  <c:v>14.125375446227544</c:v>
                </c:pt>
                <c:pt idx="15">
                  <c:v>14.454397707459275</c:v>
                </c:pt>
                <c:pt idx="16">
                  <c:v>14.791083881682074</c:v>
                </c:pt>
                <c:pt idx="17">
                  <c:v>15.135612484362087</c:v>
                </c:pt>
                <c:pt idx="18">
                  <c:v>15.488166189124817</c:v>
                </c:pt>
                <c:pt idx="19">
                  <c:v>15.848931924611136</c:v>
                </c:pt>
                <c:pt idx="20">
                  <c:v>16.218100973589298</c:v>
                </c:pt>
                <c:pt idx="21">
                  <c:v>16.595869074375614</c:v>
                </c:pt>
                <c:pt idx="22">
                  <c:v>16.982436524617448</c:v>
                </c:pt>
                <c:pt idx="23">
                  <c:v>17.378008287493756</c:v>
                </c:pt>
                <c:pt idx="24">
                  <c:v>17.782794100389236</c:v>
                </c:pt>
                <c:pt idx="25">
                  <c:v>18.197008586099841</c:v>
                </c:pt>
                <c:pt idx="26">
                  <c:v>18.62087136662868</c:v>
                </c:pt>
                <c:pt idx="27">
                  <c:v>19.054607179632477</c:v>
                </c:pt>
                <c:pt idx="28">
                  <c:v>19.498445997580465</c:v>
                </c:pt>
                <c:pt idx="29">
                  <c:v>19.952623149688804</c:v>
                </c:pt>
                <c:pt idx="30">
                  <c:v>20.4173794466953</c:v>
                </c:pt>
                <c:pt idx="31">
                  <c:v>20.8929613085404</c:v>
                </c:pt>
                <c:pt idx="32">
                  <c:v>21.379620895022335</c:v>
                </c:pt>
                <c:pt idx="33">
                  <c:v>21.877616239495538</c:v>
                </c:pt>
                <c:pt idx="34">
                  <c:v>22.387211385683404</c:v>
                </c:pt>
                <c:pt idx="35">
                  <c:v>22.908676527677727</c:v>
                </c:pt>
                <c:pt idx="36">
                  <c:v>23.442288153199236</c:v>
                </c:pt>
                <c:pt idx="37">
                  <c:v>23.988329190194907</c:v>
                </c:pt>
                <c:pt idx="38">
                  <c:v>24.547089156850316</c:v>
                </c:pt>
                <c:pt idx="39">
                  <c:v>25.118864315095799</c:v>
                </c:pt>
                <c:pt idx="40">
                  <c:v>25.703957827688647</c:v>
                </c:pt>
                <c:pt idx="41">
                  <c:v>26.302679918953825</c:v>
                </c:pt>
                <c:pt idx="42">
                  <c:v>26.915348039269158</c:v>
                </c:pt>
                <c:pt idx="43">
                  <c:v>27.542287033381665</c:v>
                </c:pt>
                <c:pt idx="44">
                  <c:v>28.183829312644548</c:v>
                </c:pt>
                <c:pt idx="45">
                  <c:v>28.840315031266066</c:v>
                </c:pt>
                <c:pt idx="46">
                  <c:v>29.512092266663863</c:v>
                </c:pt>
                <c:pt idx="47">
                  <c:v>30.199517204020164</c:v>
                </c:pt>
                <c:pt idx="48">
                  <c:v>30.902954325135919</c:v>
                </c:pt>
                <c:pt idx="49">
                  <c:v>31.622776601683803</c:v>
                </c:pt>
                <c:pt idx="50">
                  <c:v>32.359365692962832</c:v>
                </c:pt>
                <c:pt idx="51">
                  <c:v>33.113112148259127</c:v>
                </c:pt>
                <c:pt idx="52">
                  <c:v>33.884415613920268</c:v>
                </c:pt>
                <c:pt idx="53">
                  <c:v>34.67368504525318</c:v>
                </c:pt>
                <c:pt idx="54">
                  <c:v>35.481338923357555</c:v>
                </c:pt>
                <c:pt idx="55">
                  <c:v>36.307805477010156</c:v>
                </c:pt>
                <c:pt idx="56">
                  <c:v>37.15352290971726</c:v>
                </c:pt>
                <c:pt idx="57">
                  <c:v>38.018939632056139</c:v>
                </c:pt>
                <c:pt idx="58">
                  <c:v>38.904514499428053</c:v>
                </c:pt>
                <c:pt idx="59">
                  <c:v>39.810717055349755</c:v>
                </c:pt>
                <c:pt idx="60">
                  <c:v>40.738027780411279</c:v>
                </c:pt>
                <c:pt idx="61">
                  <c:v>41.686938347033561</c:v>
                </c:pt>
                <c:pt idx="62">
                  <c:v>42.657951880159267</c:v>
                </c:pt>
                <c:pt idx="63">
                  <c:v>43.651583224016633</c:v>
                </c:pt>
                <c:pt idx="64">
                  <c:v>44.668359215096324</c:v>
                </c:pt>
                <c:pt idx="65">
                  <c:v>45.70881896148753</c:v>
                </c:pt>
                <c:pt idx="66">
                  <c:v>46.773514128719818</c:v>
                </c:pt>
                <c:pt idx="67">
                  <c:v>47.863009232263877</c:v>
                </c:pt>
                <c:pt idx="68">
                  <c:v>48.977881936844632</c:v>
                </c:pt>
                <c:pt idx="69">
                  <c:v>50.118723362727238</c:v>
                </c:pt>
                <c:pt idx="70">
                  <c:v>51.28613839913649</c:v>
                </c:pt>
                <c:pt idx="71">
                  <c:v>52.480746024977286</c:v>
                </c:pt>
                <c:pt idx="72">
                  <c:v>53.703179637025293</c:v>
                </c:pt>
                <c:pt idx="73">
                  <c:v>54.95408738576247</c:v>
                </c:pt>
                <c:pt idx="74">
                  <c:v>56.234132519034915</c:v>
                </c:pt>
                <c:pt idx="75">
                  <c:v>57.543993733715695</c:v>
                </c:pt>
                <c:pt idx="76">
                  <c:v>58.884365535558949</c:v>
                </c:pt>
                <c:pt idx="77">
                  <c:v>60.255958607435822</c:v>
                </c:pt>
                <c:pt idx="78">
                  <c:v>61.659500186148257</c:v>
                </c:pt>
                <c:pt idx="79">
                  <c:v>63.095734448019364</c:v>
                </c:pt>
                <c:pt idx="80">
                  <c:v>64.565422903465588</c:v>
                </c:pt>
                <c:pt idx="81">
                  <c:v>66.069344800759623</c:v>
                </c:pt>
                <c:pt idx="82">
                  <c:v>67.60829753919819</c:v>
                </c:pt>
                <c:pt idx="83">
                  <c:v>69.183097091893657</c:v>
                </c:pt>
                <c:pt idx="84">
                  <c:v>70.794578438413865</c:v>
                </c:pt>
                <c:pt idx="85">
                  <c:v>72.443596007499011</c:v>
                </c:pt>
                <c:pt idx="86">
                  <c:v>74.131024130091816</c:v>
                </c:pt>
                <c:pt idx="87">
                  <c:v>75.857757502918361</c:v>
                </c:pt>
                <c:pt idx="88">
                  <c:v>77.624711662869217</c:v>
                </c:pt>
                <c:pt idx="89">
                  <c:v>79.432823472428197</c:v>
                </c:pt>
                <c:pt idx="90">
                  <c:v>81.283051616409963</c:v>
                </c:pt>
                <c:pt idx="91">
                  <c:v>83.176377110267126</c:v>
                </c:pt>
                <c:pt idx="92">
                  <c:v>85.113803820237734</c:v>
                </c:pt>
                <c:pt idx="93">
                  <c:v>87.096358995608071</c:v>
                </c:pt>
                <c:pt idx="94">
                  <c:v>89.125093813374562</c:v>
                </c:pt>
                <c:pt idx="95">
                  <c:v>91.201083935590972</c:v>
                </c:pt>
                <c:pt idx="96">
                  <c:v>93.325430079699174</c:v>
                </c:pt>
                <c:pt idx="97">
                  <c:v>95.499258602143655</c:v>
                </c:pt>
                <c:pt idx="98">
                  <c:v>97.723722095581124</c:v>
                </c:pt>
                <c:pt idx="99">
                  <c:v>100</c:v>
                </c:pt>
                <c:pt idx="100">
                  <c:v>102.32929922807544</c:v>
                </c:pt>
                <c:pt idx="101">
                  <c:v>104.71285480508998</c:v>
                </c:pt>
                <c:pt idx="102">
                  <c:v>107.15193052376065</c:v>
                </c:pt>
                <c:pt idx="103">
                  <c:v>109.64781961431861</c:v>
                </c:pt>
                <c:pt idx="104">
                  <c:v>112.20184543019634</c:v>
                </c:pt>
                <c:pt idx="105">
                  <c:v>114.81536214968835</c:v>
                </c:pt>
                <c:pt idx="106">
                  <c:v>117.48975549395293</c:v>
                </c:pt>
                <c:pt idx="107">
                  <c:v>120.22644346174135</c:v>
                </c:pt>
                <c:pt idx="108">
                  <c:v>123.02687708123821</c:v>
                </c:pt>
                <c:pt idx="109">
                  <c:v>125.89254117941677</c:v>
                </c:pt>
                <c:pt idx="110">
                  <c:v>128.82495516931343</c:v>
                </c:pt>
                <c:pt idx="111">
                  <c:v>131.82567385564084</c:v>
                </c:pt>
                <c:pt idx="112">
                  <c:v>134.89628825916537</c:v>
                </c:pt>
                <c:pt idx="113">
                  <c:v>138.0384264602886</c:v>
                </c:pt>
                <c:pt idx="114">
                  <c:v>141.25375446227542</c:v>
                </c:pt>
                <c:pt idx="115">
                  <c:v>144.54397707459285</c:v>
                </c:pt>
                <c:pt idx="116">
                  <c:v>147.91083881682084</c:v>
                </c:pt>
                <c:pt idx="117">
                  <c:v>151.3561248436209</c:v>
                </c:pt>
                <c:pt idx="118">
                  <c:v>154.8816618912482</c:v>
                </c:pt>
                <c:pt idx="119">
                  <c:v>158.48931924611153</c:v>
                </c:pt>
                <c:pt idx="120">
                  <c:v>162.18100973589304</c:v>
                </c:pt>
                <c:pt idx="121">
                  <c:v>165.95869074375622</c:v>
                </c:pt>
                <c:pt idx="122">
                  <c:v>169.82436524617444</c:v>
                </c:pt>
                <c:pt idx="123">
                  <c:v>173.78008287493768</c:v>
                </c:pt>
                <c:pt idx="124">
                  <c:v>177.82794100389242</c:v>
                </c:pt>
                <c:pt idx="125">
                  <c:v>181.9700858609983</c:v>
                </c:pt>
                <c:pt idx="126">
                  <c:v>186.20871366628685</c:v>
                </c:pt>
                <c:pt idx="127">
                  <c:v>190.54607179632498</c:v>
                </c:pt>
                <c:pt idx="128">
                  <c:v>194.98445997580458</c:v>
                </c:pt>
                <c:pt idx="129">
                  <c:v>199.52623149688802</c:v>
                </c:pt>
                <c:pt idx="130">
                  <c:v>204.17379446695315</c:v>
                </c:pt>
                <c:pt idx="131">
                  <c:v>208.92961308540396</c:v>
                </c:pt>
                <c:pt idx="132">
                  <c:v>213.79620895022339</c:v>
                </c:pt>
                <c:pt idx="133">
                  <c:v>218.77616239495524</c:v>
                </c:pt>
                <c:pt idx="134">
                  <c:v>223.87211385683412</c:v>
                </c:pt>
                <c:pt idx="135">
                  <c:v>229.08676527677744</c:v>
                </c:pt>
                <c:pt idx="136">
                  <c:v>234.42288153199232</c:v>
                </c:pt>
                <c:pt idx="137">
                  <c:v>239.88329190194912</c:v>
                </c:pt>
                <c:pt idx="138">
                  <c:v>245.4708915685033</c:v>
                </c:pt>
                <c:pt idx="139">
                  <c:v>251.18864315095806</c:v>
                </c:pt>
                <c:pt idx="140">
                  <c:v>257.03957827688663</c:v>
                </c:pt>
                <c:pt idx="141">
                  <c:v>263.02679918953817</c:v>
                </c:pt>
                <c:pt idx="142">
                  <c:v>269.15348039269179</c:v>
                </c:pt>
                <c:pt idx="143">
                  <c:v>275.42287033381683</c:v>
                </c:pt>
                <c:pt idx="144">
                  <c:v>281.83829312644554</c:v>
                </c:pt>
                <c:pt idx="145">
                  <c:v>288.40315031266073</c:v>
                </c:pt>
                <c:pt idx="146">
                  <c:v>295.12092266663871</c:v>
                </c:pt>
                <c:pt idx="147">
                  <c:v>301.99517204020168</c:v>
                </c:pt>
                <c:pt idx="148">
                  <c:v>309.02954325135937</c:v>
                </c:pt>
                <c:pt idx="149">
                  <c:v>316.22776601683825</c:v>
                </c:pt>
                <c:pt idx="150">
                  <c:v>323.59365692962825</c:v>
                </c:pt>
                <c:pt idx="151">
                  <c:v>331.13112148259137</c:v>
                </c:pt>
                <c:pt idx="152">
                  <c:v>338.84415613920277</c:v>
                </c:pt>
                <c:pt idx="153">
                  <c:v>346.73685045253183</c:v>
                </c:pt>
                <c:pt idx="154">
                  <c:v>354.81338923357566</c:v>
                </c:pt>
                <c:pt idx="155">
                  <c:v>363.07805477010152</c:v>
                </c:pt>
                <c:pt idx="156">
                  <c:v>371.53522909717265</c:v>
                </c:pt>
                <c:pt idx="157">
                  <c:v>380.18939632056163</c:v>
                </c:pt>
                <c:pt idx="158">
                  <c:v>389.04514499428063</c:v>
                </c:pt>
                <c:pt idx="159">
                  <c:v>398.10717055349761</c:v>
                </c:pt>
                <c:pt idx="160">
                  <c:v>407.38027780411272</c:v>
                </c:pt>
                <c:pt idx="161">
                  <c:v>416.86938347033572</c:v>
                </c:pt>
                <c:pt idx="162">
                  <c:v>426.57951880159294</c:v>
                </c:pt>
                <c:pt idx="163">
                  <c:v>436.51583224016622</c:v>
                </c:pt>
                <c:pt idx="164">
                  <c:v>446.68359215096331</c:v>
                </c:pt>
                <c:pt idx="165">
                  <c:v>457.0881896148756</c:v>
                </c:pt>
                <c:pt idx="166">
                  <c:v>467.7351412871983</c:v>
                </c:pt>
                <c:pt idx="167">
                  <c:v>478.63009232263886</c:v>
                </c:pt>
                <c:pt idx="168">
                  <c:v>489.77881936844625</c:v>
                </c:pt>
                <c:pt idx="169">
                  <c:v>501.18723362727269</c:v>
                </c:pt>
                <c:pt idx="170">
                  <c:v>512.86138399136519</c:v>
                </c:pt>
                <c:pt idx="171">
                  <c:v>524.80746024977248</c:v>
                </c:pt>
                <c:pt idx="172">
                  <c:v>537.03179637025301</c:v>
                </c:pt>
                <c:pt idx="173">
                  <c:v>549.54087385762534</c:v>
                </c:pt>
                <c:pt idx="174">
                  <c:v>562.34132519034927</c:v>
                </c:pt>
                <c:pt idx="175">
                  <c:v>575.43993733715706</c:v>
                </c:pt>
                <c:pt idx="176">
                  <c:v>588.84365535558959</c:v>
                </c:pt>
                <c:pt idx="177">
                  <c:v>602.55958607435832</c:v>
                </c:pt>
                <c:pt idx="178">
                  <c:v>616.59500186148273</c:v>
                </c:pt>
                <c:pt idx="179">
                  <c:v>630.95734448019323</c:v>
                </c:pt>
                <c:pt idx="180">
                  <c:v>645.65422903465594</c:v>
                </c:pt>
                <c:pt idx="181">
                  <c:v>660.69344800759643</c:v>
                </c:pt>
                <c:pt idx="182">
                  <c:v>676.08297539198213</c:v>
                </c:pt>
                <c:pt idx="183">
                  <c:v>691.83097091893671</c:v>
                </c:pt>
                <c:pt idx="184">
                  <c:v>707.94578438413873</c:v>
                </c:pt>
                <c:pt idx="185">
                  <c:v>724.43596007499025</c:v>
                </c:pt>
                <c:pt idx="186">
                  <c:v>741.31024130091828</c:v>
                </c:pt>
                <c:pt idx="187">
                  <c:v>758.57757502918378</c:v>
                </c:pt>
                <c:pt idx="188">
                  <c:v>776.24711662869231</c:v>
                </c:pt>
                <c:pt idx="189">
                  <c:v>794.32823472428208</c:v>
                </c:pt>
                <c:pt idx="190">
                  <c:v>812.83051616409978</c:v>
                </c:pt>
                <c:pt idx="191">
                  <c:v>831.7637711026714</c:v>
                </c:pt>
                <c:pt idx="192">
                  <c:v>851.13803820237763</c:v>
                </c:pt>
                <c:pt idx="193">
                  <c:v>870.96358995608091</c:v>
                </c:pt>
                <c:pt idx="194">
                  <c:v>891.25093813374656</c:v>
                </c:pt>
                <c:pt idx="195">
                  <c:v>912.01083935590987</c:v>
                </c:pt>
                <c:pt idx="196">
                  <c:v>933.25430079699106</c:v>
                </c:pt>
                <c:pt idx="197">
                  <c:v>954.99258602143675</c:v>
                </c:pt>
                <c:pt idx="198">
                  <c:v>977.23722095581138</c:v>
                </c:pt>
                <c:pt idx="199">
                  <c:v>1000</c:v>
                </c:pt>
                <c:pt idx="200">
                  <c:v>1023.2929922807547</c:v>
                </c:pt>
                <c:pt idx="201">
                  <c:v>1047.1285480509</c:v>
                </c:pt>
                <c:pt idx="202">
                  <c:v>1071.5193052376069</c:v>
                </c:pt>
                <c:pt idx="203">
                  <c:v>1096.4781961431863</c:v>
                </c:pt>
                <c:pt idx="204">
                  <c:v>1122.0184543019636</c:v>
                </c:pt>
                <c:pt idx="205">
                  <c:v>1148.1536214968839</c:v>
                </c:pt>
                <c:pt idx="206">
                  <c:v>1174.8975549395295</c:v>
                </c:pt>
                <c:pt idx="207">
                  <c:v>1202.2644346174138</c:v>
                </c:pt>
                <c:pt idx="208">
                  <c:v>1230.2687708123824</c:v>
                </c:pt>
                <c:pt idx="209">
                  <c:v>1258.925411794168</c:v>
                </c:pt>
                <c:pt idx="210">
                  <c:v>1288.2495516931347</c:v>
                </c:pt>
                <c:pt idx="211">
                  <c:v>1318.2567385564089</c:v>
                </c:pt>
                <c:pt idx="212">
                  <c:v>1348.9628825916541</c:v>
                </c:pt>
                <c:pt idx="213">
                  <c:v>1380.3842646028863</c:v>
                </c:pt>
                <c:pt idx="214">
                  <c:v>1412.5375446227545</c:v>
                </c:pt>
                <c:pt idx="215">
                  <c:v>1445.4397707459289</c:v>
                </c:pt>
                <c:pt idx="216">
                  <c:v>1479.1083881682086</c:v>
                </c:pt>
                <c:pt idx="217">
                  <c:v>1513.5612484362093</c:v>
                </c:pt>
                <c:pt idx="218">
                  <c:v>1548.8166189124822</c:v>
                </c:pt>
                <c:pt idx="219">
                  <c:v>1584.8931924611156</c:v>
                </c:pt>
                <c:pt idx="220">
                  <c:v>1621.8100973589308</c:v>
                </c:pt>
                <c:pt idx="221">
                  <c:v>1659.5869074375626</c:v>
                </c:pt>
                <c:pt idx="222">
                  <c:v>1698.2436524617447</c:v>
                </c:pt>
                <c:pt idx="223">
                  <c:v>1737.8008287493772</c:v>
                </c:pt>
                <c:pt idx="224">
                  <c:v>1778.2794100389244</c:v>
                </c:pt>
                <c:pt idx="225">
                  <c:v>1819.7008586099832</c:v>
                </c:pt>
                <c:pt idx="226">
                  <c:v>1862.0871366628687</c:v>
                </c:pt>
                <c:pt idx="227">
                  <c:v>1905.4607179632501</c:v>
                </c:pt>
                <c:pt idx="228">
                  <c:v>1949.8445997580463</c:v>
                </c:pt>
                <c:pt idx="229">
                  <c:v>1995.2623149688804</c:v>
                </c:pt>
                <c:pt idx="230">
                  <c:v>2041.7379446695318</c:v>
                </c:pt>
                <c:pt idx="231">
                  <c:v>2089.2961308540398</c:v>
                </c:pt>
                <c:pt idx="232">
                  <c:v>2137.9620895022344</c:v>
                </c:pt>
                <c:pt idx="233">
                  <c:v>2187.7616239495528</c:v>
                </c:pt>
                <c:pt idx="234">
                  <c:v>2238.7211385683418</c:v>
                </c:pt>
                <c:pt idx="235">
                  <c:v>2290.8676527677749</c:v>
                </c:pt>
                <c:pt idx="236">
                  <c:v>2344.2288153199238</c:v>
                </c:pt>
                <c:pt idx="237">
                  <c:v>2398.8329190194918</c:v>
                </c:pt>
                <c:pt idx="238">
                  <c:v>2454.7089156850338</c:v>
                </c:pt>
                <c:pt idx="239">
                  <c:v>2511.8864315095811</c:v>
                </c:pt>
                <c:pt idx="240">
                  <c:v>2570.3957827688669</c:v>
                </c:pt>
                <c:pt idx="241">
                  <c:v>2630.2679918953822</c:v>
                </c:pt>
                <c:pt idx="242">
                  <c:v>2691.5348039269184</c:v>
                </c:pt>
                <c:pt idx="243">
                  <c:v>2754.228703338169</c:v>
                </c:pt>
                <c:pt idx="244">
                  <c:v>2818.3829312644561</c:v>
                </c:pt>
                <c:pt idx="245">
                  <c:v>2884.0315031266077</c:v>
                </c:pt>
                <c:pt idx="246">
                  <c:v>2951.2092266663876</c:v>
                </c:pt>
                <c:pt idx="247">
                  <c:v>3019.9517204020176</c:v>
                </c:pt>
                <c:pt idx="248">
                  <c:v>3090.295432513592</c:v>
                </c:pt>
                <c:pt idx="249">
                  <c:v>3162.2776601683804</c:v>
                </c:pt>
                <c:pt idx="250">
                  <c:v>3235.9365692962833</c:v>
                </c:pt>
                <c:pt idx="251">
                  <c:v>3311.3112148259115</c:v>
                </c:pt>
                <c:pt idx="252">
                  <c:v>3388.4415613920314</c:v>
                </c:pt>
                <c:pt idx="253">
                  <c:v>3467.3685045253224</c:v>
                </c:pt>
                <c:pt idx="254">
                  <c:v>3548.1338923357539</c:v>
                </c:pt>
                <c:pt idx="255">
                  <c:v>3630.7805477010188</c:v>
                </c:pt>
                <c:pt idx="256">
                  <c:v>3715.352290971724</c:v>
                </c:pt>
                <c:pt idx="257">
                  <c:v>3801.8939632056172</c:v>
                </c:pt>
                <c:pt idx="258">
                  <c:v>3890.451449942811</c:v>
                </c:pt>
                <c:pt idx="259">
                  <c:v>3981.0717055349769</c:v>
                </c:pt>
                <c:pt idx="260">
                  <c:v>4073.8027780411317</c:v>
                </c:pt>
                <c:pt idx="261">
                  <c:v>4168.6938347033583</c:v>
                </c:pt>
                <c:pt idx="262">
                  <c:v>4265.7951880159299</c:v>
                </c:pt>
                <c:pt idx="263">
                  <c:v>4365.1583224016631</c:v>
                </c:pt>
                <c:pt idx="264">
                  <c:v>4466.8359215096343</c:v>
                </c:pt>
                <c:pt idx="265">
                  <c:v>4570.8818961487532</c:v>
                </c:pt>
                <c:pt idx="266">
                  <c:v>4677.3514128719844</c:v>
                </c:pt>
                <c:pt idx="267">
                  <c:v>4786.3009232263848</c:v>
                </c:pt>
                <c:pt idx="268">
                  <c:v>4897.7881936844633</c:v>
                </c:pt>
                <c:pt idx="269">
                  <c:v>5011.8723362727324</c:v>
                </c:pt>
                <c:pt idx="270">
                  <c:v>5128.6138399136489</c:v>
                </c:pt>
                <c:pt idx="271">
                  <c:v>5248.0746024977261</c:v>
                </c:pt>
                <c:pt idx="272">
                  <c:v>5370.3179637025269</c:v>
                </c:pt>
                <c:pt idx="273">
                  <c:v>5495.4087385762541</c:v>
                </c:pt>
                <c:pt idx="274">
                  <c:v>5623.4132519034993</c:v>
                </c:pt>
                <c:pt idx="275">
                  <c:v>5754.399373371567</c:v>
                </c:pt>
                <c:pt idx="276">
                  <c:v>5888.4365535558973</c:v>
                </c:pt>
                <c:pt idx="277">
                  <c:v>6025.595860743585</c:v>
                </c:pt>
                <c:pt idx="278">
                  <c:v>6165.9500186148289</c:v>
                </c:pt>
                <c:pt idx="279">
                  <c:v>6309.5734448019384</c:v>
                </c:pt>
                <c:pt idx="280">
                  <c:v>6456.5422903465615</c:v>
                </c:pt>
                <c:pt idx="281">
                  <c:v>6606.9344800759654</c:v>
                </c:pt>
                <c:pt idx="282">
                  <c:v>6760.8297539198229</c:v>
                </c:pt>
                <c:pt idx="283">
                  <c:v>6918.3097091893687</c:v>
                </c:pt>
                <c:pt idx="284">
                  <c:v>7079.4578438413828</c:v>
                </c:pt>
                <c:pt idx="285">
                  <c:v>7244.3596007499036</c:v>
                </c:pt>
                <c:pt idx="286">
                  <c:v>7413.1024130091773</c:v>
                </c:pt>
                <c:pt idx="287">
                  <c:v>7585.7757502918394</c:v>
                </c:pt>
                <c:pt idx="288">
                  <c:v>7762.4711662869322</c:v>
                </c:pt>
                <c:pt idx="289">
                  <c:v>7943.2823472428154</c:v>
                </c:pt>
                <c:pt idx="290">
                  <c:v>8128.3051616410066</c:v>
                </c:pt>
                <c:pt idx="291">
                  <c:v>8317.6377110267094</c:v>
                </c:pt>
                <c:pt idx="292">
                  <c:v>8511.3803820237772</c:v>
                </c:pt>
                <c:pt idx="293">
                  <c:v>8709.6358995608189</c:v>
                </c:pt>
                <c:pt idx="294">
                  <c:v>8912.5093813374679</c:v>
                </c:pt>
                <c:pt idx="295">
                  <c:v>9120.1083935591087</c:v>
                </c:pt>
                <c:pt idx="296">
                  <c:v>9332.5430079699217</c:v>
                </c:pt>
                <c:pt idx="297">
                  <c:v>9549.9258602143691</c:v>
                </c:pt>
                <c:pt idx="298">
                  <c:v>9772.3722095581161</c:v>
                </c:pt>
                <c:pt idx="299">
                  <c:v>10000</c:v>
                </c:pt>
                <c:pt idx="300">
                  <c:v>10232.929922807549</c:v>
                </c:pt>
                <c:pt idx="301">
                  <c:v>10471.285480509003</c:v>
                </c:pt>
                <c:pt idx="302">
                  <c:v>10715.193052376071</c:v>
                </c:pt>
                <c:pt idx="303">
                  <c:v>10964.781961431856</c:v>
                </c:pt>
                <c:pt idx="304">
                  <c:v>11220.184543019639</c:v>
                </c:pt>
                <c:pt idx="305">
                  <c:v>11481.536214968832</c:v>
                </c:pt>
                <c:pt idx="306">
                  <c:v>11748.975549395318</c:v>
                </c:pt>
                <c:pt idx="307">
                  <c:v>12022.644346174151</c:v>
                </c:pt>
                <c:pt idx="308">
                  <c:v>12302.687708123816</c:v>
                </c:pt>
                <c:pt idx="309">
                  <c:v>12589.254117941671</c:v>
                </c:pt>
                <c:pt idx="310">
                  <c:v>12882.49551693136</c:v>
                </c:pt>
                <c:pt idx="311">
                  <c:v>13182.567385564091</c:v>
                </c:pt>
                <c:pt idx="312">
                  <c:v>13489.628825916556</c:v>
                </c:pt>
                <c:pt idx="313">
                  <c:v>13803.842646028841</c:v>
                </c:pt>
                <c:pt idx="314">
                  <c:v>14125.375446227561</c:v>
                </c:pt>
                <c:pt idx="315">
                  <c:v>14454.397707459291</c:v>
                </c:pt>
                <c:pt idx="316">
                  <c:v>14791.083881682089</c:v>
                </c:pt>
                <c:pt idx="317">
                  <c:v>15135.612484362096</c:v>
                </c:pt>
                <c:pt idx="318">
                  <c:v>15488.166189124853</c:v>
                </c:pt>
                <c:pt idx="319">
                  <c:v>15848.931924611146</c:v>
                </c:pt>
                <c:pt idx="320">
                  <c:v>16218.100973589309</c:v>
                </c:pt>
                <c:pt idx="321">
                  <c:v>16595.869074375616</c:v>
                </c:pt>
                <c:pt idx="322">
                  <c:v>16982.436524617482</c:v>
                </c:pt>
                <c:pt idx="323">
                  <c:v>17378.008287493791</c:v>
                </c:pt>
                <c:pt idx="324">
                  <c:v>17782.794100389234</c:v>
                </c:pt>
                <c:pt idx="325">
                  <c:v>18197.008586099837</c:v>
                </c:pt>
                <c:pt idx="326">
                  <c:v>18620.871366628675</c:v>
                </c:pt>
                <c:pt idx="327">
                  <c:v>19054.607179632505</c:v>
                </c:pt>
                <c:pt idx="328">
                  <c:v>19498.445997580486</c:v>
                </c:pt>
                <c:pt idx="329">
                  <c:v>19952.623149688792</c:v>
                </c:pt>
                <c:pt idx="330">
                  <c:v>20417.379446695286</c:v>
                </c:pt>
                <c:pt idx="331">
                  <c:v>20892.961308540423</c:v>
                </c:pt>
                <c:pt idx="332">
                  <c:v>21379.620895022348</c:v>
                </c:pt>
                <c:pt idx="333">
                  <c:v>21877.61623949555</c:v>
                </c:pt>
                <c:pt idx="334">
                  <c:v>22387.211385683382</c:v>
                </c:pt>
                <c:pt idx="335">
                  <c:v>22908.676527677751</c:v>
                </c:pt>
                <c:pt idx="336">
                  <c:v>23442.288153199243</c:v>
                </c:pt>
                <c:pt idx="337">
                  <c:v>23988.329190194923</c:v>
                </c:pt>
                <c:pt idx="338">
                  <c:v>24547.089156850321</c:v>
                </c:pt>
                <c:pt idx="339">
                  <c:v>25118.86431509586</c:v>
                </c:pt>
                <c:pt idx="340">
                  <c:v>25703.95782768865</c:v>
                </c:pt>
                <c:pt idx="341">
                  <c:v>26302.679918953829</c:v>
                </c:pt>
                <c:pt idx="342">
                  <c:v>26915.348039269167</c:v>
                </c:pt>
                <c:pt idx="343">
                  <c:v>27542.287033381719</c:v>
                </c:pt>
                <c:pt idx="344">
                  <c:v>28183.829312644593</c:v>
                </c:pt>
                <c:pt idx="345">
                  <c:v>28840.315031266062</c:v>
                </c:pt>
                <c:pt idx="346">
                  <c:v>29512.092266663854</c:v>
                </c:pt>
                <c:pt idx="347">
                  <c:v>30199.517204020212</c:v>
                </c:pt>
                <c:pt idx="348">
                  <c:v>30902.954325135954</c:v>
                </c:pt>
                <c:pt idx="349">
                  <c:v>31622.77660168384</c:v>
                </c:pt>
                <c:pt idx="350">
                  <c:v>32359.365692962871</c:v>
                </c:pt>
                <c:pt idx="351">
                  <c:v>33113.11214825909</c:v>
                </c:pt>
                <c:pt idx="352">
                  <c:v>33884.41561392029</c:v>
                </c:pt>
                <c:pt idx="353">
                  <c:v>34673.685045253202</c:v>
                </c:pt>
                <c:pt idx="354">
                  <c:v>35481.33892335758</c:v>
                </c:pt>
                <c:pt idx="355">
                  <c:v>36307.805477010232</c:v>
                </c:pt>
                <c:pt idx="356">
                  <c:v>37153.522909717351</c:v>
                </c:pt>
                <c:pt idx="357">
                  <c:v>38018.939632056143</c:v>
                </c:pt>
                <c:pt idx="358">
                  <c:v>38904.514499428085</c:v>
                </c:pt>
                <c:pt idx="359">
                  <c:v>39810.717055349742</c:v>
                </c:pt>
                <c:pt idx="360">
                  <c:v>40738.027780411358</c:v>
                </c:pt>
                <c:pt idx="361">
                  <c:v>41686.938347033625</c:v>
                </c:pt>
                <c:pt idx="362">
                  <c:v>42657.951880159271</c:v>
                </c:pt>
                <c:pt idx="363">
                  <c:v>43651.583224016598</c:v>
                </c:pt>
                <c:pt idx="364">
                  <c:v>44668.359215096389</c:v>
                </c:pt>
                <c:pt idx="365">
                  <c:v>45708.818961487581</c:v>
                </c:pt>
                <c:pt idx="366">
                  <c:v>46773.514128719893</c:v>
                </c:pt>
                <c:pt idx="367">
                  <c:v>47863.009232263823</c:v>
                </c:pt>
                <c:pt idx="368">
                  <c:v>48977.881936844598</c:v>
                </c:pt>
                <c:pt idx="369">
                  <c:v>50118.723362727294</c:v>
                </c:pt>
                <c:pt idx="370">
                  <c:v>51286.138399136544</c:v>
                </c:pt>
                <c:pt idx="371">
                  <c:v>52480.746024977314</c:v>
                </c:pt>
                <c:pt idx="372">
                  <c:v>53703.179637025423</c:v>
                </c:pt>
                <c:pt idx="373">
                  <c:v>54954.087385762505</c:v>
                </c:pt>
                <c:pt idx="374">
                  <c:v>56234.132519034953</c:v>
                </c:pt>
                <c:pt idx="375">
                  <c:v>57543.993733715732</c:v>
                </c:pt>
                <c:pt idx="376">
                  <c:v>58884.365535558936</c:v>
                </c:pt>
                <c:pt idx="377">
                  <c:v>60255.95860743591</c:v>
                </c:pt>
                <c:pt idx="378">
                  <c:v>61659.500186148245</c:v>
                </c:pt>
                <c:pt idx="379">
                  <c:v>63095.734448019342</c:v>
                </c:pt>
                <c:pt idx="380">
                  <c:v>64565.422903465682</c:v>
                </c:pt>
                <c:pt idx="381">
                  <c:v>66069.344800759733</c:v>
                </c:pt>
                <c:pt idx="382">
                  <c:v>67608.297539198305</c:v>
                </c:pt>
                <c:pt idx="383">
                  <c:v>69183.097091893651</c:v>
                </c:pt>
                <c:pt idx="384">
                  <c:v>70794.578438413781</c:v>
                </c:pt>
                <c:pt idx="385">
                  <c:v>72443.596007499116</c:v>
                </c:pt>
                <c:pt idx="386">
                  <c:v>74131.024130091857</c:v>
                </c:pt>
                <c:pt idx="387">
                  <c:v>75857.757502918481</c:v>
                </c:pt>
                <c:pt idx="388">
                  <c:v>77624.711662869129</c:v>
                </c:pt>
                <c:pt idx="389">
                  <c:v>79432.823472428237</c:v>
                </c:pt>
                <c:pt idx="390">
                  <c:v>81283.051616410012</c:v>
                </c:pt>
                <c:pt idx="391">
                  <c:v>83176.377110267174</c:v>
                </c:pt>
                <c:pt idx="392">
                  <c:v>85113.803820237721</c:v>
                </c:pt>
                <c:pt idx="393">
                  <c:v>87096.358995608127</c:v>
                </c:pt>
                <c:pt idx="394">
                  <c:v>89125.093813374609</c:v>
                </c:pt>
                <c:pt idx="395">
                  <c:v>91201.083935591028</c:v>
                </c:pt>
                <c:pt idx="396">
                  <c:v>93325.430079699145</c:v>
                </c:pt>
                <c:pt idx="397">
                  <c:v>95499.258602143804</c:v>
                </c:pt>
                <c:pt idx="398">
                  <c:v>97723.722095581266</c:v>
                </c:pt>
                <c:pt idx="399">
                  <c:v>100000</c:v>
                </c:pt>
                <c:pt idx="400">
                  <c:v>102329.29922807543</c:v>
                </c:pt>
                <c:pt idx="401">
                  <c:v>104712.85480508996</c:v>
                </c:pt>
                <c:pt idx="402">
                  <c:v>107151.93052376082</c:v>
                </c:pt>
                <c:pt idx="403">
                  <c:v>109647.81961431868</c:v>
                </c:pt>
                <c:pt idx="404">
                  <c:v>112201.84543019651</c:v>
                </c:pt>
                <c:pt idx="405">
                  <c:v>114815.36214968823</c:v>
                </c:pt>
                <c:pt idx="406">
                  <c:v>117489.75549395311</c:v>
                </c:pt>
                <c:pt idx="407">
                  <c:v>120226.44346174144</c:v>
                </c:pt>
                <c:pt idx="408">
                  <c:v>123026.87708123829</c:v>
                </c:pt>
                <c:pt idx="409">
                  <c:v>125892.54117941685</c:v>
                </c:pt>
                <c:pt idx="410">
                  <c:v>128824.95516931375</c:v>
                </c:pt>
                <c:pt idx="411">
                  <c:v>131825.67385564081</c:v>
                </c:pt>
                <c:pt idx="412">
                  <c:v>134896.28825916545</c:v>
                </c:pt>
                <c:pt idx="413">
                  <c:v>138038.42646028858</c:v>
                </c:pt>
                <c:pt idx="414">
                  <c:v>141253.75446227577</c:v>
                </c:pt>
                <c:pt idx="415">
                  <c:v>144543.97707459307</c:v>
                </c:pt>
                <c:pt idx="416">
                  <c:v>147910.83881682079</c:v>
                </c:pt>
                <c:pt idx="417">
                  <c:v>151356.12484362084</c:v>
                </c:pt>
                <c:pt idx="418">
                  <c:v>154881.66189124843</c:v>
                </c:pt>
                <c:pt idx="419">
                  <c:v>158489.31924611164</c:v>
                </c:pt>
                <c:pt idx="420">
                  <c:v>162181.00973589328</c:v>
                </c:pt>
                <c:pt idx="421">
                  <c:v>165958.69074375604</c:v>
                </c:pt>
                <c:pt idx="422">
                  <c:v>169824.36524617471</c:v>
                </c:pt>
                <c:pt idx="423">
                  <c:v>173780.0828749378</c:v>
                </c:pt>
                <c:pt idx="424">
                  <c:v>177827.94100389251</c:v>
                </c:pt>
                <c:pt idx="425">
                  <c:v>181970.08586099857</c:v>
                </c:pt>
                <c:pt idx="426">
                  <c:v>186208.71366628664</c:v>
                </c:pt>
                <c:pt idx="427">
                  <c:v>190546.07179632492</c:v>
                </c:pt>
                <c:pt idx="428">
                  <c:v>194984.45997580473</c:v>
                </c:pt>
                <c:pt idx="429">
                  <c:v>199526.23149688813</c:v>
                </c:pt>
                <c:pt idx="430">
                  <c:v>204173.79446695308</c:v>
                </c:pt>
                <c:pt idx="431">
                  <c:v>208929.61308540447</c:v>
                </c:pt>
                <c:pt idx="432">
                  <c:v>213796.20895022334</c:v>
                </c:pt>
                <c:pt idx="433">
                  <c:v>218776.16239495538</c:v>
                </c:pt>
                <c:pt idx="434">
                  <c:v>223872.11385683404</c:v>
                </c:pt>
                <c:pt idx="435">
                  <c:v>229086.76527677779</c:v>
                </c:pt>
                <c:pt idx="436">
                  <c:v>234422.88153199267</c:v>
                </c:pt>
                <c:pt idx="437">
                  <c:v>239883.29190194907</c:v>
                </c:pt>
                <c:pt idx="438">
                  <c:v>245470.89156850305</c:v>
                </c:pt>
                <c:pt idx="439">
                  <c:v>251188.64315095844</c:v>
                </c:pt>
                <c:pt idx="440">
                  <c:v>257039.57827688678</c:v>
                </c:pt>
                <c:pt idx="441">
                  <c:v>263026.79918953858</c:v>
                </c:pt>
                <c:pt idx="442">
                  <c:v>269153.48039269145</c:v>
                </c:pt>
                <c:pt idx="443">
                  <c:v>275422.87033381703</c:v>
                </c:pt>
                <c:pt idx="444">
                  <c:v>281838.29312644573</c:v>
                </c:pt>
                <c:pt idx="445">
                  <c:v>288403.1503126609</c:v>
                </c:pt>
                <c:pt idx="446">
                  <c:v>295120.92266663886</c:v>
                </c:pt>
                <c:pt idx="447">
                  <c:v>301995.17204020242</c:v>
                </c:pt>
                <c:pt idx="448">
                  <c:v>309029.54325135931</c:v>
                </c:pt>
                <c:pt idx="449">
                  <c:v>316227.7660168382</c:v>
                </c:pt>
                <c:pt idx="450">
                  <c:v>323593.65692962846</c:v>
                </c:pt>
                <c:pt idx="451">
                  <c:v>331131.12148259126</c:v>
                </c:pt>
                <c:pt idx="452">
                  <c:v>338844.15613920329</c:v>
                </c:pt>
                <c:pt idx="453">
                  <c:v>346736.85045253241</c:v>
                </c:pt>
                <c:pt idx="454">
                  <c:v>354813.38923357555</c:v>
                </c:pt>
                <c:pt idx="455">
                  <c:v>363078.05477010203</c:v>
                </c:pt>
                <c:pt idx="456">
                  <c:v>371535.2290971732</c:v>
                </c:pt>
                <c:pt idx="457">
                  <c:v>380189.39632056188</c:v>
                </c:pt>
                <c:pt idx="458">
                  <c:v>389045.14499428123</c:v>
                </c:pt>
                <c:pt idx="459">
                  <c:v>398107.17055349716</c:v>
                </c:pt>
                <c:pt idx="460">
                  <c:v>407380.27780411334</c:v>
                </c:pt>
                <c:pt idx="461">
                  <c:v>416869.38347033598</c:v>
                </c:pt>
                <c:pt idx="462">
                  <c:v>426579.51880159322</c:v>
                </c:pt>
                <c:pt idx="463">
                  <c:v>436515.83224016649</c:v>
                </c:pt>
                <c:pt idx="464">
                  <c:v>446683.59215096442</c:v>
                </c:pt>
                <c:pt idx="465">
                  <c:v>457088.18961487547</c:v>
                </c:pt>
                <c:pt idx="466">
                  <c:v>467735.14128719864</c:v>
                </c:pt>
                <c:pt idx="467">
                  <c:v>478630.09232263872</c:v>
                </c:pt>
                <c:pt idx="468">
                  <c:v>489778.81936844654</c:v>
                </c:pt>
                <c:pt idx="469">
                  <c:v>501187.23362727347</c:v>
                </c:pt>
                <c:pt idx="470">
                  <c:v>512861.38399136515</c:v>
                </c:pt>
                <c:pt idx="471">
                  <c:v>524807.46024977288</c:v>
                </c:pt>
                <c:pt idx="472">
                  <c:v>537031.7963702539</c:v>
                </c:pt>
                <c:pt idx="473">
                  <c:v>549540.87385762564</c:v>
                </c:pt>
                <c:pt idx="474">
                  <c:v>562341.32519035018</c:v>
                </c:pt>
                <c:pt idx="475">
                  <c:v>575439.93733715697</c:v>
                </c:pt>
                <c:pt idx="476">
                  <c:v>588843.65535558888</c:v>
                </c:pt>
                <c:pt idx="477">
                  <c:v>602559.58607435878</c:v>
                </c:pt>
                <c:pt idx="478">
                  <c:v>616595.00186148309</c:v>
                </c:pt>
                <c:pt idx="479">
                  <c:v>630957.34448019415</c:v>
                </c:pt>
                <c:pt idx="480">
                  <c:v>645654.22903465747</c:v>
                </c:pt>
                <c:pt idx="481">
                  <c:v>660693.44800759677</c:v>
                </c:pt>
                <c:pt idx="482">
                  <c:v>676082.97539198259</c:v>
                </c:pt>
                <c:pt idx="483">
                  <c:v>691830.97091893724</c:v>
                </c:pt>
                <c:pt idx="484">
                  <c:v>707945.78438413853</c:v>
                </c:pt>
                <c:pt idx="485">
                  <c:v>724435.96007499192</c:v>
                </c:pt>
                <c:pt idx="486">
                  <c:v>741310.24130091805</c:v>
                </c:pt>
                <c:pt idx="487">
                  <c:v>758577.57502918423</c:v>
                </c:pt>
                <c:pt idx="488">
                  <c:v>776247.11662869214</c:v>
                </c:pt>
                <c:pt idx="489">
                  <c:v>794328.23472428333</c:v>
                </c:pt>
                <c:pt idx="490">
                  <c:v>812830.51616410096</c:v>
                </c:pt>
                <c:pt idx="491">
                  <c:v>831763.77110267128</c:v>
                </c:pt>
                <c:pt idx="492">
                  <c:v>851138.03820237669</c:v>
                </c:pt>
                <c:pt idx="493">
                  <c:v>870963.58995608077</c:v>
                </c:pt>
                <c:pt idx="494">
                  <c:v>891250.93813374708</c:v>
                </c:pt>
                <c:pt idx="495">
                  <c:v>912010.83935591124</c:v>
                </c:pt>
                <c:pt idx="496">
                  <c:v>933254.30079699249</c:v>
                </c:pt>
                <c:pt idx="497">
                  <c:v>954992.58602143743</c:v>
                </c:pt>
                <c:pt idx="498">
                  <c:v>977237.22095581202</c:v>
                </c:pt>
                <c:pt idx="499">
                  <c:v>1000000</c:v>
                </c:pt>
                <c:pt idx="500">
                  <c:v>1023292.9922807553</c:v>
                </c:pt>
                <c:pt idx="501">
                  <c:v>1047128.5480509007</c:v>
                </c:pt>
                <c:pt idx="502">
                  <c:v>1071519.3052376076</c:v>
                </c:pt>
                <c:pt idx="503">
                  <c:v>1096478.196143186</c:v>
                </c:pt>
                <c:pt idx="504">
                  <c:v>1122018.4543019643</c:v>
                </c:pt>
                <c:pt idx="505">
                  <c:v>1148153.6214968837</c:v>
                </c:pt>
                <c:pt idx="506">
                  <c:v>1174897.5549395324</c:v>
                </c:pt>
                <c:pt idx="507">
                  <c:v>1202264.4346174158</c:v>
                </c:pt>
                <c:pt idx="508">
                  <c:v>1230268.770812382</c:v>
                </c:pt>
                <c:pt idx="509">
                  <c:v>1258925.4117941677</c:v>
                </c:pt>
                <c:pt idx="510">
                  <c:v>1288249.5516931366</c:v>
                </c:pt>
                <c:pt idx="511">
                  <c:v>1318256.7385564097</c:v>
                </c:pt>
                <c:pt idx="512">
                  <c:v>1348962.8825916562</c:v>
                </c:pt>
                <c:pt idx="513">
                  <c:v>1380384.2646028849</c:v>
                </c:pt>
                <c:pt idx="514">
                  <c:v>1412537.5446227565</c:v>
                </c:pt>
                <c:pt idx="515">
                  <c:v>1445439.7707459298</c:v>
                </c:pt>
                <c:pt idx="516">
                  <c:v>1479108.3881682095</c:v>
                </c:pt>
                <c:pt idx="517">
                  <c:v>1513561.2484362102</c:v>
                </c:pt>
                <c:pt idx="518">
                  <c:v>1548816.6189124861</c:v>
                </c:pt>
                <c:pt idx="519">
                  <c:v>1584893.1924611153</c:v>
                </c:pt>
                <c:pt idx="520">
                  <c:v>1621810.0973589318</c:v>
                </c:pt>
                <c:pt idx="521">
                  <c:v>1659586.9074375622</c:v>
                </c:pt>
                <c:pt idx="522">
                  <c:v>1698243.6524617488</c:v>
                </c:pt>
                <c:pt idx="523">
                  <c:v>1737800.8287493798</c:v>
                </c:pt>
                <c:pt idx="524">
                  <c:v>1778279.4100389241</c:v>
                </c:pt>
                <c:pt idx="525">
                  <c:v>1819700.8586099846</c:v>
                </c:pt>
                <c:pt idx="526">
                  <c:v>1862087.1366628683</c:v>
                </c:pt>
                <c:pt idx="527">
                  <c:v>1905460.7179632513</c:v>
                </c:pt>
                <c:pt idx="528">
                  <c:v>1949844.5997580495</c:v>
                </c:pt>
                <c:pt idx="529">
                  <c:v>1995262.31496888</c:v>
                </c:pt>
                <c:pt idx="530">
                  <c:v>2041737.9446695296</c:v>
                </c:pt>
                <c:pt idx="531">
                  <c:v>2089296.1308540432</c:v>
                </c:pt>
                <c:pt idx="532">
                  <c:v>2137962.0895022359</c:v>
                </c:pt>
                <c:pt idx="533">
                  <c:v>2187761.6239495561</c:v>
                </c:pt>
                <c:pt idx="534">
                  <c:v>2238721.1385683389</c:v>
                </c:pt>
                <c:pt idx="535">
                  <c:v>2290867.6527677765</c:v>
                </c:pt>
                <c:pt idx="536">
                  <c:v>2344228.8153199251</c:v>
                </c:pt>
                <c:pt idx="537">
                  <c:v>2398832.9190194933</c:v>
                </c:pt>
                <c:pt idx="538">
                  <c:v>2454708.915685033</c:v>
                </c:pt>
                <c:pt idx="539">
                  <c:v>2511886.431509587</c:v>
                </c:pt>
                <c:pt idx="540">
                  <c:v>2570395.782768866</c:v>
                </c:pt>
                <c:pt idx="541">
                  <c:v>2630267.9918953842</c:v>
                </c:pt>
              </c:numCache>
            </c:numRef>
          </c:xVal>
          <c:yVal>
            <c:numRef>
              <c:f>Loop_Modeling!$BJ$19:$BJ$560</c:f>
              <c:numCache>
                <c:formatCode>0.000</c:formatCode>
                <c:ptCount val="542"/>
                <c:pt idx="0">
                  <c:v>75.609108624029787</c:v>
                </c:pt>
                <c:pt idx="1">
                  <c:v>75.408919507630145</c:v>
                </c:pt>
                <c:pt idx="2">
                  <c:v>75.208721488364588</c:v>
                </c:pt>
                <c:pt idx="3">
                  <c:v>75.008514147609461</c:v>
                </c:pt>
                <c:pt idx="4">
                  <c:v>74.80829704710419</c:v>
                </c:pt>
                <c:pt idx="5">
                  <c:v>74.608069728034309</c:v>
                </c:pt>
                <c:pt idx="6">
                  <c:v>74.407831710072898</c:v>
                </c:pt>
                <c:pt idx="7">
                  <c:v>74.207582490376922</c:v>
                </c:pt>
                <c:pt idx="8">
                  <c:v>74.007321542538236</c:v>
                </c:pt>
                <c:pt idx="9">
                  <c:v>73.807048315485332</c:v>
                </c:pt>
                <c:pt idx="10">
                  <c:v>73.606762232335285</c:v>
                </c:pt>
                <c:pt idx="11">
                  <c:v>73.406462689192608</c:v>
                </c:pt>
                <c:pt idx="12">
                  <c:v>73.206149053892787</c:v>
                </c:pt>
                <c:pt idx="13">
                  <c:v>73.005820664688798</c:v>
                </c:pt>
                <c:pt idx="14">
                  <c:v>72.80547682887692</c:v>
                </c:pt>
                <c:pt idx="15">
                  <c:v>72.605116821359928</c:v>
                </c:pt>
                <c:pt idx="16">
                  <c:v>72.404739883144828</c:v>
                </c:pt>
                <c:pt idx="17">
                  <c:v>72.204345219771952</c:v>
                </c:pt>
                <c:pt idx="18">
                  <c:v>72.003931999672432</c:v>
                </c:pt>
                <c:pt idx="19">
                  <c:v>71.803499352451595</c:v>
                </c:pt>
                <c:pt idx="20">
                  <c:v>71.603046367093853</c:v>
                </c:pt>
                <c:pt idx="21">
                  <c:v>71.402572090086693</c:v>
                </c:pt>
                <c:pt idx="22">
                  <c:v>71.202075523460081</c:v>
                </c:pt>
                <c:pt idx="23">
                  <c:v>71.001555622736973</c:v>
                </c:pt>
                <c:pt idx="24">
                  <c:v>70.801011294792147</c:v>
                </c:pt>
                <c:pt idx="25">
                  <c:v>70.600441395614638</c:v>
                </c:pt>
                <c:pt idx="26">
                  <c:v>70.399844727970233</c:v>
                </c:pt>
                <c:pt idx="27">
                  <c:v>70.199220038959226</c:v>
                </c:pt>
                <c:pt idx="28">
                  <c:v>69.99856601746572</c:v>
                </c:pt>
                <c:pt idx="29">
                  <c:v>69.797881291493681</c:v>
                </c:pt>
                <c:pt idx="30">
                  <c:v>69.597164425384605</c:v>
                </c:pt>
                <c:pt idx="31">
                  <c:v>69.396413916913005</c:v>
                </c:pt>
                <c:pt idx="32">
                  <c:v>69.195628194253302</c:v>
                </c:pt>
                <c:pt idx="33">
                  <c:v>68.994805612814574</c:v>
                </c:pt>
                <c:pt idx="34">
                  <c:v>68.793944451936213</c:v>
                </c:pt>
                <c:pt idx="35">
                  <c:v>68.593042911440449</c:v>
                </c:pt>
                <c:pt idx="36">
                  <c:v>68.392099108034955</c:v>
                </c:pt>
                <c:pt idx="37">
                  <c:v>68.191111071560485</c:v>
                </c:pt>
                <c:pt idx="38">
                  <c:v>67.990076741076777</c:v>
                </c:pt>
                <c:pt idx="39">
                  <c:v>67.788993960781937</c:v>
                </c:pt>
                <c:pt idx="40">
                  <c:v>67.587860475757225</c:v>
                </c:pt>
                <c:pt idx="41">
                  <c:v>67.386673927532158</c:v>
                </c:pt>
                <c:pt idx="42">
                  <c:v>67.185431849463257</c:v>
                </c:pt>
                <c:pt idx="43">
                  <c:v>66.984131661918454</c:v>
                </c:pt>
                <c:pt idx="44">
                  <c:v>66.782770667262326</c:v>
                </c:pt>
                <c:pt idx="45">
                  <c:v>66.581346044633406</c:v>
                </c:pt>
                <c:pt idx="46">
                  <c:v>66.379854844507463</c:v>
                </c:pt>
                <c:pt idx="47">
                  <c:v>66.178293983039381</c:v>
                </c:pt>
                <c:pt idx="48">
                  <c:v>65.976660236176514</c:v>
                </c:pt>
                <c:pt idx="49">
                  <c:v>65.77495023353606</c:v>
                </c:pt>
                <c:pt idx="50">
                  <c:v>65.573160452039104</c:v>
                </c:pt>
                <c:pt idx="51">
                  <c:v>65.371287209294564</c:v>
                </c:pt>
                <c:pt idx="52">
                  <c:v>65.169326656725545</c:v>
                </c:pt>
                <c:pt idx="53">
                  <c:v>64.967274772430017</c:v>
                </c:pt>
                <c:pt idx="54">
                  <c:v>64.76512735377041</c:v>
                </c:pt>
                <c:pt idx="55">
                  <c:v>64.562880009683894</c:v>
                </c:pt>
                <c:pt idx="56">
                  <c:v>64.360528152706806</c:v>
                </c:pt>
                <c:pt idx="57">
                  <c:v>64.158066990707283</c:v>
                </c:pt>
                <c:pt idx="58">
                  <c:v>63.955491518318944</c:v>
                </c:pt>
                <c:pt idx="59">
                  <c:v>63.752796508070702</c:v>
                </c:pt>
                <c:pt idx="60">
                  <c:v>63.549976501206878</c:v>
                </c:pt>
                <c:pt idx="61">
                  <c:v>63.347025798192007</c:v>
                </c:pt>
                <c:pt idx="62">
                  <c:v>63.143938448897465</c:v>
                </c:pt>
                <c:pt idx="63">
                  <c:v>62.940708242465135</c:v>
                </c:pt>
                <c:pt idx="64">
                  <c:v>62.737328696845395</c:v>
                </c:pt>
                <c:pt idx="65">
                  <c:v>62.533793048007603</c:v>
                </c:pt>
                <c:pt idx="66">
                  <c:v>62.330094238822838</c:v>
                </c:pt>
                <c:pt idx="67">
                  <c:v>62.126224907617342</c:v>
                </c:pt>
                <c:pt idx="68">
                  <c:v>61.922177376399858</c:v>
                </c:pt>
                <c:pt idx="69">
                  <c:v>61.717943638765256</c:v>
                </c:pt>
                <c:pt idx="70">
                  <c:v>61.513515347477686</c:v>
                </c:pt>
                <c:pt idx="71">
                  <c:v>61.308883801741899</c:v>
                </c:pt>
                <c:pt idx="72">
                  <c:v>61.104039934169229</c:v>
                </c:pt>
                <c:pt idx="73">
                  <c:v>60.89897429744822</c:v>
                </c:pt>
                <c:pt idx="74">
                  <c:v>60.693677050734934</c:v>
                </c:pt>
                <c:pt idx="75">
                  <c:v>60.488137945775826</c:v>
                </c:pt>
                <c:pt idx="76">
                  <c:v>60.282346312782664</c:v>
                </c:pt>
                <c:pt idx="77">
                  <c:v>60.076291046080712</c:v>
                </c:pt>
                <c:pt idx="78">
                  <c:v>59.869960589554893</c:v>
                </c:pt>
                <c:pt idx="79">
                  <c:v>59.663342921921597</c:v>
                </c:pt>
                <c:pt idx="80">
                  <c:v>59.456425541859197</c:v>
                </c:pt>
                <c:pt idx="81">
                  <c:v>59.24919545303338</c:v>
                </c:pt>
                <c:pt idx="82">
                  <c:v>59.041639149058398</c:v>
                </c:pt>
                <c:pt idx="83">
                  <c:v>58.833742598440679</c:v>
                </c:pt>
                <c:pt idx="84">
                  <c:v>58.625491229554939</c:v>
                </c:pt>
                <c:pt idx="85">
                  <c:v>58.416869915711196</c:v>
                </c:pt>
                <c:pt idx="86">
                  <c:v>58.207862960373504</c:v>
                </c:pt>
                <c:pt idx="87">
                  <c:v>57.998454082600986</c:v>
                </c:pt>
                <c:pt idx="88">
                  <c:v>57.788626402786313</c:v>
                </c:pt>
                <c:pt idx="89">
                  <c:v>57.578362428772827</c:v>
                </c:pt>
                <c:pt idx="90">
                  <c:v>57.367644042442464</c:v>
                </c:pt>
                <c:pt idx="91">
                  <c:v>57.156452486869746</c:v>
                </c:pt>
                <c:pt idx="92">
                  <c:v>56.944768354147982</c:v>
                </c:pt>
                <c:pt idx="93">
                  <c:v>56.732571574000715</c:v>
                </c:pt>
                <c:pt idx="94">
                  <c:v>56.519841403300148</c:v>
                </c:pt>
                <c:pt idx="95">
                  <c:v>56.3065564166222</c:v>
                </c:pt>
                <c:pt idx="96">
                  <c:v>56.092694497977618</c:v>
                </c:pt>
                <c:pt idx="97">
                  <c:v>55.878232833865141</c:v>
                </c:pt>
                <c:pt idx="98">
                  <c:v>55.663147907804095</c:v>
                </c:pt>
                <c:pt idx="99">
                  <c:v>55.4474154965095</c:v>
                </c:pt>
                <c:pt idx="100">
                  <c:v>55.231010667883062</c:v>
                </c:pt>
                <c:pt idx="101">
                  <c:v>55.013907781000128</c:v>
                </c:pt>
                <c:pt idx="102">
                  <c:v>54.796080488280978</c:v>
                </c:pt>
                <c:pt idx="103">
                  <c:v>54.577501740041185</c:v>
                </c:pt>
                <c:pt idx="104">
                  <c:v>54.358143791621899</c:v>
                </c:pt>
                <c:pt idx="105">
                  <c:v>54.137978213306681</c:v>
                </c:pt>
                <c:pt idx="106">
                  <c:v>53.916975903235176</c:v>
                </c:pt>
                <c:pt idx="107">
                  <c:v>53.69510710352646</c:v>
                </c:pt>
                <c:pt idx="108">
                  <c:v>53.472341419827714</c:v>
                </c:pt>
                <c:pt idx="109">
                  <c:v>53.248647844501313</c:v>
                </c:pt>
                <c:pt idx="110">
                  <c:v>53.023994783663937</c:v>
                </c:pt>
                <c:pt idx="111">
                  <c:v>52.798350088284344</c:v>
                </c:pt>
                <c:pt idx="112">
                  <c:v>52.571681089542025</c:v>
                </c:pt>
                <c:pt idx="113">
                  <c:v>52.343954638638628</c:v>
                </c:pt>
                <c:pt idx="114">
                  <c:v>52.115137151242273</c:v>
                </c:pt>
                <c:pt idx="115">
                  <c:v>51.885194656730455</c:v>
                </c:pt>
                <c:pt idx="116">
                  <c:v>51.654092852379058</c:v>
                </c:pt>
                <c:pt idx="117">
                  <c:v>51.421797162623662</c:v>
                </c:pt>
                <c:pt idx="118">
                  <c:v>51.188272803495245</c:v>
                </c:pt>
                <c:pt idx="119">
                  <c:v>50.953484852303589</c:v>
                </c:pt>
                <c:pt idx="120">
                  <c:v>50.717398322611359</c:v>
                </c:pt>
                <c:pt idx="121">
                  <c:v>50.479978244505588</c:v>
                </c:pt>
                <c:pt idx="122">
                  <c:v>50.241189750135867</c:v>
                </c:pt>
                <c:pt idx="123">
                  <c:v>50.000998164446521</c:v>
                </c:pt>
                <c:pt idx="124">
                  <c:v>49.759369100985268</c:v>
                </c:pt>
                <c:pt idx="125">
                  <c:v>49.516268562624276</c:v>
                </c:pt>
                <c:pt idx="126">
                  <c:v>49.271663046977764</c:v>
                </c:pt>
                <c:pt idx="127">
                  <c:v>49.025519656251461</c:v>
                </c:pt>
                <c:pt idx="128">
                  <c:v>48.777806211203114</c:v>
                </c:pt>
                <c:pt idx="129">
                  <c:v>48.528491368840164</c:v>
                </c:pt>
                <c:pt idx="130">
                  <c:v>48.277544743428763</c:v>
                </c:pt>
                <c:pt idx="131">
                  <c:v>48.024937030329504</c:v>
                </c:pt>
                <c:pt idx="132">
                  <c:v>47.770640132129138</c:v>
                </c:pt>
                <c:pt idx="133">
                  <c:v>47.514627286482423</c:v>
                </c:pt>
                <c:pt idx="134">
                  <c:v>47.256873195034295</c:v>
                </c:pt>
                <c:pt idx="135">
                  <c:v>46.997354152748855</c:v>
                </c:pt>
                <c:pt idx="136">
                  <c:v>46.736048176932655</c:v>
                </c:pt>
                <c:pt idx="137">
                  <c:v>46.47293513520961</c:v>
                </c:pt>
                <c:pt idx="138">
                  <c:v>46.207996871676983</c:v>
                </c:pt>
                <c:pt idx="139">
                  <c:v>45.941217330454933</c:v>
                </c:pt>
                <c:pt idx="140">
                  <c:v>45.672582675830995</c:v>
                </c:pt>
                <c:pt idx="141">
                  <c:v>45.402081408199791</c:v>
                </c:pt>
                <c:pt idx="142">
                  <c:v>45.129704475003969</c:v>
                </c:pt>
                <c:pt idx="143">
                  <c:v>44.855445375901006</c:v>
                </c:pt>
                <c:pt idx="144">
                  <c:v>44.579300261402977</c:v>
                </c:pt>
                <c:pt idx="145">
                  <c:v>44.301268024273966</c:v>
                </c:pt>
                <c:pt idx="146">
                  <c:v>44.021350383011807</c:v>
                </c:pt>
                <c:pt idx="147">
                  <c:v>43.739551956793406</c:v>
                </c:pt>
                <c:pt idx="148">
                  <c:v>43.455880331323762</c:v>
                </c:pt>
                <c:pt idx="149">
                  <c:v>43.170346115093878</c:v>
                </c:pt>
                <c:pt idx="150">
                  <c:v>42.882962985627572</c:v>
                </c:pt>
                <c:pt idx="151">
                  <c:v>42.593747725374733</c:v>
                </c:pt>
                <c:pt idx="152">
                  <c:v>42.302720246989011</c:v>
                </c:pt>
                <c:pt idx="153">
                  <c:v>42.009903607814046</c:v>
                </c:pt>
                <c:pt idx="154">
                  <c:v>41.715324013485464</c:v>
                </c:pt>
                <c:pt idx="155">
                  <c:v>41.419010810641204</c:v>
                </c:pt>
                <c:pt idx="156">
                  <c:v>41.120996468816159</c:v>
                </c:pt>
                <c:pt idx="157">
                  <c:v>40.82131655167629</c:v>
                </c:pt>
                <c:pt idx="158">
                  <c:v>40.520009677821818</c:v>
                </c:pt>
                <c:pt idx="159">
                  <c:v>40.217117471461698</c:v>
                </c:pt>
                <c:pt idx="160">
                  <c:v>39.912684503320712</c:v>
                </c:pt>
                <c:pt idx="161">
                  <c:v>39.606758222201741</c:v>
                </c:pt>
                <c:pt idx="162">
                  <c:v>39.299388877667717</c:v>
                </c:pt>
                <c:pt idx="163">
                  <c:v>38.990629434351987</c:v>
                </c:pt>
                <c:pt idx="164">
                  <c:v>38.680535478433185</c:v>
                </c:pt>
                <c:pt idx="165">
                  <c:v>38.36916511683372</c:v>
                </c:pt>
                <c:pt idx="166">
                  <c:v>38.056578869712908</c:v>
                </c:pt>
                <c:pt idx="167">
                  <c:v>37.742839556829892</c:v>
                </c:pt>
                <c:pt idx="168">
                  <c:v>37.428012178348609</c:v>
                </c:pt>
                <c:pt idx="169">
                  <c:v>37.112163790643898</c:v>
                </c:pt>
                <c:pt idx="170">
                  <c:v>36.795363377651952</c:v>
                </c:pt>
                <c:pt idx="171">
                  <c:v>36.477681718283051</c:v>
                </c:pt>
                <c:pt idx="172">
                  <c:v>36.159191250388105</c:v>
                </c:pt>
                <c:pt idx="173">
                  <c:v>35.839965931734426</c:v>
                </c:pt>
                <c:pt idx="174">
                  <c:v>35.520081098418714</c:v>
                </c:pt>
                <c:pt idx="175">
                  <c:v>35.199613321100252</c:v>
                </c:pt>
                <c:pt idx="176">
                  <c:v>34.878640259408947</c:v>
                </c:pt>
                <c:pt idx="177">
                  <c:v>34.557240514841425</c:v>
                </c:pt>
                <c:pt idx="178">
                  <c:v>34.235493482428524</c:v>
                </c:pt>
                <c:pt idx="179">
                  <c:v>33.913479201423229</c:v>
                </c:pt>
                <c:pt idx="180">
                  <c:v>33.591278205231113</c:v>
                </c:pt>
                <c:pt idx="181">
                  <c:v>33.268971370784207</c:v>
                </c:pt>
                <c:pt idx="182">
                  <c:v>32.946639767536197</c:v>
                </c:pt>
                <c:pt idx="183">
                  <c:v>32.624364506247851</c:v>
                </c:pt>
                <c:pt idx="184">
                  <c:v>32.302226587721094</c:v>
                </c:pt>
                <c:pt idx="185">
                  <c:v>31.980306751639446</c:v>
                </c:pt>
                <c:pt idx="186">
                  <c:v>31.658685325676746</c:v>
                </c:pt>
                <c:pt idx="187">
                  <c:v>31.337442075046454</c:v>
                </c:pt>
                <c:pt idx="188">
                  <c:v>31.016656052678687</c:v>
                </c:pt>
                <c:pt idx="189">
                  <c:v>30.696405450232156</c:v>
                </c:pt>
                <c:pt idx="190">
                  <c:v>30.376767450176647</c:v>
                </c:pt>
                <c:pt idx="191">
                  <c:v>30.057818079206715</c:v>
                </c:pt>
                <c:pt idx="192">
                  <c:v>29.739632063283405</c:v>
                </c:pt>
                <c:pt idx="193">
                  <c:v>29.422282684633402</c:v>
                </c:pt>
                <c:pt idx="194">
                  <c:v>29.105841641072065</c:v>
                </c:pt>
                <c:pt idx="195">
                  <c:v>28.790378908052581</c:v>
                </c:pt>
                <c:pt idx="196">
                  <c:v>28.475962603880319</c:v>
                </c:pt>
                <c:pt idx="197">
                  <c:v>28.162658858562505</c:v>
                </c:pt>
                <c:pt idx="198">
                  <c:v>27.850531686797385</c:v>
                </c:pt>
                <c:pt idx="199">
                  <c:v>27.539642865630558</c:v>
                </c:pt>
                <c:pt idx="200">
                  <c:v>27.230051817328924</c:v>
                </c:pt>
                <c:pt idx="201">
                  <c:v>26.921815498037773</c:v>
                </c:pt>
                <c:pt idx="202">
                  <c:v>26.614988292794518</c:v>
                </c:pt>
                <c:pt idx="203">
                  <c:v>26.30962191747345</c:v>
                </c:pt>
                <c:pt idx="204">
                  <c:v>26.005765328227536</c:v>
                </c:pt>
                <c:pt idx="205">
                  <c:v>25.703464638978005</c:v>
                </c:pt>
                <c:pt idx="206">
                  <c:v>25.402763047476881</c:v>
                </c:pt>
                <c:pt idx="207">
                  <c:v>25.103700770431409</c:v>
                </c:pt>
                <c:pt idx="208">
                  <c:v>24.806314988140635</c:v>
                </c:pt>
                <c:pt idx="209">
                  <c:v>24.510639799038753</c:v>
                </c:pt>
                <c:pt idx="210">
                  <c:v>24.216706184483346</c:v>
                </c:pt>
                <c:pt idx="211">
                  <c:v>23.924541984059505</c:v>
                </c:pt>
                <c:pt idx="212">
                  <c:v>23.634171881598533</c:v>
                </c:pt>
                <c:pt idx="213">
                  <c:v>23.345617402032701</c:v>
                </c:pt>
                <c:pt idx="214">
                  <c:v>23.058896919126553</c:v>
                </c:pt>
                <c:pt idx="215">
                  <c:v>22.774025674040033</c:v>
                </c:pt>
                <c:pt idx="216">
                  <c:v>22.491015804597041</c:v>
                </c:pt>
                <c:pt idx="217">
                  <c:v>22.209876385042392</c:v>
                </c:pt>
                <c:pt idx="218">
                  <c:v>21.930613475994658</c:v>
                </c:pt>
                <c:pt idx="219">
                  <c:v>21.653230184214305</c:v>
                </c:pt>
                <c:pt idx="220">
                  <c:v>21.377726731736146</c:v>
                </c:pt>
                <c:pt idx="221">
                  <c:v>21.104100533841901</c:v>
                </c:pt>
                <c:pt idx="222">
                  <c:v>20.83234628528427</c:v>
                </c:pt>
                <c:pt idx="223">
                  <c:v>20.562456054118584</c:v>
                </c:pt>
                <c:pt idx="224">
                  <c:v>20.294419382448034</c:v>
                </c:pt>
                <c:pt idx="225">
                  <c:v>20.028223393348942</c:v>
                </c:pt>
                <c:pt idx="226">
                  <c:v>19.763852903211514</c:v>
                </c:pt>
                <c:pt idx="227">
                  <c:v>19.501290538709974</c:v>
                </c:pt>
                <c:pt idx="228">
                  <c:v>19.240516857603392</c:v>
                </c:pt>
                <c:pt idx="229">
                  <c:v>18.981510472563805</c:v>
                </c:pt>
                <c:pt idx="230">
                  <c:v>18.72424817723758</c:v>
                </c:pt>
                <c:pt idx="231">
                  <c:v>18.468705073754212</c:v>
                </c:pt>
                <c:pt idx="232">
                  <c:v>18.214854700922615</c:v>
                </c:pt>
                <c:pt idx="233">
                  <c:v>17.962669162381694</c:v>
                </c:pt>
                <c:pt idx="234">
                  <c:v>17.71211925400657</c:v>
                </c:pt>
                <c:pt idx="235">
                  <c:v>17.463174589912466</c:v>
                </c:pt>
                <c:pt idx="236">
                  <c:v>17.215803726441955</c:v>
                </c:pt>
                <c:pt idx="237">
                  <c:v>16.969974283571517</c:v>
                </c:pt>
                <c:pt idx="238">
                  <c:v>16.725653063222154</c:v>
                </c:pt>
                <c:pt idx="239">
                  <c:v>16.482806164011954</c:v>
                </c:pt>
                <c:pt idx="240">
                  <c:v>16.24139909204478</c:v>
                </c:pt>
                <c:pt idx="241">
                  <c:v>16.001396867379931</c:v>
                </c:pt>
                <c:pt idx="242">
                  <c:v>15.762764125883598</c:v>
                </c:pt>
                <c:pt idx="243">
                  <c:v>15.525465216215434</c:v>
                </c:pt>
                <c:pt idx="244">
                  <c:v>15.289464291753244</c:v>
                </c:pt>
                <c:pt idx="245">
                  <c:v>15.05472539730871</c:v>
                </c:pt>
                <c:pt idx="246">
                  <c:v>14.821212550533179</c:v>
                </c:pt>
                <c:pt idx="247">
                  <c:v>14.588889817955311</c:v>
                </c:pt>
                <c:pt idx="248">
                  <c:v>14.357721385632939</c:v>
                </c:pt>
                <c:pt idx="249">
                  <c:v>14.127671624438653</c:v>
                </c:pt>
                <c:pt idx="250">
                  <c:v>13.89870515003118</c:v>
                </c:pt>
                <c:pt idx="251">
                  <c:v>13.670786877595813</c:v>
                </c:pt>
                <c:pt idx="252">
                  <c:v>13.443882071462562</c:v>
                </c:pt>
                <c:pt idx="253">
                  <c:v>13.217956389733969</c:v>
                </c:pt>
                <c:pt idx="254">
                  <c:v>12.992975924075289</c:v>
                </c:pt>
                <c:pt idx="255">
                  <c:v>12.768907234834185</c:v>
                </c:pt>
                <c:pt idx="256">
                  <c:v>12.545717381673708</c:v>
                </c:pt>
                <c:pt idx="257">
                  <c:v>12.323373949909232</c:v>
                </c:pt>
                <c:pt idx="258">
                  <c:v>12.101845072751141</c:v>
                </c:pt>
                <c:pt idx="259">
                  <c:v>11.881099449659962</c:v>
                </c:pt>
                <c:pt idx="260">
                  <c:v>11.661106361022174</c:v>
                </c:pt>
                <c:pt idx="261">
                  <c:v>11.441835679359135</c:v>
                </c:pt>
                <c:pt idx="262">
                  <c:v>11.223257877279327</c:v>
                </c:pt>
                <c:pt idx="263">
                  <c:v>11.005344032381313</c:v>
                </c:pt>
                <c:pt idx="264">
                  <c:v>10.788065829315643</c:v>
                </c:pt>
                <c:pt idx="265">
                  <c:v>10.57139555920277</c:v>
                </c:pt>
                <c:pt idx="266">
                  <c:v>10.355306116605703</c:v>
                </c:pt>
                <c:pt idx="267">
                  <c:v>10.139770994244186</c:v>
                </c:pt>
                <c:pt idx="268">
                  <c:v>9.9247642756332795</c:v>
                </c:pt>
                <c:pt idx="269">
                  <c:v>9.7102606258210464</c:v>
                </c:pt>
                <c:pt idx="270">
                  <c:v>9.4962352803918311</c:v>
                </c:pt>
                <c:pt idx="271">
                  <c:v>9.282664032894365</c:v>
                </c:pt>
                <c:pt idx="272">
                  <c:v>9.069523220845193</c:v>
                </c:pt>
                <c:pt idx="273">
                  <c:v>8.8567897104489166</c:v>
                </c:pt>
                <c:pt idx="274">
                  <c:v>8.6444408801719401</c:v>
                </c:pt>
                <c:pt idx="275">
                  <c:v>8.4324546032935661</c:v>
                </c:pt>
                <c:pt idx="276">
                  <c:v>8.2208092295546642</c:v>
                </c:pt>
                <c:pt idx="277">
                  <c:v>8.0094835660144774</c:v>
                </c:pt>
                <c:pt idx="278">
                  <c:v>7.7984568572197617</c:v>
                </c:pt>
                <c:pt idx="279">
                  <c:v>7.5877087647831489</c:v>
                </c:pt>
                <c:pt idx="280">
                  <c:v>7.3772193464618976</c:v>
                </c:pt>
                <c:pt idx="281">
                  <c:v>7.1669690348210597</c:v>
                </c:pt>
                <c:pt idx="282">
                  <c:v>6.9569386155612865</c:v>
                </c:pt>
                <c:pt idx="283">
                  <c:v>6.7471092055845183</c:v>
                </c:pt>
                <c:pt idx="284">
                  <c:v>6.5374622308674324</c:v>
                </c:pt>
                <c:pt idx="285">
                  <c:v>6.3279794042080475</c:v>
                </c:pt>
                <c:pt idx="286">
                  <c:v>6.1186427029071231</c:v>
                </c:pt>
                <c:pt idx="287">
                  <c:v>5.9094343464439048</c:v>
                </c:pt>
                <c:pt idx="288">
                  <c:v>5.7003367742005988</c:v>
                </c:pt>
                <c:pt idx="289">
                  <c:v>5.4913326232916919</c:v>
                </c:pt>
                <c:pt idx="290">
                  <c:v>5.2824047065488848</c:v>
                </c:pt>
                <c:pt idx="291">
                  <c:v>5.0735359907146247</c:v>
                </c:pt>
                <c:pt idx="292">
                  <c:v>4.8647095748933644</c:v>
                </c:pt>
                <c:pt idx="293">
                  <c:v>4.6559086693129288</c:v>
                </c:pt>
                <c:pt idx="294">
                  <c:v>4.4471165744470564</c:v>
                </c:pt>
                <c:pt idx="295">
                  <c:v>4.2383166605501108</c:v>
                </c:pt>
                <c:pt idx="296">
                  <c:v>4.0294923476595788</c:v>
                </c:pt>
                <c:pt idx="297">
                  <c:v>3.8206270861203562</c:v>
                </c:pt>
                <c:pt idx="298">
                  <c:v>3.6117043376897162</c:v>
                </c:pt>
                <c:pt idx="299">
                  <c:v>3.4027075572838243</c:v>
                </c:pt>
                <c:pt idx="300">
                  <c:v>3.1936201754292712</c:v>
                </c:pt>
                <c:pt idx="301">
                  <c:v>2.9844255814878284</c:v>
                </c:pt>
                <c:pt idx="302">
                  <c:v>2.7751071077270733</c:v>
                </c:pt>
                <c:pt idx="303">
                  <c:v>2.5656480143114186</c:v>
                </c:pt>
                <c:pt idx="304">
                  <c:v>2.3560314752973448</c:v>
                </c:pt>
                <c:pt idx="305">
                  <c:v>2.1462405657166519</c:v>
                </c:pt>
                <c:pt idx="306">
                  <c:v>1.9362582498418965</c:v>
                </c:pt>
                <c:pt idx="307">
                  <c:v>1.7260673707295577</c:v>
                </c:pt>
                <c:pt idx="308">
                  <c:v>1.5156506411458257</c:v>
                </c:pt>
                <c:pt idx="309">
                  <c:v>1.3049906359833761</c:v>
                </c:pt>
                <c:pt idx="310">
                  <c:v>1.0940697862855344</c:v>
                </c:pt>
                <c:pt idx="311">
                  <c:v>0.88287037499794174</c:v>
                </c:pt>
                <c:pt idx="312">
                  <c:v>0.67137453457682839</c:v>
                </c:pt>
                <c:pt idx="313">
                  <c:v>0.45956424658501466</c:v>
                </c:pt>
                <c:pt idx="314">
                  <c:v>0.24742134341641653</c:v>
                </c:pt>
                <c:pt idx="315">
                  <c:v>3.4927512290996041E-2</c:v>
                </c:pt>
                <c:pt idx="316">
                  <c:v>-0.17793569833122086</c:v>
                </c:pt>
                <c:pt idx="317">
                  <c:v>-0.39118686976551287</c:v>
                </c:pt>
                <c:pt idx="318">
                  <c:v>-0.6048447013910786</c:v>
                </c:pt>
                <c:pt idx="319">
                  <c:v>-0.818927996058742</c:v>
                </c:pt>
                <c:pt idx="320">
                  <c:v>-1.0334556424582078</c:v>
                </c:pt>
                <c:pt idx="321">
                  <c:v>-1.2484465942887788</c:v>
                </c:pt>
                <c:pt idx="322">
                  <c:v>-1.4639198460799752</c:v>
                </c:pt>
                <c:pt idx="323">
                  <c:v>-1.6798944055103371</c:v>
                </c:pt>
                <c:pt idx="324">
                  <c:v>-1.8963892620809326</c:v>
                </c:pt>
                <c:pt idx="325">
                  <c:v>-2.1134233520068531</c:v>
                </c:pt>
                <c:pt idx="326">
                  <c:v>-2.3310155192021549</c:v>
                </c:pt>
                <c:pt idx="327">
                  <c:v>-2.5491844722448604</c:v>
                </c:pt>
                <c:pt idx="328">
                  <c:v>-2.7679487372266558</c:v>
                </c:pt>
                <c:pt idx="329">
                  <c:v>-2.9873266064112691</c:v>
                </c:pt>
                <c:pt idx="330">
                  <c:v>-3.2073360826449737</c:v>
                </c:pt>
                <c:pt idx="331">
                  <c:v>-3.4279948194921737</c:v>
                </c:pt>
                <c:pt idx="332">
                  <c:v>-3.6493200570953039</c:v>
                </c:pt>
                <c:pt idx="333">
                  <c:v>-3.8713285537924143</c:v>
                </c:pt>
                <c:pt idx="334">
                  <c:v>-4.0940365135603338</c:v>
                </c:pt>
                <c:pt idx="335">
                  <c:v>-4.3174595093934789</c:v>
                </c:pt>
                <c:pt idx="336">
                  <c:v>-4.5416124027672025</c:v>
                </c:pt>
                <c:pt idx="337">
                  <c:v>-4.76650925938619</c:v>
                </c:pt>
                <c:pt idx="338">
                  <c:v>-4.9921632614611795</c:v>
                </c:pt>
                <c:pt idx="339">
                  <c:v>-5.2185866168156734</c:v>
                </c:pt>
                <c:pt idx="340">
                  <c:v>-5.4457904651715294</c:v>
                </c:pt>
                <c:pt idx="341">
                  <c:v>-5.6737847820241081</c:v>
                </c:pt>
                <c:pt idx="342">
                  <c:v>-5.9025782805694522</c:v>
                </c:pt>
                <c:pt idx="343">
                  <c:v>-6.1321783122063351</c:v>
                </c:pt>
                <c:pt idx="344">
                  <c:v>-6.3625907661905812</c:v>
                </c:pt>
                <c:pt idx="345">
                  <c:v>-6.5938199690764137</c:v>
                </c:pt>
                <c:pt idx="346">
                  <c:v>-6.8258685846307419</c:v>
                </c:pt>
                <c:pt idx="347">
                  <c:v>-7.0587375149579685</c:v>
                </c:pt>
                <c:pt idx="348">
                  <c:v>-7.2924258036170428</c:v>
                </c:pt>
                <c:pt idx="349">
                  <c:v>-7.5269305415548686</c:v>
                </c:pt>
                <c:pt idx="350">
                  <c:v>-7.7622467767105405</c:v>
                </c:pt>
                <c:pt idx="351">
                  <c:v>-7.9983674281748094</c:v>
                </c:pt>
                <c:pt idx="352">
                  <c:v>-8.2352832058031318</c:v>
                </c:pt>
                <c:pt idx="353">
                  <c:v>-8.4729825361898712</c:v>
                </c:pt>
                <c:pt idx="354">
                  <c:v>-8.7114514959082694</c:v>
                </c:pt>
                <c:pt idx="355">
                  <c:v>-8.9506737529061002</c:v>
                </c:pt>
                <c:pt idx="356">
                  <c:v>-9.1906305169182616</c:v>
                </c:pt>
                <c:pt idx="357">
                  <c:v>-9.4313004997220524</c:v>
                </c:pt>
                <c:pt idx="358">
                  <c:v>-9.6726598860051674</c:v>
                </c:pt>
                <c:pt idx="359">
                  <c:v>-9.9146823155524757</c:v>
                </c:pt>
                <c:pt idx="360">
                  <c:v>-10.157338877381321</c:v>
                </c:pt>
                <c:pt idx="361">
                  <c:v>-10.400598116360529</c:v>
                </c:pt>
                <c:pt idx="362">
                  <c:v>-10.644426052751406</c:v>
                </c:pt>
                <c:pt idx="363">
                  <c:v>-10.888786214992773</c:v>
                </c:pt>
                <c:pt idx="364">
                  <c:v>-11.133639685929435</c:v>
                </c:pt>
                <c:pt idx="365">
                  <c:v>-11.378945162556215</c:v>
                </c:pt>
                <c:pt idx="366">
                  <c:v>-11.624659029209404</c:v>
                </c:pt>
                <c:pt idx="367">
                  <c:v>-11.870735443998697</c:v>
                </c:pt>
                <c:pt idx="368">
                  <c:v>-12.117126438125377</c:v>
                </c:pt>
                <c:pt idx="369">
                  <c:v>-12.36378202759315</c:v>
                </c:pt>
                <c:pt idx="370">
                  <c:v>-12.610650336669346</c:v>
                </c:pt>
                <c:pt idx="371">
                  <c:v>-12.857677732322115</c:v>
                </c:pt>
                <c:pt idx="372">
                  <c:v>-13.104808968721898</c:v>
                </c:pt>
                <c:pt idx="373">
                  <c:v>-13.351987340776006</c:v>
                </c:pt>
                <c:pt idx="374">
                  <c:v>-13.599154845551496</c:v>
                </c:pt>
                <c:pt idx="375">
                  <c:v>-13.846252350339498</c:v>
                </c:pt>
                <c:pt idx="376">
                  <c:v>-14.093219766034998</c:v>
                </c:pt>
                <c:pt idx="377">
                  <c:v>-14.339996224429775</c:v>
                </c:pt>
                <c:pt idx="378">
                  <c:v>-14.586520257969344</c:v>
                </c:pt>
                <c:pt idx="379">
                  <c:v>-14.832729980491838</c:v>
                </c:pt>
                <c:pt idx="380">
                  <c:v>-15.078563267447905</c:v>
                </c:pt>
                <c:pt idx="381">
                  <c:v>-15.323957934111563</c:v>
                </c:pt>
                <c:pt idx="382">
                  <c:v>-15.568851910311574</c:v>
                </c:pt>
                <c:pt idx="383">
                  <c:v>-15.813183410259267</c:v>
                </c:pt>
                <c:pt idx="384">
                  <c:v>-16.056891096109695</c:v>
                </c:pt>
                <c:pt idx="385">
                  <c:v>-16.299914233969229</c:v>
                </c:pt>
                <c:pt idx="386">
                  <c:v>-16.542192841161921</c:v>
                </c:pt>
                <c:pt idx="387">
                  <c:v>-16.783667823671394</c:v>
                </c:pt>
                <c:pt idx="388">
                  <c:v>-17.024281102799698</c:v>
                </c:pt>
                <c:pt idx="389">
                  <c:v>-17.263975730214195</c:v>
                </c:pt>
                <c:pt idx="390">
                  <c:v>-17.502695990695628</c:v>
                </c:pt>
                <c:pt idx="391">
                  <c:v>-17.740387492045233</c:v>
                </c:pt>
                <c:pt idx="392">
                  <c:v>-17.9769972417605</c:v>
                </c:pt>
                <c:pt idx="393">
                  <c:v>-18.212473710240037</c:v>
                </c:pt>
                <c:pt idx="394">
                  <c:v>-18.446766880429298</c:v>
                </c:pt>
                <c:pt idx="395">
                  <c:v>-18.679828283966856</c:v>
                </c:pt>
                <c:pt idx="396">
                  <c:v>-18.911611024035459</c:v>
                </c:pt>
                <c:pt idx="397">
                  <c:v>-19.14206978525727</c:v>
                </c:pt>
                <c:pt idx="398">
                  <c:v>-19.371160831103424</c:v>
                </c:pt>
                <c:pt idx="399">
                  <c:v>-19.598841989404086</c:v>
                </c:pt>
                <c:pt idx="400">
                  <c:v>-19.825072626654503</c:v>
                </c:pt>
                <c:pt idx="401">
                  <c:v>-20.049813611910444</c:v>
                </c:pt>
                <c:pt idx="402">
                  <c:v>-20.273027271144286</c:v>
                </c:pt>
                <c:pt idx="403">
                  <c:v>-20.494677333011285</c:v>
                </c:pt>
                <c:pt idx="404">
                  <c:v>-20.714728867024967</c:v>
                </c:pt>
                <c:pt idx="405">
                  <c:v>-20.933148215190652</c:v>
                </c:pt>
                <c:pt idx="406">
                  <c:v>-21.149902918174565</c:v>
                </c:pt>
                <c:pt idx="407">
                  <c:v>-21.364961637104045</c:v>
                </c:pt>
                <c:pt idx="408">
                  <c:v>-21.578294072103546</c:v>
                </c:pt>
                <c:pt idx="409">
                  <c:v>-21.789870878663589</c:v>
                </c:pt>
                <c:pt idx="410">
                  <c:v>-21.999663582927397</c:v>
                </c:pt>
                <c:pt idx="411">
                  <c:v>-22.207644496951534</c:v>
                </c:pt>
                <c:pt idx="412">
                  <c:v>-22.413786634967305</c:v>
                </c:pt>
                <c:pt idx="413">
                  <c:v>-22.61806363162507</c:v>
                </c:pt>
                <c:pt idx="414">
                  <c:v>-22.820449663156307</c:v>
                </c:pt>
                <c:pt idx="415">
                  <c:v>-23.020919372333868</c:v>
                </c:pt>
                <c:pt idx="416">
                  <c:v>-23.219447798050659</c:v>
                </c:pt>
                <c:pt idx="417">
                  <c:v>-23.416010310273517</c:v>
                </c:pt>
                <c:pt idx="418">
                  <c:v>-23.610582551058638</c:v>
                </c:pt>
                <c:pt idx="419">
                  <c:v>-23.803140382250405</c:v>
                </c:pt>
                <c:pt idx="420">
                  <c:v>-23.993659840402518</c:v>
                </c:pt>
                <c:pt idx="421">
                  <c:v>-24.182117099393885</c:v>
                </c:pt>
                <c:pt idx="422">
                  <c:v>-24.368488441130808</c:v>
                </c:pt>
                <c:pt idx="423">
                  <c:v>-24.552750234648283</c:v>
                </c:pt>
                <c:pt idx="424">
                  <c:v>-24.734878923848814</c:v>
                </c:pt>
                <c:pt idx="425">
                  <c:v>-24.914851024033219</c:v>
                </c:pt>
                <c:pt idx="426">
                  <c:v>-25.092643127303596</c:v>
                </c:pt>
                <c:pt idx="427">
                  <c:v>-25.268231916835809</c:v>
                </c:pt>
                <c:pt idx="428">
                  <c:v>-25.441594189943523</c:v>
                </c:pt>
                <c:pt idx="429">
                  <c:v>-25.612706889775957</c:v>
                </c:pt>
                <c:pt idx="430">
                  <c:v>-25.781547145415797</c:v>
                </c:pt>
                <c:pt idx="431">
                  <c:v>-25.948092320068135</c:v>
                </c:pt>
                <c:pt idx="432">
                  <c:v>-26.112320066957906</c:v>
                </c:pt>
                <c:pt idx="433">
                  <c:v>-26.274208392480823</c:v>
                </c:pt>
                <c:pt idx="434">
                  <c:v>-26.433735726085903</c:v>
                </c:pt>
                <c:pt idx="435">
                  <c:v>-26.590880996300413</c:v>
                </c:pt>
                <c:pt idx="436">
                  <c:v>-26.745623712245834</c:v>
                </c:pt>
                <c:pt idx="437">
                  <c:v>-26.897944049938673</c:v>
                </c:pt>
                <c:pt idx="438">
                  <c:v>-27.047822942614623</c:v>
                </c:pt>
                <c:pt idx="439">
                  <c:v>-27.195242174269396</c:v>
                </c:pt>
                <c:pt idx="440">
                  <c:v>-27.340184475569522</c:v>
                </c:pt>
                <c:pt idx="441">
                  <c:v>-27.482633621252969</c:v>
                </c:pt>
                <c:pt idx="442">
                  <c:v>-27.622574528115052</c:v>
                </c:pt>
                <c:pt idx="443">
                  <c:v>-27.7599933526567</c:v>
                </c:pt>
                <c:pt idx="444">
                  <c:v>-27.89487758746699</c:v>
                </c:pt>
                <c:pt idx="445">
                  <c:v>-28.027216155411399</c:v>
                </c:pt>
                <c:pt idx="446">
                  <c:v>-28.15699950070961</c:v>
                </c:pt>
                <c:pt idx="447">
                  <c:v>-28.28421967600848</c:v>
                </c:pt>
                <c:pt idx="448">
                  <c:v>-28.408870424585992</c:v>
                </c:pt>
                <c:pt idx="449">
                  <c:v>-28.530947256865552</c:v>
                </c:pt>
                <c:pt idx="450">
                  <c:v>-28.650447520468283</c:v>
                </c:pt>
                <c:pt idx="451">
                  <c:v>-28.767370463094007</c:v>
                </c:pt>
                <c:pt idx="452">
                  <c:v>-28.881717287587513</c:v>
                </c:pt>
                <c:pt idx="453">
                  <c:v>-28.993491198626632</c:v>
                </c:pt>
                <c:pt idx="454">
                  <c:v>-29.102697440547345</c:v>
                </c:pt>
                <c:pt idx="455">
                  <c:v>-29.209343325915704</c:v>
                </c:pt>
                <c:pt idx="456">
                  <c:v>-29.313438254543904</c:v>
                </c:pt>
                <c:pt idx="457">
                  <c:v>-29.414993722748658</c:v>
                </c:pt>
                <c:pt idx="458">
                  <c:v>-29.514023322747384</c:v>
                </c:pt>
                <c:pt idx="459">
                  <c:v>-29.61054273218247</c:v>
                </c:pt>
                <c:pt idx="460">
                  <c:v>-29.704569693868098</c:v>
                </c:pt>
                <c:pt idx="461">
                  <c:v>-29.796123985940856</c:v>
                </c:pt>
                <c:pt idx="462">
                  <c:v>-29.885227382692932</c:v>
                </c:pt>
                <c:pt idx="463">
                  <c:v>-29.971903606447707</c:v>
                </c:pt>
                <c:pt idx="464">
                  <c:v>-30.056178270918238</c:v>
                </c:pt>
                <c:pt idx="465">
                  <c:v>-30.13807881656119</c:v>
                </c:pt>
                <c:pt idx="466">
                  <c:v>-30.217634438501197</c:v>
                </c:pt>
                <c:pt idx="467">
                  <c:v>-30.294876007655922</c:v>
                </c:pt>
                <c:pt idx="468">
                  <c:v>-30.369835985737712</c:v>
                </c:pt>
                <c:pt idx="469">
                  <c:v>-30.442548334840069</c:v>
                </c:pt>
                <c:pt idx="470">
                  <c:v>-30.51304842234871</c:v>
                </c:pt>
                <c:pt idx="471">
                  <c:v>-30.581372921925698</c:v>
                </c:pt>
                <c:pt idx="472">
                  <c:v>-30.647559711326512</c:v>
                </c:pt>
                <c:pt idx="473">
                  <c:v>-30.711647767806411</c:v>
                </c:pt>
                <c:pt idx="474">
                  <c:v>-30.773677061858905</c:v>
                </c:pt>
                <c:pt idx="475">
                  <c:v>-30.833688450010044</c:v>
                </c:pt>
                <c:pt idx="476">
                  <c:v>-30.891723567371272</c:v>
                </c:pt>
                <c:pt idx="477">
                  <c:v>-30.947824720610512</c:v>
                </c:pt>
                <c:pt idx="478">
                  <c:v>-31.002034781973794</c:v>
                </c:pt>
                <c:pt idx="479">
                  <c:v>-31.054397084939744</c:v>
                </c:pt>
                <c:pt idx="480">
                  <c:v>-31.104955322043828</c:v>
                </c:pt>
                <c:pt idx="481">
                  <c:v>-31.15375344536552</c:v>
                </c:pt>
                <c:pt idx="482">
                  <c:v>-31.200835570110605</c:v>
                </c:pt>
                <c:pt idx="483">
                  <c:v>-31.246245881679386</c:v>
                </c:pt>
                <c:pt idx="484">
                  <c:v>-31.290028546552655</c:v>
                </c:pt>
                <c:pt idx="485">
                  <c:v>-31.332227627276239</c:v>
                </c:pt>
                <c:pt idx="486">
                  <c:v>-31.372887001777276</c:v>
                </c:pt>
                <c:pt idx="487">
                  <c:v>-31.412050287193367</c:v>
                </c:pt>
                <c:pt idx="488">
                  <c:v>-31.449760768349698</c:v>
                </c:pt>
                <c:pt idx="489">
                  <c:v>-31.486061330976149</c:v>
                </c:pt>
                <c:pt idx="490">
                  <c:v>-31.520994399711807</c:v>
                </c:pt>
                <c:pt idx="491">
                  <c:v>-31.554601880911473</c:v>
                </c:pt>
                <c:pt idx="492">
                  <c:v>-31.586925110225074</c:v>
                </c:pt>
                <c:pt idx="493">
                  <c:v>-31.618004804898732</c:v>
                </c:pt>
                <c:pt idx="494">
                  <c:v>-31.647881020710575</c:v>
                </c:pt>
                <c:pt idx="495">
                  <c:v>-31.676593113431938</c:v>
                </c:pt>
                <c:pt idx="496">
                  <c:v>-31.704179704684087</c:v>
                </c:pt>
                <c:pt idx="497">
                  <c:v>-31.730678652039291</c:v>
                </c:pt>
                <c:pt idx="498">
                  <c:v>-31.75612702320279</c:v>
                </c:pt>
                <c:pt idx="499">
                  <c:v>-31.780561074096561</c:v>
                </c:pt>
                <c:pt idx="500">
                  <c:v>-31.804016230658462</c:v>
                </c:pt>
                <c:pt idx="501">
                  <c:v>-31.826527074162776</c:v>
                </c:pt>
                <c:pt idx="502">
                  <c:v>-31.848127329860439</c:v>
                </c:pt>
                <c:pt idx="503">
                  <c:v>-31.868849858739395</c:v>
                </c:pt>
                <c:pt idx="504">
                  <c:v>-31.888726652201193</c:v>
                </c:pt>
                <c:pt idx="505">
                  <c:v>-31.907788829450471</c:v>
                </c:pt>
                <c:pt idx="506">
                  <c:v>-31.926066637398446</c:v>
                </c:pt>
                <c:pt idx="507">
                  <c:v>-31.943589452885579</c:v>
                </c:pt>
                <c:pt idx="508">
                  <c:v>-31.960385787028656</c:v>
                </c:pt>
                <c:pt idx="509">
                  <c:v>-31.976483291510114</c:v>
                </c:pt>
                <c:pt idx="510">
                  <c:v>-31.991908766628061</c:v>
                </c:pt>
                <c:pt idx="511">
                  <c:v>-32.00668817093613</c:v>
                </c:pt>
                <c:pt idx="512">
                  <c:v>-32.020846632307368</c:v>
                </c:pt>
                <c:pt idx="513">
                  <c:v>-32.03440846026691</c:v>
                </c:pt>
                <c:pt idx="514">
                  <c:v>-32.047397159444621</c:v>
                </c:pt>
                <c:pt idx="515">
                  <c:v>-32.059835444006332</c:v>
                </c:pt>
                <c:pt idx="516">
                  <c:v>-32.071745252933589</c:v>
                </c:pt>
                <c:pt idx="517">
                  <c:v>-32.083147766027516</c:v>
                </c:pt>
                <c:pt idx="518">
                  <c:v>-32.094063420521934</c:v>
                </c:pt>
                <c:pt idx="519">
                  <c:v>-32.104511928197581</c:v>
                </c:pt>
                <c:pt idx="520">
                  <c:v>-32.114512292900613</c:v>
                </c:pt>
                <c:pt idx="521">
                  <c:v>-32.124082828370312</c:v>
                </c:pt>
                <c:pt idx="522">
                  <c:v>-32.133241176295144</c:v>
                </c:pt>
                <c:pt idx="523">
                  <c:v>-32.142004324517501</c:v>
                </c:pt>
                <c:pt idx="524">
                  <c:v>-32.150388625318428</c:v>
                </c:pt>
                <c:pt idx="525">
                  <c:v>-32.158409813716496</c:v>
                </c:pt>
                <c:pt idx="526">
                  <c:v>-32.166083025726103</c:v>
                </c:pt>
                <c:pt idx="527">
                  <c:v>-32.173422816519036</c:v>
                </c:pt>
                <c:pt idx="528">
                  <c:v>-32.180443178446097</c:v>
                </c:pt>
                <c:pt idx="529">
                  <c:v>-32.187157558875342</c:v>
                </c:pt>
                <c:pt idx="530">
                  <c:v>-32.193578877811163</c:v>
                </c:pt>
                <c:pt idx="531">
                  <c:v>-32.19971954526018</c:v>
                </c:pt>
                <c:pt idx="532">
                  <c:v>-32.205591478318802</c:v>
                </c:pt>
                <c:pt idx="533">
                  <c:v>-32.211206117954099</c:v>
                </c:pt>
                <c:pt idx="534">
                  <c:v>-32.216574445460409</c:v>
                </c:pt>
                <c:pt idx="535">
                  <c:v>-32.221706998571925</c:v>
                </c:pt>
                <c:pt idx="536">
                  <c:v>-32.226613887218626</c:v>
                </c:pt>
                <c:pt idx="537">
                  <c:v>-32.231304808910707</c:v>
                </c:pt>
                <c:pt idx="538">
                  <c:v>-32.235789063745017</c:v>
                </c:pt>
                <c:pt idx="539">
                  <c:v>-32.240075569024519</c:v>
                </c:pt>
                <c:pt idx="540">
                  <c:v>-32.244172873486747</c:v>
                </c:pt>
                <c:pt idx="541">
                  <c:v>-32.248089171137075</c:v>
                </c:pt>
              </c:numCache>
            </c:numRef>
          </c:yVal>
          <c:smooth val="1"/>
          <c:extLst>
            <c:ext xmlns:c16="http://schemas.microsoft.com/office/drawing/2014/chart" uri="{C3380CC4-5D6E-409C-BE32-E72D297353CC}">
              <c16:uniqueId val="{00000000-F11A-4C29-9835-786B9CEC5C6A}"/>
            </c:ext>
          </c:extLst>
        </c:ser>
        <c:dLbls>
          <c:showLegendKey val="0"/>
          <c:showVal val="0"/>
          <c:showCatName val="0"/>
          <c:showSerName val="0"/>
          <c:showPercent val="0"/>
          <c:showBubbleSize val="0"/>
        </c:dLbls>
        <c:axId val="555344640"/>
        <c:axId val="555346560"/>
      </c:scatterChart>
      <c:scatterChart>
        <c:scatterStyle val="smoothMarker"/>
        <c:varyColors val="0"/>
        <c:ser>
          <c:idx val="1"/>
          <c:order val="1"/>
          <c:spPr>
            <a:ln w="38100">
              <a:solidFill>
                <a:schemeClr val="tx1">
                  <a:lumMod val="95000"/>
                  <a:lumOff val="5000"/>
                </a:schemeClr>
              </a:solidFill>
              <a:prstDash val="sysDash"/>
            </a:ln>
          </c:spPr>
          <c:marker>
            <c:symbol val="none"/>
          </c:marker>
          <c:xVal>
            <c:numRef>
              <c:f>Loop_Modeling!$O$19:$O$560</c:f>
              <c:numCache>
                <c:formatCode>0.00</c:formatCode>
                <c:ptCount val="542"/>
                <c:pt idx="0">
                  <c:v>10.232929922807543</c:v>
                </c:pt>
                <c:pt idx="1">
                  <c:v>10.471285480509</c:v>
                </c:pt>
                <c:pt idx="2">
                  <c:v>10.715193052376069</c:v>
                </c:pt>
                <c:pt idx="3">
                  <c:v>10.964781961431854</c:v>
                </c:pt>
                <c:pt idx="4">
                  <c:v>11.220184543019636</c:v>
                </c:pt>
                <c:pt idx="5">
                  <c:v>11.481536214968834</c:v>
                </c:pt>
                <c:pt idx="6">
                  <c:v>11.748975549395301</c:v>
                </c:pt>
                <c:pt idx="7">
                  <c:v>12.022644346174133</c:v>
                </c:pt>
                <c:pt idx="8">
                  <c:v>12.302687708123818</c:v>
                </c:pt>
                <c:pt idx="9">
                  <c:v>12.58925411794168</c:v>
                </c:pt>
                <c:pt idx="10">
                  <c:v>12.882495516931346</c:v>
                </c:pt>
                <c:pt idx="11">
                  <c:v>13.182567385564075</c:v>
                </c:pt>
                <c:pt idx="12">
                  <c:v>13.489628825916535</c:v>
                </c:pt>
                <c:pt idx="13">
                  <c:v>13.803842646028857</c:v>
                </c:pt>
                <c:pt idx="14">
                  <c:v>14.125375446227544</c:v>
                </c:pt>
                <c:pt idx="15">
                  <c:v>14.454397707459275</c:v>
                </c:pt>
                <c:pt idx="16">
                  <c:v>14.791083881682074</c:v>
                </c:pt>
                <c:pt idx="17">
                  <c:v>15.135612484362087</c:v>
                </c:pt>
                <c:pt idx="18">
                  <c:v>15.488166189124817</c:v>
                </c:pt>
                <c:pt idx="19">
                  <c:v>15.848931924611136</c:v>
                </c:pt>
                <c:pt idx="20">
                  <c:v>16.218100973589298</c:v>
                </c:pt>
                <c:pt idx="21">
                  <c:v>16.595869074375614</c:v>
                </c:pt>
                <c:pt idx="22">
                  <c:v>16.982436524617448</c:v>
                </c:pt>
                <c:pt idx="23">
                  <c:v>17.378008287493756</c:v>
                </c:pt>
                <c:pt idx="24">
                  <c:v>17.782794100389236</c:v>
                </c:pt>
                <c:pt idx="25">
                  <c:v>18.197008586099841</c:v>
                </c:pt>
                <c:pt idx="26">
                  <c:v>18.62087136662868</c:v>
                </c:pt>
                <c:pt idx="27">
                  <c:v>19.054607179632477</c:v>
                </c:pt>
                <c:pt idx="28">
                  <c:v>19.498445997580465</c:v>
                </c:pt>
                <c:pt idx="29">
                  <c:v>19.952623149688804</c:v>
                </c:pt>
                <c:pt idx="30">
                  <c:v>20.4173794466953</c:v>
                </c:pt>
                <c:pt idx="31">
                  <c:v>20.8929613085404</c:v>
                </c:pt>
                <c:pt idx="32">
                  <c:v>21.379620895022335</c:v>
                </c:pt>
                <c:pt idx="33">
                  <c:v>21.877616239495538</c:v>
                </c:pt>
                <c:pt idx="34">
                  <c:v>22.387211385683404</c:v>
                </c:pt>
                <c:pt idx="35">
                  <c:v>22.908676527677727</c:v>
                </c:pt>
                <c:pt idx="36">
                  <c:v>23.442288153199236</c:v>
                </c:pt>
                <c:pt idx="37">
                  <c:v>23.988329190194907</c:v>
                </c:pt>
                <c:pt idx="38">
                  <c:v>24.547089156850316</c:v>
                </c:pt>
                <c:pt idx="39">
                  <c:v>25.118864315095799</c:v>
                </c:pt>
                <c:pt idx="40">
                  <c:v>25.703957827688647</c:v>
                </c:pt>
                <c:pt idx="41">
                  <c:v>26.302679918953825</c:v>
                </c:pt>
                <c:pt idx="42">
                  <c:v>26.915348039269158</c:v>
                </c:pt>
                <c:pt idx="43">
                  <c:v>27.542287033381665</c:v>
                </c:pt>
                <c:pt idx="44">
                  <c:v>28.183829312644548</c:v>
                </c:pt>
                <c:pt idx="45">
                  <c:v>28.840315031266066</c:v>
                </c:pt>
                <c:pt idx="46">
                  <c:v>29.512092266663863</c:v>
                </c:pt>
                <c:pt idx="47">
                  <c:v>30.199517204020164</c:v>
                </c:pt>
                <c:pt idx="48">
                  <c:v>30.902954325135919</c:v>
                </c:pt>
                <c:pt idx="49">
                  <c:v>31.622776601683803</c:v>
                </c:pt>
                <c:pt idx="50">
                  <c:v>32.359365692962832</c:v>
                </c:pt>
                <c:pt idx="51">
                  <c:v>33.113112148259127</c:v>
                </c:pt>
                <c:pt idx="52">
                  <c:v>33.884415613920268</c:v>
                </c:pt>
                <c:pt idx="53">
                  <c:v>34.67368504525318</c:v>
                </c:pt>
                <c:pt idx="54">
                  <c:v>35.481338923357555</c:v>
                </c:pt>
                <c:pt idx="55">
                  <c:v>36.307805477010156</c:v>
                </c:pt>
                <c:pt idx="56">
                  <c:v>37.15352290971726</c:v>
                </c:pt>
                <c:pt idx="57">
                  <c:v>38.018939632056139</c:v>
                </c:pt>
                <c:pt idx="58">
                  <c:v>38.904514499428053</c:v>
                </c:pt>
                <c:pt idx="59">
                  <c:v>39.810717055349755</c:v>
                </c:pt>
                <c:pt idx="60">
                  <c:v>40.738027780411279</c:v>
                </c:pt>
                <c:pt idx="61">
                  <c:v>41.686938347033561</c:v>
                </c:pt>
                <c:pt idx="62">
                  <c:v>42.657951880159267</c:v>
                </c:pt>
                <c:pt idx="63">
                  <c:v>43.651583224016633</c:v>
                </c:pt>
                <c:pt idx="64">
                  <c:v>44.668359215096324</c:v>
                </c:pt>
                <c:pt idx="65">
                  <c:v>45.70881896148753</c:v>
                </c:pt>
                <c:pt idx="66">
                  <c:v>46.773514128719818</c:v>
                </c:pt>
                <c:pt idx="67">
                  <c:v>47.863009232263877</c:v>
                </c:pt>
                <c:pt idx="68">
                  <c:v>48.977881936844632</c:v>
                </c:pt>
                <c:pt idx="69">
                  <c:v>50.118723362727238</c:v>
                </c:pt>
                <c:pt idx="70">
                  <c:v>51.28613839913649</c:v>
                </c:pt>
                <c:pt idx="71">
                  <c:v>52.480746024977286</c:v>
                </c:pt>
                <c:pt idx="72">
                  <c:v>53.703179637025293</c:v>
                </c:pt>
                <c:pt idx="73">
                  <c:v>54.95408738576247</c:v>
                </c:pt>
                <c:pt idx="74">
                  <c:v>56.234132519034915</c:v>
                </c:pt>
                <c:pt idx="75">
                  <c:v>57.543993733715695</c:v>
                </c:pt>
                <c:pt idx="76">
                  <c:v>58.884365535558949</c:v>
                </c:pt>
                <c:pt idx="77">
                  <c:v>60.255958607435822</c:v>
                </c:pt>
                <c:pt idx="78">
                  <c:v>61.659500186148257</c:v>
                </c:pt>
                <c:pt idx="79">
                  <c:v>63.095734448019364</c:v>
                </c:pt>
                <c:pt idx="80">
                  <c:v>64.565422903465588</c:v>
                </c:pt>
                <c:pt idx="81">
                  <c:v>66.069344800759623</c:v>
                </c:pt>
                <c:pt idx="82">
                  <c:v>67.60829753919819</c:v>
                </c:pt>
                <c:pt idx="83">
                  <c:v>69.183097091893657</c:v>
                </c:pt>
                <c:pt idx="84">
                  <c:v>70.794578438413865</c:v>
                </c:pt>
                <c:pt idx="85">
                  <c:v>72.443596007499011</c:v>
                </c:pt>
                <c:pt idx="86">
                  <c:v>74.131024130091816</c:v>
                </c:pt>
                <c:pt idx="87">
                  <c:v>75.857757502918361</c:v>
                </c:pt>
                <c:pt idx="88">
                  <c:v>77.624711662869217</c:v>
                </c:pt>
                <c:pt idx="89">
                  <c:v>79.432823472428197</c:v>
                </c:pt>
                <c:pt idx="90">
                  <c:v>81.283051616409963</c:v>
                </c:pt>
                <c:pt idx="91">
                  <c:v>83.176377110267126</c:v>
                </c:pt>
                <c:pt idx="92">
                  <c:v>85.113803820237734</c:v>
                </c:pt>
                <c:pt idx="93">
                  <c:v>87.096358995608071</c:v>
                </c:pt>
                <c:pt idx="94">
                  <c:v>89.125093813374562</c:v>
                </c:pt>
                <c:pt idx="95">
                  <c:v>91.201083935590972</c:v>
                </c:pt>
                <c:pt idx="96">
                  <c:v>93.325430079699174</c:v>
                </c:pt>
                <c:pt idx="97">
                  <c:v>95.499258602143655</c:v>
                </c:pt>
                <c:pt idx="98">
                  <c:v>97.723722095581124</c:v>
                </c:pt>
                <c:pt idx="99">
                  <c:v>100</c:v>
                </c:pt>
                <c:pt idx="100">
                  <c:v>102.32929922807544</c:v>
                </c:pt>
                <c:pt idx="101">
                  <c:v>104.71285480508998</c:v>
                </c:pt>
                <c:pt idx="102">
                  <c:v>107.15193052376065</c:v>
                </c:pt>
                <c:pt idx="103">
                  <c:v>109.64781961431861</c:v>
                </c:pt>
                <c:pt idx="104">
                  <c:v>112.20184543019634</c:v>
                </c:pt>
                <c:pt idx="105">
                  <c:v>114.81536214968835</c:v>
                </c:pt>
                <c:pt idx="106">
                  <c:v>117.48975549395293</c:v>
                </c:pt>
                <c:pt idx="107">
                  <c:v>120.22644346174135</c:v>
                </c:pt>
                <c:pt idx="108">
                  <c:v>123.02687708123821</c:v>
                </c:pt>
                <c:pt idx="109">
                  <c:v>125.89254117941677</c:v>
                </c:pt>
                <c:pt idx="110">
                  <c:v>128.82495516931343</c:v>
                </c:pt>
                <c:pt idx="111">
                  <c:v>131.82567385564084</c:v>
                </c:pt>
                <c:pt idx="112">
                  <c:v>134.89628825916537</c:v>
                </c:pt>
                <c:pt idx="113">
                  <c:v>138.0384264602886</c:v>
                </c:pt>
                <c:pt idx="114">
                  <c:v>141.25375446227542</c:v>
                </c:pt>
                <c:pt idx="115">
                  <c:v>144.54397707459285</c:v>
                </c:pt>
                <c:pt idx="116">
                  <c:v>147.91083881682084</c:v>
                </c:pt>
                <c:pt idx="117">
                  <c:v>151.3561248436209</c:v>
                </c:pt>
                <c:pt idx="118">
                  <c:v>154.8816618912482</c:v>
                </c:pt>
                <c:pt idx="119">
                  <c:v>158.48931924611153</c:v>
                </c:pt>
                <c:pt idx="120">
                  <c:v>162.18100973589304</c:v>
                </c:pt>
                <c:pt idx="121">
                  <c:v>165.95869074375622</c:v>
                </c:pt>
                <c:pt idx="122">
                  <c:v>169.82436524617444</c:v>
                </c:pt>
                <c:pt idx="123">
                  <c:v>173.78008287493768</c:v>
                </c:pt>
                <c:pt idx="124">
                  <c:v>177.82794100389242</c:v>
                </c:pt>
                <c:pt idx="125">
                  <c:v>181.9700858609983</c:v>
                </c:pt>
                <c:pt idx="126">
                  <c:v>186.20871366628685</c:v>
                </c:pt>
                <c:pt idx="127">
                  <c:v>190.54607179632498</c:v>
                </c:pt>
                <c:pt idx="128">
                  <c:v>194.98445997580458</c:v>
                </c:pt>
                <c:pt idx="129">
                  <c:v>199.52623149688802</c:v>
                </c:pt>
                <c:pt idx="130">
                  <c:v>204.17379446695315</c:v>
                </c:pt>
                <c:pt idx="131">
                  <c:v>208.92961308540396</c:v>
                </c:pt>
                <c:pt idx="132">
                  <c:v>213.79620895022339</c:v>
                </c:pt>
                <c:pt idx="133">
                  <c:v>218.77616239495524</c:v>
                </c:pt>
                <c:pt idx="134">
                  <c:v>223.87211385683412</c:v>
                </c:pt>
                <c:pt idx="135">
                  <c:v>229.08676527677744</c:v>
                </c:pt>
                <c:pt idx="136">
                  <c:v>234.42288153199232</c:v>
                </c:pt>
                <c:pt idx="137">
                  <c:v>239.88329190194912</c:v>
                </c:pt>
                <c:pt idx="138">
                  <c:v>245.4708915685033</c:v>
                </c:pt>
                <c:pt idx="139">
                  <c:v>251.18864315095806</c:v>
                </c:pt>
                <c:pt idx="140">
                  <c:v>257.03957827688663</c:v>
                </c:pt>
                <c:pt idx="141">
                  <c:v>263.02679918953817</c:v>
                </c:pt>
                <c:pt idx="142">
                  <c:v>269.15348039269179</c:v>
                </c:pt>
                <c:pt idx="143">
                  <c:v>275.42287033381683</c:v>
                </c:pt>
                <c:pt idx="144">
                  <c:v>281.83829312644554</c:v>
                </c:pt>
                <c:pt idx="145">
                  <c:v>288.40315031266073</c:v>
                </c:pt>
                <c:pt idx="146">
                  <c:v>295.12092266663871</c:v>
                </c:pt>
                <c:pt idx="147">
                  <c:v>301.99517204020168</c:v>
                </c:pt>
                <c:pt idx="148">
                  <c:v>309.02954325135937</c:v>
                </c:pt>
                <c:pt idx="149">
                  <c:v>316.22776601683825</c:v>
                </c:pt>
                <c:pt idx="150">
                  <c:v>323.59365692962825</c:v>
                </c:pt>
                <c:pt idx="151">
                  <c:v>331.13112148259137</c:v>
                </c:pt>
                <c:pt idx="152">
                  <c:v>338.84415613920277</c:v>
                </c:pt>
                <c:pt idx="153">
                  <c:v>346.73685045253183</c:v>
                </c:pt>
                <c:pt idx="154">
                  <c:v>354.81338923357566</c:v>
                </c:pt>
                <c:pt idx="155">
                  <c:v>363.07805477010152</c:v>
                </c:pt>
                <c:pt idx="156">
                  <c:v>371.53522909717265</c:v>
                </c:pt>
                <c:pt idx="157">
                  <c:v>380.18939632056163</c:v>
                </c:pt>
                <c:pt idx="158">
                  <c:v>389.04514499428063</c:v>
                </c:pt>
                <c:pt idx="159">
                  <c:v>398.10717055349761</c:v>
                </c:pt>
                <c:pt idx="160">
                  <c:v>407.38027780411272</c:v>
                </c:pt>
                <c:pt idx="161">
                  <c:v>416.86938347033572</c:v>
                </c:pt>
                <c:pt idx="162">
                  <c:v>426.57951880159294</c:v>
                </c:pt>
                <c:pt idx="163">
                  <c:v>436.51583224016622</c:v>
                </c:pt>
                <c:pt idx="164">
                  <c:v>446.68359215096331</c:v>
                </c:pt>
                <c:pt idx="165">
                  <c:v>457.0881896148756</c:v>
                </c:pt>
                <c:pt idx="166">
                  <c:v>467.7351412871983</c:v>
                </c:pt>
                <c:pt idx="167">
                  <c:v>478.63009232263886</c:v>
                </c:pt>
                <c:pt idx="168">
                  <c:v>489.77881936844625</c:v>
                </c:pt>
                <c:pt idx="169">
                  <c:v>501.18723362727269</c:v>
                </c:pt>
                <c:pt idx="170">
                  <c:v>512.86138399136519</c:v>
                </c:pt>
                <c:pt idx="171">
                  <c:v>524.80746024977248</c:v>
                </c:pt>
                <c:pt idx="172">
                  <c:v>537.03179637025301</c:v>
                </c:pt>
                <c:pt idx="173">
                  <c:v>549.54087385762534</c:v>
                </c:pt>
                <c:pt idx="174">
                  <c:v>562.34132519034927</c:v>
                </c:pt>
                <c:pt idx="175">
                  <c:v>575.43993733715706</c:v>
                </c:pt>
                <c:pt idx="176">
                  <c:v>588.84365535558959</c:v>
                </c:pt>
                <c:pt idx="177">
                  <c:v>602.55958607435832</c:v>
                </c:pt>
                <c:pt idx="178">
                  <c:v>616.59500186148273</c:v>
                </c:pt>
                <c:pt idx="179">
                  <c:v>630.95734448019323</c:v>
                </c:pt>
                <c:pt idx="180">
                  <c:v>645.65422903465594</c:v>
                </c:pt>
                <c:pt idx="181">
                  <c:v>660.69344800759643</c:v>
                </c:pt>
                <c:pt idx="182">
                  <c:v>676.08297539198213</c:v>
                </c:pt>
                <c:pt idx="183">
                  <c:v>691.83097091893671</c:v>
                </c:pt>
                <c:pt idx="184">
                  <c:v>707.94578438413873</c:v>
                </c:pt>
                <c:pt idx="185">
                  <c:v>724.43596007499025</c:v>
                </c:pt>
                <c:pt idx="186">
                  <c:v>741.31024130091828</c:v>
                </c:pt>
                <c:pt idx="187">
                  <c:v>758.57757502918378</c:v>
                </c:pt>
                <c:pt idx="188">
                  <c:v>776.24711662869231</c:v>
                </c:pt>
                <c:pt idx="189">
                  <c:v>794.32823472428208</c:v>
                </c:pt>
                <c:pt idx="190">
                  <c:v>812.83051616409978</c:v>
                </c:pt>
                <c:pt idx="191">
                  <c:v>831.7637711026714</c:v>
                </c:pt>
                <c:pt idx="192">
                  <c:v>851.13803820237763</c:v>
                </c:pt>
                <c:pt idx="193">
                  <c:v>870.96358995608091</c:v>
                </c:pt>
                <c:pt idx="194">
                  <c:v>891.25093813374656</c:v>
                </c:pt>
                <c:pt idx="195">
                  <c:v>912.01083935590987</c:v>
                </c:pt>
                <c:pt idx="196">
                  <c:v>933.25430079699106</c:v>
                </c:pt>
                <c:pt idx="197">
                  <c:v>954.99258602143675</c:v>
                </c:pt>
                <c:pt idx="198">
                  <c:v>977.23722095581138</c:v>
                </c:pt>
                <c:pt idx="199">
                  <c:v>1000</c:v>
                </c:pt>
                <c:pt idx="200">
                  <c:v>1023.2929922807547</c:v>
                </c:pt>
                <c:pt idx="201">
                  <c:v>1047.1285480509</c:v>
                </c:pt>
                <c:pt idx="202">
                  <c:v>1071.5193052376069</c:v>
                </c:pt>
                <c:pt idx="203">
                  <c:v>1096.4781961431863</c:v>
                </c:pt>
                <c:pt idx="204">
                  <c:v>1122.0184543019636</c:v>
                </c:pt>
                <c:pt idx="205">
                  <c:v>1148.1536214968839</c:v>
                </c:pt>
                <c:pt idx="206">
                  <c:v>1174.8975549395295</c:v>
                </c:pt>
                <c:pt idx="207">
                  <c:v>1202.2644346174138</c:v>
                </c:pt>
                <c:pt idx="208">
                  <c:v>1230.2687708123824</c:v>
                </c:pt>
                <c:pt idx="209">
                  <c:v>1258.925411794168</c:v>
                </c:pt>
                <c:pt idx="210">
                  <c:v>1288.2495516931347</c:v>
                </c:pt>
                <c:pt idx="211">
                  <c:v>1318.2567385564089</c:v>
                </c:pt>
                <c:pt idx="212">
                  <c:v>1348.9628825916541</c:v>
                </c:pt>
                <c:pt idx="213">
                  <c:v>1380.3842646028863</c:v>
                </c:pt>
                <c:pt idx="214">
                  <c:v>1412.5375446227545</c:v>
                </c:pt>
                <c:pt idx="215">
                  <c:v>1445.4397707459289</c:v>
                </c:pt>
                <c:pt idx="216">
                  <c:v>1479.1083881682086</c:v>
                </c:pt>
                <c:pt idx="217">
                  <c:v>1513.5612484362093</c:v>
                </c:pt>
                <c:pt idx="218">
                  <c:v>1548.8166189124822</c:v>
                </c:pt>
                <c:pt idx="219">
                  <c:v>1584.8931924611156</c:v>
                </c:pt>
                <c:pt idx="220">
                  <c:v>1621.8100973589308</c:v>
                </c:pt>
                <c:pt idx="221">
                  <c:v>1659.5869074375626</c:v>
                </c:pt>
                <c:pt idx="222">
                  <c:v>1698.2436524617447</c:v>
                </c:pt>
                <c:pt idx="223">
                  <c:v>1737.8008287493772</c:v>
                </c:pt>
                <c:pt idx="224">
                  <c:v>1778.2794100389244</c:v>
                </c:pt>
                <c:pt idx="225">
                  <c:v>1819.7008586099832</c:v>
                </c:pt>
                <c:pt idx="226">
                  <c:v>1862.0871366628687</c:v>
                </c:pt>
                <c:pt idx="227">
                  <c:v>1905.4607179632501</c:v>
                </c:pt>
                <c:pt idx="228">
                  <c:v>1949.8445997580463</c:v>
                </c:pt>
                <c:pt idx="229">
                  <c:v>1995.2623149688804</c:v>
                </c:pt>
                <c:pt idx="230">
                  <c:v>2041.7379446695318</c:v>
                </c:pt>
                <c:pt idx="231">
                  <c:v>2089.2961308540398</c:v>
                </c:pt>
                <c:pt idx="232">
                  <c:v>2137.9620895022344</c:v>
                </c:pt>
                <c:pt idx="233">
                  <c:v>2187.7616239495528</c:v>
                </c:pt>
                <c:pt idx="234">
                  <c:v>2238.7211385683418</c:v>
                </c:pt>
                <c:pt idx="235">
                  <c:v>2290.8676527677749</c:v>
                </c:pt>
                <c:pt idx="236">
                  <c:v>2344.2288153199238</c:v>
                </c:pt>
                <c:pt idx="237">
                  <c:v>2398.8329190194918</c:v>
                </c:pt>
                <c:pt idx="238">
                  <c:v>2454.7089156850338</c:v>
                </c:pt>
                <c:pt idx="239">
                  <c:v>2511.8864315095811</c:v>
                </c:pt>
                <c:pt idx="240">
                  <c:v>2570.3957827688669</c:v>
                </c:pt>
                <c:pt idx="241">
                  <c:v>2630.2679918953822</c:v>
                </c:pt>
                <c:pt idx="242">
                  <c:v>2691.5348039269184</c:v>
                </c:pt>
                <c:pt idx="243">
                  <c:v>2754.228703338169</c:v>
                </c:pt>
                <c:pt idx="244">
                  <c:v>2818.3829312644561</c:v>
                </c:pt>
                <c:pt idx="245">
                  <c:v>2884.0315031266077</c:v>
                </c:pt>
                <c:pt idx="246">
                  <c:v>2951.2092266663876</c:v>
                </c:pt>
                <c:pt idx="247">
                  <c:v>3019.9517204020176</c:v>
                </c:pt>
                <c:pt idx="248">
                  <c:v>3090.295432513592</c:v>
                </c:pt>
                <c:pt idx="249">
                  <c:v>3162.2776601683804</c:v>
                </c:pt>
                <c:pt idx="250">
                  <c:v>3235.9365692962833</c:v>
                </c:pt>
                <c:pt idx="251">
                  <c:v>3311.3112148259115</c:v>
                </c:pt>
                <c:pt idx="252">
                  <c:v>3388.4415613920314</c:v>
                </c:pt>
                <c:pt idx="253">
                  <c:v>3467.3685045253224</c:v>
                </c:pt>
                <c:pt idx="254">
                  <c:v>3548.1338923357539</c:v>
                </c:pt>
                <c:pt idx="255">
                  <c:v>3630.7805477010188</c:v>
                </c:pt>
                <c:pt idx="256">
                  <c:v>3715.352290971724</c:v>
                </c:pt>
                <c:pt idx="257">
                  <c:v>3801.8939632056172</c:v>
                </c:pt>
                <c:pt idx="258">
                  <c:v>3890.451449942811</c:v>
                </c:pt>
                <c:pt idx="259">
                  <c:v>3981.0717055349769</c:v>
                </c:pt>
                <c:pt idx="260">
                  <c:v>4073.8027780411317</c:v>
                </c:pt>
                <c:pt idx="261">
                  <c:v>4168.6938347033583</c:v>
                </c:pt>
                <c:pt idx="262">
                  <c:v>4265.7951880159299</c:v>
                </c:pt>
                <c:pt idx="263">
                  <c:v>4365.1583224016631</c:v>
                </c:pt>
                <c:pt idx="264">
                  <c:v>4466.8359215096343</c:v>
                </c:pt>
                <c:pt idx="265">
                  <c:v>4570.8818961487532</c:v>
                </c:pt>
                <c:pt idx="266">
                  <c:v>4677.3514128719844</c:v>
                </c:pt>
                <c:pt idx="267">
                  <c:v>4786.3009232263848</c:v>
                </c:pt>
                <c:pt idx="268">
                  <c:v>4897.7881936844633</c:v>
                </c:pt>
                <c:pt idx="269">
                  <c:v>5011.8723362727324</c:v>
                </c:pt>
                <c:pt idx="270">
                  <c:v>5128.6138399136489</c:v>
                </c:pt>
                <c:pt idx="271">
                  <c:v>5248.0746024977261</c:v>
                </c:pt>
                <c:pt idx="272">
                  <c:v>5370.3179637025269</c:v>
                </c:pt>
                <c:pt idx="273">
                  <c:v>5495.4087385762541</c:v>
                </c:pt>
                <c:pt idx="274">
                  <c:v>5623.4132519034993</c:v>
                </c:pt>
                <c:pt idx="275">
                  <c:v>5754.399373371567</c:v>
                </c:pt>
                <c:pt idx="276">
                  <c:v>5888.4365535558973</c:v>
                </c:pt>
                <c:pt idx="277">
                  <c:v>6025.595860743585</c:v>
                </c:pt>
                <c:pt idx="278">
                  <c:v>6165.9500186148289</c:v>
                </c:pt>
                <c:pt idx="279">
                  <c:v>6309.5734448019384</c:v>
                </c:pt>
                <c:pt idx="280">
                  <c:v>6456.5422903465615</c:v>
                </c:pt>
                <c:pt idx="281">
                  <c:v>6606.9344800759654</c:v>
                </c:pt>
                <c:pt idx="282">
                  <c:v>6760.8297539198229</c:v>
                </c:pt>
                <c:pt idx="283">
                  <c:v>6918.3097091893687</c:v>
                </c:pt>
                <c:pt idx="284">
                  <c:v>7079.4578438413828</c:v>
                </c:pt>
                <c:pt idx="285">
                  <c:v>7244.3596007499036</c:v>
                </c:pt>
                <c:pt idx="286">
                  <c:v>7413.1024130091773</c:v>
                </c:pt>
                <c:pt idx="287">
                  <c:v>7585.7757502918394</c:v>
                </c:pt>
                <c:pt idx="288">
                  <c:v>7762.4711662869322</c:v>
                </c:pt>
                <c:pt idx="289">
                  <c:v>7943.2823472428154</c:v>
                </c:pt>
                <c:pt idx="290">
                  <c:v>8128.3051616410066</c:v>
                </c:pt>
                <c:pt idx="291">
                  <c:v>8317.6377110267094</c:v>
                </c:pt>
                <c:pt idx="292">
                  <c:v>8511.3803820237772</c:v>
                </c:pt>
                <c:pt idx="293">
                  <c:v>8709.6358995608189</c:v>
                </c:pt>
                <c:pt idx="294">
                  <c:v>8912.5093813374679</c:v>
                </c:pt>
                <c:pt idx="295">
                  <c:v>9120.1083935591087</c:v>
                </c:pt>
                <c:pt idx="296">
                  <c:v>9332.5430079699217</c:v>
                </c:pt>
                <c:pt idx="297">
                  <c:v>9549.9258602143691</c:v>
                </c:pt>
                <c:pt idx="298">
                  <c:v>9772.3722095581161</c:v>
                </c:pt>
                <c:pt idx="299">
                  <c:v>10000</c:v>
                </c:pt>
                <c:pt idx="300">
                  <c:v>10232.929922807549</c:v>
                </c:pt>
                <c:pt idx="301">
                  <c:v>10471.285480509003</c:v>
                </c:pt>
                <c:pt idx="302">
                  <c:v>10715.193052376071</c:v>
                </c:pt>
                <c:pt idx="303">
                  <c:v>10964.781961431856</c:v>
                </c:pt>
                <c:pt idx="304">
                  <c:v>11220.184543019639</c:v>
                </c:pt>
                <c:pt idx="305">
                  <c:v>11481.536214968832</c:v>
                </c:pt>
                <c:pt idx="306">
                  <c:v>11748.975549395318</c:v>
                </c:pt>
                <c:pt idx="307">
                  <c:v>12022.644346174151</c:v>
                </c:pt>
                <c:pt idx="308">
                  <c:v>12302.687708123816</c:v>
                </c:pt>
                <c:pt idx="309">
                  <c:v>12589.254117941671</c:v>
                </c:pt>
                <c:pt idx="310">
                  <c:v>12882.49551693136</c:v>
                </c:pt>
                <c:pt idx="311">
                  <c:v>13182.567385564091</c:v>
                </c:pt>
                <c:pt idx="312">
                  <c:v>13489.628825916556</c:v>
                </c:pt>
                <c:pt idx="313">
                  <c:v>13803.842646028841</c:v>
                </c:pt>
                <c:pt idx="314">
                  <c:v>14125.375446227561</c:v>
                </c:pt>
                <c:pt idx="315">
                  <c:v>14454.397707459291</c:v>
                </c:pt>
                <c:pt idx="316">
                  <c:v>14791.083881682089</c:v>
                </c:pt>
                <c:pt idx="317">
                  <c:v>15135.612484362096</c:v>
                </c:pt>
                <c:pt idx="318">
                  <c:v>15488.166189124853</c:v>
                </c:pt>
                <c:pt idx="319">
                  <c:v>15848.931924611146</c:v>
                </c:pt>
                <c:pt idx="320">
                  <c:v>16218.100973589309</c:v>
                </c:pt>
                <c:pt idx="321">
                  <c:v>16595.869074375616</c:v>
                </c:pt>
                <c:pt idx="322">
                  <c:v>16982.436524617482</c:v>
                </c:pt>
                <c:pt idx="323">
                  <c:v>17378.008287493791</c:v>
                </c:pt>
                <c:pt idx="324">
                  <c:v>17782.794100389234</c:v>
                </c:pt>
                <c:pt idx="325">
                  <c:v>18197.008586099837</c:v>
                </c:pt>
                <c:pt idx="326">
                  <c:v>18620.871366628675</c:v>
                </c:pt>
                <c:pt idx="327">
                  <c:v>19054.607179632505</c:v>
                </c:pt>
                <c:pt idx="328">
                  <c:v>19498.445997580486</c:v>
                </c:pt>
                <c:pt idx="329">
                  <c:v>19952.623149688792</c:v>
                </c:pt>
                <c:pt idx="330">
                  <c:v>20417.379446695286</c:v>
                </c:pt>
                <c:pt idx="331">
                  <c:v>20892.961308540423</c:v>
                </c:pt>
                <c:pt idx="332">
                  <c:v>21379.620895022348</c:v>
                </c:pt>
                <c:pt idx="333">
                  <c:v>21877.61623949555</c:v>
                </c:pt>
                <c:pt idx="334">
                  <c:v>22387.211385683382</c:v>
                </c:pt>
                <c:pt idx="335">
                  <c:v>22908.676527677751</c:v>
                </c:pt>
                <c:pt idx="336">
                  <c:v>23442.288153199243</c:v>
                </c:pt>
                <c:pt idx="337">
                  <c:v>23988.329190194923</c:v>
                </c:pt>
                <c:pt idx="338">
                  <c:v>24547.089156850321</c:v>
                </c:pt>
                <c:pt idx="339">
                  <c:v>25118.86431509586</c:v>
                </c:pt>
                <c:pt idx="340">
                  <c:v>25703.95782768865</c:v>
                </c:pt>
                <c:pt idx="341">
                  <c:v>26302.679918953829</c:v>
                </c:pt>
                <c:pt idx="342">
                  <c:v>26915.348039269167</c:v>
                </c:pt>
                <c:pt idx="343">
                  <c:v>27542.287033381719</c:v>
                </c:pt>
                <c:pt idx="344">
                  <c:v>28183.829312644593</c:v>
                </c:pt>
                <c:pt idx="345">
                  <c:v>28840.315031266062</c:v>
                </c:pt>
                <c:pt idx="346">
                  <c:v>29512.092266663854</c:v>
                </c:pt>
                <c:pt idx="347">
                  <c:v>30199.517204020212</c:v>
                </c:pt>
                <c:pt idx="348">
                  <c:v>30902.954325135954</c:v>
                </c:pt>
                <c:pt idx="349">
                  <c:v>31622.77660168384</c:v>
                </c:pt>
                <c:pt idx="350">
                  <c:v>32359.365692962871</c:v>
                </c:pt>
                <c:pt idx="351">
                  <c:v>33113.11214825909</c:v>
                </c:pt>
                <c:pt idx="352">
                  <c:v>33884.41561392029</c:v>
                </c:pt>
                <c:pt idx="353">
                  <c:v>34673.685045253202</c:v>
                </c:pt>
                <c:pt idx="354">
                  <c:v>35481.33892335758</c:v>
                </c:pt>
                <c:pt idx="355">
                  <c:v>36307.805477010232</c:v>
                </c:pt>
                <c:pt idx="356">
                  <c:v>37153.522909717351</c:v>
                </c:pt>
                <c:pt idx="357">
                  <c:v>38018.939632056143</c:v>
                </c:pt>
                <c:pt idx="358">
                  <c:v>38904.514499428085</c:v>
                </c:pt>
                <c:pt idx="359">
                  <c:v>39810.717055349742</c:v>
                </c:pt>
                <c:pt idx="360">
                  <c:v>40738.027780411358</c:v>
                </c:pt>
                <c:pt idx="361">
                  <c:v>41686.938347033625</c:v>
                </c:pt>
                <c:pt idx="362">
                  <c:v>42657.951880159271</c:v>
                </c:pt>
                <c:pt idx="363">
                  <c:v>43651.583224016598</c:v>
                </c:pt>
                <c:pt idx="364">
                  <c:v>44668.359215096389</c:v>
                </c:pt>
                <c:pt idx="365">
                  <c:v>45708.818961487581</c:v>
                </c:pt>
                <c:pt idx="366">
                  <c:v>46773.514128719893</c:v>
                </c:pt>
                <c:pt idx="367">
                  <c:v>47863.009232263823</c:v>
                </c:pt>
                <c:pt idx="368">
                  <c:v>48977.881936844598</c:v>
                </c:pt>
                <c:pt idx="369">
                  <c:v>50118.723362727294</c:v>
                </c:pt>
                <c:pt idx="370">
                  <c:v>51286.138399136544</c:v>
                </c:pt>
                <c:pt idx="371">
                  <c:v>52480.746024977314</c:v>
                </c:pt>
                <c:pt idx="372">
                  <c:v>53703.179637025423</c:v>
                </c:pt>
                <c:pt idx="373">
                  <c:v>54954.087385762505</c:v>
                </c:pt>
                <c:pt idx="374">
                  <c:v>56234.132519034953</c:v>
                </c:pt>
                <c:pt idx="375">
                  <c:v>57543.993733715732</c:v>
                </c:pt>
                <c:pt idx="376">
                  <c:v>58884.365535558936</c:v>
                </c:pt>
                <c:pt idx="377">
                  <c:v>60255.95860743591</c:v>
                </c:pt>
                <c:pt idx="378">
                  <c:v>61659.500186148245</c:v>
                </c:pt>
                <c:pt idx="379">
                  <c:v>63095.734448019342</c:v>
                </c:pt>
                <c:pt idx="380">
                  <c:v>64565.422903465682</c:v>
                </c:pt>
                <c:pt idx="381">
                  <c:v>66069.344800759733</c:v>
                </c:pt>
                <c:pt idx="382">
                  <c:v>67608.297539198305</c:v>
                </c:pt>
                <c:pt idx="383">
                  <c:v>69183.097091893651</c:v>
                </c:pt>
                <c:pt idx="384">
                  <c:v>70794.578438413781</c:v>
                </c:pt>
                <c:pt idx="385">
                  <c:v>72443.596007499116</c:v>
                </c:pt>
                <c:pt idx="386">
                  <c:v>74131.024130091857</c:v>
                </c:pt>
                <c:pt idx="387">
                  <c:v>75857.757502918481</c:v>
                </c:pt>
                <c:pt idx="388">
                  <c:v>77624.711662869129</c:v>
                </c:pt>
                <c:pt idx="389">
                  <c:v>79432.823472428237</c:v>
                </c:pt>
                <c:pt idx="390">
                  <c:v>81283.051616410012</c:v>
                </c:pt>
                <c:pt idx="391">
                  <c:v>83176.377110267174</c:v>
                </c:pt>
                <c:pt idx="392">
                  <c:v>85113.803820237721</c:v>
                </c:pt>
                <c:pt idx="393">
                  <c:v>87096.358995608127</c:v>
                </c:pt>
                <c:pt idx="394">
                  <c:v>89125.093813374609</c:v>
                </c:pt>
                <c:pt idx="395">
                  <c:v>91201.083935591028</c:v>
                </c:pt>
                <c:pt idx="396">
                  <c:v>93325.430079699145</c:v>
                </c:pt>
                <c:pt idx="397">
                  <c:v>95499.258602143804</c:v>
                </c:pt>
                <c:pt idx="398">
                  <c:v>97723.722095581266</c:v>
                </c:pt>
                <c:pt idx="399">
                  <c:v>100000</c:v>
                </c:pt>
                <c:pt idx="400">
                  <c:v>102329.29922807543</c:v>
                </c:pt>
                <c:pt idx="401">
                  <c:v>104712.85480508996</c:v>
                </c:pt>
                <c:pt idx="402">
                  <c:v>107151.93052376082</c:v>
                </c:pt>
                <c:pt idx="403">
                  <c:v>109647.81961431868</c:v>
                </c:pt>
                <c:pt idx="404">
                  <c:v>112201.84543019651</c:v>
                </c:pt>
                <c:pt idx="405">
                  <c:v>114815.36214968823</c:v>
                </c:pt>
                <c:pt idx="406">
                  <c:v>117489.75549395311</c:v>
                </c:pt>
                <c:pt idx="407">
                  <c:v>120226.44346174144</c:v>
                </c:pt>
                <c:pt idx="408">
                  <c:v>123026.87708123829</c:v>
                </c:pt>
                <c:pt idx="409">
                  <c:v>125892.54117941685</c:v>
                </c:pt>
                <c:pt idx="410">
                  <c:v>128824.95516931375</c:v>
                </c:pt>
                <c:pt idx="411">
                  <c:v>131825.67385564081</c:v>
                </c:pt>
                <c:pt idx="412">
                  <c:v>134896.28825916545</c:v>
                </c:pt>
                <c:pt idx="413">
                  <c:v>138038.42646028858</c:v>
                </c:pt>
                <c:pt idx="414">
                  <c:v>141253.75446227577</c:v>
                </c:pt>
                <c:pt idx="415">
                  <c:v>144543.97707459307</c:v>
                </c:pt>
                <c:pt idx="416">
                  <c:v>147910.83881682079</c:v>
                </c:pt>
                <c:pt idx="417">
                  <c:v>151356.12484362084</c:v>
                </c:pt>
                <c:pt idx="418">
                  <c:v>154881.66189124843</c:v>
                </c:pt>
                <c:pt idx="419">
                  <c:v>158489.31924611164</c:v>
                </c:pt>
                <c:pt idx="420">
                  <c:v>162181.00973589328</c:v>
                </c:pt>
                <c:pt idx="421">
                  <c:v>165958.69074375604</c:v>
                </c:pt>
                <c:pt idx="422">
                  <c:v>169824.36524617471</c:v>
                </c:pt>
                <c:pt idx="423">
                  <c:v>173780.0828749378</c:v>
                </c:pt>
                <c:pt idx="424">
                  <c:v>177827.94100389251</c:v>
                </c:pt>
                <c:pt idx="425">
                  <c:v>181970.08586099857</c:v>
                </c:pt>
                <c:pt idx="426">
                  <c:v>186208.71366628664</c:v>
                </c:pt>
                <c:pt idx="427">
                  <c:v>190546.07179632492</c:v>
                </c:pt>
                <c:pt idx="428">
                  <c:v>194984.45997580473</c:v>
                </c:pt>
                <c:pt idx="429">
                  <c:v>199526.23149688813</c:v>
                </c:pt>
                <c:pt idx="430">
                  <c:v>204173.79446695308</c:v>
                </c:pt>
                <c:pt idx="431">
                  <c:v>208929.61308540447</c:v>
                </c:pt>
                <c:pt idx="432">
                  <c:v>213796.20895022334</c:v>
                </c:pt>
                <c:pt idx="433">
                  <c:v>218776.16239495538</c:v>
                </c:pt>
                <c:pt idx="434">
                  <c:v>223872.11385683404</c:v>
                </c:pt>
                <c:pt idx="435">
                  <c:v>229086.76527677779</c:v>
                </c:pt>
                <c:pt idx="436">
                  <c:v>234422.88153199267</c:v>
                </c:pt>
                <c:pt idx="437">
                  <c:v>239883.29190194907</c:v>
                </c:pt>
                <c:pt idx="438">
                  <c:v>245470.89156850305</c:v>
                </c:pt>
                <c:pt idx="439">
                  <c:v>251188.64315095844</c:v>
                </c:pt>
                <c:pt idx="440">
                  <c:v>257039.57827688678</c:v>
                </c:pt>
                <c:pt idx="441">
                  <c:v>263026.79918953858</c:v>
                </c:pt>
                <c:pt idx="442">
                  <c:v>269153.48039269145</c:v>
                </c:pt>
                <c:pt idx="443">
                  <c:v>275422.87033381703</c:v>
                </c:pt>
                <c:pt idx="444">
                  <c:v>281838.29312644573</c:v>
                </c:pt>
                <c:pt idx="445">
                  <c:v>288403.1503126609</c:v>
                </c:pt>
                <c:pt idx="446">
                  <c:v>295120.92266663886</c:v>
                </c:pt>
                <c:pt idx="447">
                  <c:v>301995.17204020242</c:v>
                </c:pt>
                <c:pt idx="448">
                  <c:v>309029.54325135931</c:v>
                </c:pt>
                <c:pt idx="449">
                  <c:v>316227.7660168382</c:v>
                </c:pt>
                <c:pt idx="450">
                  <c:v>323593.65692962846</c:v>
                </c:pt>
                <c:pt idx="451">
                  <c:v>331131.12148259126</c:v>
                </c:pt>
                <c:pt idx="452">
                  <c:v>338844.15613920329</c:v>
                </c:pt>
                <c:pt idx="453">
                  <c:v>346736.85045253241</c:v>
                </c:pt>
                <c:pt idx="454">
                  <c:v>354813.38923357555</c:v>
                </c:pt>
                <c:pt idx="455">
                  <c:v>363078.05477010203</c:v>
                </c:pt>
                <c:pt idx="456">
                  <c:v>371535.2290971732</c:v>
                </c:pt>
                <c:pt idx="457">
                  <c:v>380189.39632056188</c:v>
                </c:pt>
                <c:pt idx="458">
                  <c:v>389045.14499428123</c:v>
                </c:pt>
                <c:pt idx="459">
                  <c:v>398107.17055349716</c:v>
                </c:pt>
                <c:pt idx="460">
                  <c:v>407380.27780411334</c:v>
                </c:pt>
                <c:pt idx="461">
                  <c:v>416869.38347033598</c:v>
                </c:pt>
                <c:pt idx="462">
                  <c:v>426579.51880159322</c:v>
                </c:pt>
                <c:pt idx="463">
                  <c:v>436515.83224016649</c:v>
                </c:pt>
                <c:pt idx="464">
                  <c:v>446683.59215096442</c:v>
                </c:pt>
                <c:pt idx="465">
                  <c:v>457088.18961487547</c:v>
                </c:pt>
                <c:pt idx="466">
                  <c:v>467735.14128719864</c:v>
                </c:pt>
                <c:pt idx="467">
                  <c:v>478630.09232263872</c:v>
                </c:pt>
                <c:pt idx="468">
                  <c:v>489778.81936844654</c:v>
                </c:pt>
                <c:pt idx="469">
                  <c:v>501187.23362727347</c:v>
                </c:pt>
                <c:pt idx="470">
                  <c:v>512861.38399136515</c:v>
                </c:pt>
                <c:pt idx="471">
                  <c:v>524807.46024977288</c:v>
                </c:pt>
                <c:pt idx="472">
                  <c:v>537031.7963702539</c:v>
                </c:pt>
                <c:pt idx="473">
                  <c:v>549540.87385762564</c:v>
                </c:pt>
                <c:pt idx="474">
                  <c:v>562341.32519035018</c:v>
                </c:pt>
                <c:pt idx="475">
                  <c:v>575439.93733715697</c:v>
                </c:pt>
                <c:pt idx="476">
                  <c:v>588843.65535558888</c:v>
                </c:pt>
                <c:pt idx="477">
                  <c:v>602559.58607435878</c:v>
                </c:pt>
                <c:pt idx="478">
                  <c:v>616595.00186148309</c:v>
                </c:pt>
                <c:pt idx="479">
                  <c:v>630957.34448019415</c:v>
                </c:pt>
                <c:pt idx="480">
                  <c:v>645654.22903465747</c:v>
                </c:pt>
                <c:pt idx="481">
                  <c:v>660693.44800759677</c:v>
                </c:pt>
                <c:pt idx="482">
                  <c:v>676082.97539198259</c:v>
                </c:pt>
                <c:pt idx="483">
                  <c:v>691830.97091893724</c:v>
                </c:pt>
                <c:pt idx="484">
                  <c:v>707945.78438413853</c:v>
                </c:pt>
                <c:pt idx="485">
                  <c:v>724435.96007499192</c:v>
                </c:pt>
                <c:pt idx="486">
                  <c:v>741310.24130091805</c:v>
                </c:pt>
                <c:pt idx="487">
                  <c:v>758577.57502918423</c:v>
                </c:pt>
                <c:pt idx="488">
                  <c:v>776247.11662869214</c:v>
                </c:pt>
                <c:pt idx="489">
                  <c:v>794328.23472428333</c:v>
                </c:pt>
                <c:pt idx="490">
                  <c:v>812830.51616410096</c:v>
                </c:pt>
                <c:pt idx="491">
                  <c:v>831763.77110267128</c:v>
                </c:pt>
                <c:pt idx="492">
                  <c:v>851138.03820237669</c:v>
                </c:pt>
                <c:pt idx="493">
                  <c:v>870963.58995608077</c:v>
                </c:pt>
                <c:pt idx="494">
                  <c:v>891250.93813374708</c:v>
                </c:pt>
                <c:pt idx="495">
                  <c:v>912010.83935591124</c:v>
                </c:pt>
                <c:pt idx="496">
                  <c:v>933254.30079699249</c:v>
                </c:pt>
                <c:pt idx="497">
                  <c:v>954992.58602143743</c:v>
                </c:pt>
                <c:pt idx="498">
                  <c:v>977237.22095581202</c:v>
                </c:pt>
                <c:pt idx="499">
                  <c:v>1000000</c:v>
                </c:pt>
                <c:pt idx="500">
                  <c:v>1023292.9922807553</c:v>
                </c:pt>
                <c:pt idx="501">
                  <c:v>1047128.5480509007</c:v>
                </c:pt>
                <c:pt idx="502">
                  <c:v>1071519.3052376076</c:v>
                </c:pt>
                <c:pt idx="503">
                  <c:v>1096478.196143186</c:v>
                </c:pt>
                <c:pt idx="504">
                  <c:v>1122018.4543019643</c:v>
                </c:pt>
                <c:pt idx="505">
                  <c:v>1148153.6214968837</c:v>
                </c:pt>
                <c:pt idx="506">
                  <c:v>1174897.5549395324</c:v>
                </c:pt>
                <c:pt idx="507">
                  <c:v>1202264.4346174158</c:v>
                </c:pt>
                <c:pt idx="508">
                  <c:v>1230268.770812382</c:v>
                </c:pt>
                <c:pt idx="509">
                  <c:v>1258925.4117941677</c:v>
                </c:pt>
                <c:pt idx="510">
                  <c:v>1288249.5516931366</c:v>
                </c:pt>
                <c:pt idx="511">
                  <c:v>1318256.7385564097</c:v>
                </c:pt>
                <c:pt idx="512">
                  <c:v>1348962.8825916562</c:v>
                </c:pt>
                <c:pt idx="513">
                  <c:v>1380384.2646028849</c:v>
                </c:pt>
                <c:pt idx="514">
                  <c:v>1412537.5446227565</c:v>
                </c:pt>
                <c:pt idx="515">
                  <c:v>1445439.7707459298</c:v>
                </c:pt>
                <c:pt idx="516">
                  <c:v>1479108.3881682095</c:v>
                </c:pt>
                <c:pt idx="517">
                  <c:v>1513561.2484362102</c:v>
                </c:pt>
                <c:pt idx="518">
                  <c:v>1548816.6189124861</c:v>
                </c:pt>
                <c:pt idx="519">
                  <c:v>1584893.1924611153</c:v>
                </c:pt>
                <c:pt idx="520">
                  <c:v>1621810.0973589318</c:v>
                </c:pt>
                <c:pt idx="521">
                  <c:v>1659586.9074375622</c:v>
                </c:pt>
                <c:pt idx="522">
                  <c:v>1698243.6524617488</c:v>
                </c:pt>
                <c:pt idx="523">
                  <c:v>1737800.8287493798</c:v>
                </c:pt>
                <c:pt idx="524">
                  <c:v>1778279.4100389241</c:v>
                </c:pt>
                <c:pt idx="525">
                  <c:v>1819700.8586099846</c:v>
                </c:pt>
                <c:pt idx="526">
                  <c:v>1862087.1366628683</c:v>
                </c:pt>
                <c:pt idx="527">
                  <c:v>1905460.7179632513</c:v>
                </c:pt>
                <c:pt idx="528">
                  <c:v>1949844.5997580495</c:v>
                </c:pt>
                <c:pt idx="529">
                  <c:v>1995262.31496888</c:v>
                </c:pt>
                <c:pt idx="530">
                  <c:v>2041737.9446695296</c:v>
                </c:pt>
                <c:pt idx="531">
                  <c:v>2089296.1308540432</c:v>
                </c:pt>
                <c:pt idx="532">
                  <c:v>2137962.0895022359</c:v>
                </c:pt>
                <c:pt idx="533">
                  <c:v>2187761.6239495561</c:v>
                </c:pt>
                <c:pt idx="534">
                  <c:v>2238721.1385683389</c:v>
                </c:pt>
                <c:pt idx="535">
                  <c:v>2290867.6527677765</c:v>
                </c:pt>
                <c:pt idx="536">
                  <c:v>2344228.8153199251</c:v>
                </c:pt>
                <c:pt idx="537">
                  <c:v>2398832.9190194933</c:v>
                </c:pt>
                <c:pt idx="538">
                  <c:v>2454708.915685033</c:v>
                </c:pt>
                <c:pt idx="539">
                  <c:v>2511886.431509587</c:v>
                </c:pt>
                <c:pt idx="540">
                  <c:v>2570395.782768866</c:v>
                </c:pt>
                <c:pt idx="541">
                  <c:v>2630267.9918953842</c:v>
                </c:pt>
              </c:numCache>
            </c:numRef>
          </c:xVal>
          <c:yVal>
            <c:numRef>
              <c:f>Loop_Modeling!$BK$19:$BK$560</c:f>
              <c:numCache>
                <c:formatCode>General</c:formatCode>
                <c:ptCount val="542"/>
                <c:pt idx="0">
                  <c:v>88.619317955518611</c:v>
                </c:pt>
                <c:pt idx="1">
                  <c:v>88.587185650925477</c:v>
                </c:pt>
                <c:pt idx="2">
                  <c:v>88.554306883307405</c:v>
                </c:pt>
                <c:pt idx="3">
                  <c:v>88.520664407742217</c:v>
                </c:pt>
                <c:pt idx="4">
                  <c:v>88.4862405877832</c:v>
                </c:pt>
                <c:pt idx="5">
                  <c:v>88.451017387062933</c:v>
                </c:pt>
                <c:pt idx="6">
                  <c:v>88.414976360752974</c:v>
                </c:pt>
                <c:pt idx="7">
                  <c:v>88.378098646879522</c:v>
                </c:pt>
                <c:pt idx="8">
                  <c:v>88.340364957495737</c:v>
                </c:pt>
                <c:pt idx="9">
                  <c:v>88.301755569711517</c:v>
                </c:pt>
                <c:pt idx="10">
                  <c:v>88.262250316581671</c:v>
                </c:pt>
                <c:pt idx="11">
                  <c:v>88.221828577854254</c:v>
                </c:pt>
                <c:pt idx="12">
                  <c:v>88.180469270580645</c:v>
                </c:pt>
                <c:pt idx="13">
                  <c:v>88.138150839589599</c:v>
                </c:pt>
                <c:pt idx="14">
                  <c:v>88.094851247828089</c:v>
                </c:pt>
                <c:pt idx="15">
                  <c:v>88.050547966571884</c:v>
                </c:pt>
                <c:pt idx="16">
                  <c:v>88.005217965509644</c:v>
                </c:pt>
                <c:pt idx="17">
                  <c:v>87.958837702704415</c:v>
                </c:pt>
                <c:pt idx="18">
                  <c:v>87.911383114437669</c:v>
                </c:pt>
                <c:pt idx="19">
                  <c:v>87.862829604940856</c:v>
                </c:pt>
                <c:pt idx="20">
                  <c:v>87.813152036020981</c:v>
                </c:pt>
                <c:pt idx="21">
                  <c:v>87.76232471658642</c:v>
                </c:pt>
                <c:pt idx="22">
                  <c:v>87.71032139208144</c:v>
                </c:pt>
                <c:pt idx="23">
                  <c:v>87.657115233836834</c:v>
                </c:pt>
                <c:pt idx="24">
                  <c:v>87.602678828347038</c:v>
                </c:pt>
                <c:pt idx="25">
                  <c:v>87.546984166483256</c:v>
                </c:pt>
                <c:pt idx="26">
                  <c:v>87.49000263265485</c:v>
                </c:pt>
                <c:pt idx="27">
                  <c:v>87.431704993930737</c:v>
                </c:pt>
                <c:pt idx="28">
                  <c:v>87.372061389135183</c:v>
                </c:pt>
                <c:pt idx="29">
                  <c:v>87.311041317932961</c:v>
                </c:pt>
                <c:pt idx="30">
                  <c:v>87.248613629920229</c:v>
                </c:pt>
                <c:pt idx="31">
                  <c:v>87.184746513739213</c:v>
                </c:pt>
                <c:pt idx="32">
                  <c:v>87.119407486236696</c:v>
                </c:pt>
                <c:pt idx="33">
                  <c:v>87.052563381686852</c:v>
                </c:pt>
                <c:pt idx="34">
                  <c:v>86.984180341102714</c:v>
                </c:pt>
                <c:pt idx="35">
                  <c:v>86.914223801660569</c:v>
                </c:pt>
                <c:pt idx="36">
                  <c:v>86.842658486264909</c:v>
                </c:pt>
                <c:pt idx="37">
                  <c:v>86.769448393283753</c:v>
                </c:pt>
                <c:pt idx="38">
                  <c:v>86.694556786485677</c:v>
                </c:pt>
                <c:pt idx="39">
                  <c:v>86.617946185213682</c:v>
                </c:pt>
                <c:pt idx="40">
                  <c:v>86.539578354832784</c:v>
                </c:pt>
                <c:pt idx="41">
                  <c:v>86.45941429749135</c:v>
                </c:pt>
                <c:pt idx="42">
                  <c:v>86.377414243239826</c:v>
                </c:pt>
                <c:pt idx="43">
                  <c:v>86.293537641553058</c:v>
                </c:pt>
                <c:pt idx="44">
                  <c:v>86.207743153306197</c:v>
                </c:pt>
                <c:pt idx="45">
                  <c:v>86.119988643257955</c:v>
                </c:pt>
                <c:pt idx="46">
                  <c:v>86.030231173099025</c:v>
                </c:pt>
                <c:pt idx="47">
                  <c:v>85.938426995127116</c:v>
                </c:pt>
                <c:pt idx="48">
                  <c:v>85.844531546615087</c:v>
                </c:pt>
                <c:pt idx="49">
                  <c:v>85.748499444942937</c:v>
                </c:pt>
                <c:pt idx="50">
                  <c:v>85.650284483569791</c:v>
                </c:pt>
                <c:pt idx="51">
                  <c:v>85.549839628925952</c:v>
                </c:pt>
                <c:pt idx="52">
                  <c:v>85.447117018313435</c:v>
                </c:pt>
                <c:pt idx="53">
                  <c:v>85.342067958905048</c:v>
                </c:pt>
                <c:pt idx="54">
                  <c:v>85.234642927942318</c:v>
                </c:pt>
                <c:pt idx="55">
                  <c:v>85.124791574236099</c:v>
                </c:pt>
                <c:pt idx="56">
                  <c:v>85.012462721082429</c:v>
                </c:pt>
                <c:pt idx="57">
                  <c:v>84.89760437071115</c:v>
                </c:pt>
                <c:pt idx="58">
                  <c:v>84.780163710394248</c:v>
                </c:pt>
                <c:pt idx="59">
                  <c:v>84.660087120348379</c:v>
                </c:pt>
                <c:pt idx="60">
                  <c:v>84.537320183571566</c:v>
                </c:pt>
                <c:pt idx="61">
                  <c:v>84.411807697767173</c:v>
                </c:pt>
                <c:pt idx="62">
                  <c:v>84.283493689512042</c:v>
                </c:pt>
                <c:pt idx="63">
                  <c:v>84.15232143083874</c:v>
                </c:pt>
                <c:pt idx="64">
                  <c:v>84.018233458408289</c:v>
                </c:pt>
                <c:pt idx="65">
                  <c:v>83.881171595462718</c:v>
                </c:pt>
                <c:pt idx="66">
                  <c:v>83.741076976753348</c:v>
                </c:pt>
                <c:pt idx="67">
                  <c:v>83.597890076653186</c:v>
                </c:pt>
                <c:pt idx="68">
                  <c:v>83.451550740672729</c:v>
                </c:pt>
                <c:pt idx="69">
                  <c:v>83.301998220607516</c:v>
                </c:pt>
                <c:pt idx="70">
                  <c:v>83.149171213557977</c:v>
                </c:pt>
                <c:pt idx="71">
                  <c:v>82.993007905073071</c:v>
                </c:pt>
                <c:pt idx="72">
                  <c:v>82.833446016680639</c:v>
                </c:pt>
                <c:pt idx="73">
                  <c:v>82.670422858076549</c:v>
                </c:pt>
                <c:pt idx="74">
                  <c:v>82.503875384260439</c:v>
                </c:pt>
                <c:pt idx="75">
                  <c:v>82.333740257910392</c:v>
                </c:pt>
                <c:pt idx="76">
                  <c:v>82.159953917305899</c:v>
                </c:pt>
                <c:pt idx="77">
                  <c:v>81.982452650114752</c:v>
                </c:pt>
                <c:pt idx="78">
                  <c:v>81.801172673370317</c:v>
                </c:pt>
                <c:pt idx="79">
                  <c:v>81.616050219976216</c:v>
                </c:pt>
                <c:pt idx="80">
                  <c:v>81.427021632081804</c:v>
                </c:pt>
                <c:pt idx="81">
                  <c:v>81.234023461680934</c:v>
                </c:pt>
                <c:pt idx="82">
                  <c:v>81.036992578792535</c:v>
                </c:pt>
                <c:pt idx="83">
                  <c:v>80.835866287585247</c:v>
                </c:pt>
                <c:pt idx="84">
                  <c:v>80.630582450813449</c:v>
                </c:pt>
                <c:pt idx="85">
                  <c:v>80.421079622932666</c:v>
                </c:pt>
                <c:pt idx="86">
                  <c:v>80.207297192261279</c:v>
                </c:pt>
                <c:pt idx="87">
                  <c:v>79.989175532553261</c:v>
                </c:pt>
                <c:pt idx="88">
                  <c:v>79.766656164340475</c:v>
                </c:pt>
                <c:pt idx="89">
                  <c:v>79.53968192639347</c:v>
                </c:pt>
                <c:pt idx="90">
                  <c:v>79.308197157638872</c:v>
                </c:pt>
                <c:pt idx="91">
                  <c:v>79.072147889853156</c:v>
                </c:pt>
                <c:pt idx="92">
                  <c:v>78.831482051434833</c:v>
                </c:pt>
                <c:pt idx="93">
                  <c:v>78.586149682528088</c:v>
                </c:pt>
                <c:pt idx="94">
                  <c:v>78.336103161745555</c:v>
                </c:pt>
                <c:pt idx="95">
                  <c:v>78.08129744469808</c:v>
                </c:pt>
                <c:pt idx="96">
                  <c:v>77.821690314498355</c:v>
                </c:pt>
                <c:pt idx="97">
                  <c:v>77.557242644360784</c:v>
                </c:pt>
                <c:pt idx="98">
                  <c:v>77.287918672359154</c:v>
                </c:pt>
                <c:pt idx="99">
                  <c:v>77.013686288345824</c:v>
                </c:pt>
                <c:pt idx="100">
                  <c:v>76.734517332966035</c:v>
                </c:pt>
                <c:pt idx="101">
                  <c:v>76.450387908619348</c:v>
                </c:pt>
                <c:pt idx="102">
                  <c:v>76.161278702139938</c:v>
                </c:pt>
                <c:pt idx="103">
                  <c:v>75.867175318866146</c:v>
                </c:pt>
                <c:pt idx="104">
                  <c:v>75.568068627673043</c:v>
                </c:pt>
                <c:pt idx="105">
                  <c:v>75.263955116423702</c:v>
                </c:pt>
                <c:pt idx="106">
                  <c:v>74.954837257175726</c:v>
                </c:pt>
                <c:pt idx="107">
                  <c:v>74.640723880353065</c:v>
                </c:pt>
                <c:pt idx="108">
                  <c:v>74.321630556948804</c:v>
                </c:pt>
                <c:pt idx="109">
                  <c:v>73.997579987683508</c:v>
                </c:pt>
                <c:pt idx="110">
                  <c:v>73.668602397887696</c:v>
                </c:pt>
                <c:pt idx="111">
                  <c:v>73.33473593671836</c:v>
                </c:pt>
                <c:pt idx="112">
                  <c:v>72.996027079152441</c:v>
                </c:pt>
                <c:pt idx="113">
                  <c:v>72.652531029031124</c:v>
                </c:pt>
                <c:pt idx="114">
                  <c:v>72.304312121255066</c:v>
                </c:pt>
                <c:pt idx="115">
                  <c:v>71.951444221058352</c:v>
                </c:pt>
                <c:pt idx="116">
                  <c:v>71.594011118114111</c:v>
                </c:pt>
                <c:pt idx="117">
                  <c:v>71.23210691305411</c:v>
                </c:pt>
                <c:pt idx="118">
                  <c:v>70.865836393822548</c:v>
                </c:pt>
                <c:pt idx="119">
                  <c:v>70.495315399122447</c:v>
                </c:pt>
                <c:pt idx="120">
                  <c:v>70.120671166073151</c:v>
                </c:pt>
                <c:pt idx="121">
                  <c:v>69.742042659060672</c:v>
                </c:pt>
                <c:pt idx="122">
                  <c:v>69.359580876649574</c:v>
                </c:pt>
                <c:pt idx="123">
                  <c:v>68.973449133330305</c:v>
                </c:pt>
                <c:pt idx="124">
                  <c:v>68.583823312806899</c:v>
                </c:pt>
                <c:pt idx="125">
                  <c:v>68.190892089484592</c:v>
                </c:pt>
                <c:pt idx="126">
                  <c:v>67.79485711480207</c:v>
                </c:pt>
                <c:pt idx="127">
                  <c:v>67.395933165079839</c:v>
                </c:pt>
                <c:pt idx="128">
                  <c:v>66.994348247605259</c:v>
                </c:pt>
                <c:pt idx="129">
                  <c:v>66.59034366176968</c:v>
                </c:pt>
                <c:pt idx="130">
                  <c:v>66.184174012221021</c:v>
                </c:pt>
                <c:pt idx="131">
                  <c:v>65.776107171152603</c:v>
                </c:pt>
                <c:pt idx="132">
                  <c:v>65.366424187090786</c:v>
                </c:pt>
                <c:pt idx="133">
                  <c:v>64.955419137790273</c:v>
                </c:pt>
                <c:pt idx="134">
                  <c:v>64.543398925167935</c:v>
                </c:pt>
                <c:pt idx="135">
                  <c:v>64.130683010542498</c:v>
                </c:pt>
                <c:pt idx="136">
                  <c:v>63.717603088839859</c:v>
                </c:pt>
                <c:pt idx="137">
                  <c:v>63.304502700847486</c:v>
                </c:pt>
                <c:pt idx="138">
                  <c:v>62.891736783053744</c:v>
                </c:pt>
                <c:pt idx="139">
                  <c:v>62.479671155086955</c:v>
                </c:pt>
                <c:pt idx="140">
                  <c:v>62.068681945279664</c:v>
                </c:pt>
                <c:pt idx="141">
                  <c:v>61.659154955391088</c:v>
                </c:pt>
                <c:pt idx="142">
                  <c:v>61.251484966049716</c:v>
                </c:pt>
                <c:pt idx="143">
                  <c:v>60.846074985004279</c:v>
                </c:pt>
                <c:pt idx="144">
                  <c:v>60.443335440780302</c:v>
                </c:pt>
                <c:pt idx="145">
                  <c:v>60.043683324847045</c:v>
                </c:pt>
                <c:pt idx="146">
                  <c:v>59.647541285865508</c:v>
                </c:pt>
                <c:pt idx="147">
                  <c:v>59.255336680039967</c:v>
                </c:pt>
                <c:pt idx="148">
                  <c:v>58.867500581987109</c:v>
                </c:pt>
                <c:pt idx="149">
                  <c:v>58.484466760902521</c:v>
                </c:pt>
                <c:pt idx="150">
                  <c:v>58.106670627094303</c:v>
                </c:pt>
                <c:pt idx="151">
                  <c:v>57.73454815420682</c:v>
                </c:pt>
                <c:pt idx="152">
                  <c:v>57.368534782633404</c:v>
                </c:pt>
                <c:pt idx="153">
                  <c:v>57.009064309728167</c:v>
                </c:pt>
                <c:pt idx="154">
                  <c:v>56.656567772487399</c:v>
                </c:pt>
                <c:pt idx="155">
                  <c:v>56.311472328334773</c:v>
                </c:pt>
                <c:pt idx="156">
                  <c:v>55.974200139579111</c:v>
                </c:pt>
                <c:pt idx="157">
                  <c:v>55.645167266949223</c:v>
                </c:pt>
                <c:pt idx="158">
                  <c:v>55.324782577413352</c:v>
                </c:pt>
                <c:pt idx="159">
                  <c:v>55.013446671228778</c:v>
                </c:pt>
                <c:pt idx="160">
                  <c:v>54.711550832851934</c:v>
                </c:pt>
                <c:pt idx="161">
                  <c:v>54.419476009998696</c:v>
                </c:pt>
                <c:pt idx="162">
                  <c:v>54.137591824753258</c:v>
                </c:pt>
                <c:pt idx="163">
                  <c:v>53.86625562021986</c:v>
                </c:pt>
                <c:pt idx="164">
                  <c:v>53.60581154579107</c:v>
                </c:pt>
                <c:pt idx="165">
                  <c:v>53.356589683667472</c:v>
                </c:pt>
                <c:pt idx="166">
                  <c:v>53.118905218835586</c:v>
                </c:pt>
                <c:pt idx="167">
                  <c:v>52.893057654292939</c:v>
                </c:pt>
                <c:pt idx="168">
                  <c:v>52.679330072900463</c:v>
                </c:pt>
                <c:pt idx="169">
                  <c:v>52.477988446858333</c:v>
                </c:pt>
                <c:pt idx="170">
                  <c:v>52.289280995460217</c:v>
                </c:pt>
                <c:pt idx="171">
                  <c:v>52.113437591450861</c:v>
                </c:pt>
                <c:pt idx="172">
                  <c:v>51.950669216050045</c:v>
                </c:pt>
                <c:pt idx="173">
                  <c:v>51.80116746245865</c:v>
                </c:pt>
                <c:pt idx="174">
                  <c:v>51.665104087483044</c:v>
                </c:pt>
                <c:pt idx="175">
                  <c:v>51.542630610762856</c:v>
                </c:pt>
                <c:pt idx="176">
                  <c:v>51.433877960993868</c:v>
                </c:pt>
                <c:pt idx="177">
                  <c:v>51.338956168478347</c:v>
                </c:pt>
                <c:pt idx="178">
                  <c:v>51.25795410332239</c:v>
                </c:pt>
                <c:pt idx="179">
                  <c:v>51.190939258629214</c:v>
                </c:pt>
                <c:pt idx="180">
                  <c:v>51.137957578088681</c:v>
                </c:pt>
                <c:pt idx="181">
                  <c:v>51.099033327460866</c:v>
                </c:pt>
                <c:pt idx="182">
                  <c:v>51.074169009555668</c:v>
                </c:pt>
                <c:pt idx="183">
                  <c:v>51.063345322448612</c:v>
                </c:pt>
                <c:pt idx="184">
                  <c:v>51.066521160811064</c:v>
                </c:pt>
                <c:pt idx="185">
                  <c:v>51.083633660381231</c:v>
                </c:pt>
                <c:pt idx="186">
                  <c:v>51.114598285753743</c:v>
                </c:pt>
                <c:pt idx="187">
                  <c:v>51.159308961794466</c:v>
                </c:pt>
                <c:pt idx="188">
                  <c:v>51.217638249122992</c:v>
                </c:pt>
                <c:pt idx="189">
                  <c:v>51.289437564199403</c:v>
                </c:pt>
                <c:pt idx="190">
                  <c:v>51.374537444631528</c:v>
                </c:pt>
                <c:pt idx="191">
                  <c:v>51.472747860366624</c:v>
                </c:pt>
                <c:pt idx="192">
                  <c:v>51.583858571440203</c:v>
                </c:pt>
                <c:pt idx="193">
                  <c:v>51.707639532916446</c:v>
                </c:pt>
                <c:pt idx="194">
                  <c:v>51.843841347597525</c:v>
                </c:pt>
                <c:pt idx="195">
                  <c:v>51.992195766942721</c:v>
                </c:pt>
                <c:pt idx="196">
                  <c:v>52.152416240490567</c:v>
                </c:pt>
                <c:pt idx="197">
                  <c:v>52.324198513857077</c:v>
                </c:pt>
                <c:pt idx="198">
                  <c:v>52.507221275140886</c:v>
                </c:pt>
                <c:pt idx="199">
                  <c:v>52.70114684926267</c:v>
                </c:pt>
                <c:pt idx="200">
                  <c:v>52.905621939445567</c:v>
                </c:pt>
                <c:pt idx="201">
                  <c:v>53.120278414666814</c:v>
                </c:pt>
                <c:pt idx="202">
                  <c:v>53.344734141530438</c:v>
                </c:pt>
                <c:pt idx="203">
                  <c:v>53.578593858590892</c:v>
                </c:pt>
                <c:pt idx="204">
                  <c:v>53.821450090731553</c:v>
                </c:pt>
                <c:pt idx="205">
                  <c:v>54.072884100774047</c:v>
                </c:pt>
                <c:pt idx="206">
                  <c:v>54.332466875059595</c:v>
                </c:pt>
                <c:pt idx="207">
                  <c:v>54.599760139329085</c:v>
                </c:pt>
                <c:pt idx="208">
                  <c:v>54.874317400828367</c:v>
                </c:pt>
                <c:pt idx="209">
                  <c:v>55.155685012197992</c:v>
                </c:pt>
                <c:pt idx="210">
                  <c:v>55.443403252364504</c:v>
                </c:pt>
                <c:pt idx="211">
                  <c:v>55.737007419376226</c:v>
                </c:pt>
                <c:pt idx="212">
                  <c:v>56.036028929871939</c:v>
                </c:pt>
                <c:pt idx="213">
                  <c:v>56.339996419696547</c:v>
                </c:pt>
                <c:pt idx="214">
                  <c:v>56.648436840056114</c:v>
                </c:pt>
                <c:pt idx="215">
                  <c:v>56.960876543544266</c:v>
                </c:pt>
                <c:pt idx="216">
                  <c:v>57.276842354385771</c:v>
                </c:pt>
                <c:pt idx="217">
                  <c:v>57.595862617314765</c:v>
                </c:pt>
                <c:pt idx="218">
                  <c:v>57.917468219650495</c:v>
                </c:pt>
                <c:pt idx="219">
                  <c:v>58.241193581345897</c:v>
                </c:pt>
                <c:pt idx="220">
                  <c:v>58.56657760803791</c:v>
                </c:pt>
                <c:pt idx="221">
                  <c:v>58.893164602475927</c:v>
                </c:pt>
                <c:pt idx="222">
                  <c:v>59.22050513005258</c:v>
                </c:pt>
                <c:pt idx="223">
                  <c:v>59.548156834611461</c:v>
                </c:pt>
                <c:pt idx="224">
                  <c:v>59.875685201133621</c:v>
                </c:pt>
                <c:pt idx="225">
                  <c:v>60.202664262416597</c:v>
                </c:pt>
                <c:pt idx="226">
                  <c:v>60.528677247349343</c:v>
                </c:pt>
                <c:pt idx="227">
                  <c:v>60.853317168914366</c:v>
                </c:pt>
                <c:pt idx="228">
                  <c:v>61.176187350577131</c:v>
                </c:pt>
                <c:pt idx="229">
                  <c:v>61.496901890236416</c:v>
                </c:pt>
                <c:pt idx="230">
                  <c:v>61.815086061431494</c:v>
                </c:pt>
                <c:pt idx="231">
                  <c:v>62.130376651988129</c:v>
                </c:pt>
                <c:pt idx="232">
                  <c:v>62.442422240760934</c:v>
                </c:pt>
                <c:pt idx="233">
                  <c:v>62.750883413577483</c:v>
                </c:pt>
                <c:pt idx="234">
                  <c:v>63.055432919883714</c:v>
                </c:pt>
                <c:pt idx="235">
                  <c:v>63.355755771978444</c:v>
                </c:pt>
                <c:pt idx="236">
                  <c:v>63.651549289047132</c:v>
                </c:pt>
                <c:pt idx="237">
                  <c:v>63.942523088495733</c:v>
                </c:pt>
                <c:pt idx="238">
                  <c:v>64.228399027336522</c:v>
                </c:pt>
                <c:pt idx="239">
                  <c:v>64.508911096577364</c:v>
                </c:pt>
                <c:pt idx="240">
                  <c:v>64.783805271727203</c:v>
                </c:pt>
                <c:pt idx="241">
                  <c:v>65.052839322656965</c:v>
                </c:pt>
                <c:pt idx="242">
                  <c:v>65.315782586123774</c:v>
                </c:pt>
                <c:pt idx="243">
                  <c:v>65.572415704316271</c:v>
                </c:pt>
                <c:pt idx="244">
                  <c:v>65.822530332787835</c:v>
                </c:pt>
                <c:pt idx="245">
                  <c:v>66.065928821110361</c:v>
                </c:pt>
                <c:pt idx="246">
                  <c:v>66.302423869538657</c:v>
                </c:pt>
                <c:pt idx="247">
                  <c:v>66.531838164890004</c:v>
                </c:pt>
                <c:pt idx="248">
                  <c:v>66.754003998742391</c:v>
                </c:pt>
                <c:pt idx="249">
                  <c:v>66.968762870937582</c:v>
                </c:pt>
                <c:pt idx="250">
                  <c:v>67.175965081236711</c:v>
                </c:pt>
                <c:pt idx="251">
                  <c:v>67.375469311829505</c:v>
                </c:pt>
                <c:pt idx="252">
                  <c:v>67.567142203238319</c:v>
                </c:pt>
                <c:pt idx="253">
                  <c:v>67.750857925995206</c:v>
                </c:pt>
                <c:pt idx="254">
                  <c:v>67.926497750302374</c:v>
                </c:pt>
                <c:pt idx="255">
                  <c:v>68.093949615709732</c:v>
                </c:pt>
                <c:pt idx="256">
                  <c:v>68.253107702685739</c:v>
                </c:pt>
                <c:pt idx="257">
                  <c:v>68.403872007773174</c:v>
                </c:pt>
                <c:pt idx="258">
                  <c:v>68.546147923869739</c:v>
                </c:pt>
                <c:pt idx="259">
                  <c:v>68.679845827011079</c:v>
                </c:pt>
                <c:pt idx="260">
                  <c:v>68.8048806708765</c:v>
                </c:pt>
                <c:pt idx="261">
                  <c:v>68.921171590096776</c:v>
                </c:pt>
                <c:pt idx="262">
                  <c:v>69.028641513305658</c:v>
                </c:pt>
                <c:pt idx="263">
                  <c:v>69.127216786742878</c:v>
                </c:pt>
                <c:pt idx="264">
                  <c:v>69.216826809101278</c:v>
                </c:pt>
                <c:pt idx="265">
                  <c:v>69.297403678196659</c:v>
                </c:pt>
                <c:pt idx="266">
                  <c:v>69.368881849937026</c:v>
                </c:pt>
                <c:pt idx="267">
                  <c:v>69.431197809975515</c:v>
                </c:pt>
                <c:pt idx="268">
                  <c:v>69.484289758347188</c:v>
                </c:pt>
                <c:pt idx="269">
                  <c:v>69.528097307315576</c:v>
                </c:pt>
                <c:pt idx="270">
                  <c:v>69.562561192586486</c:v>
                </c:pt>
                <c:pt idx="271">
                  <c:v>69.587622997991772</c:v>
                </c:pt>
                <c:pt idx="272">
                  <c:v>69.603224893692513</c:v>
                </c:pt>
                <c:pt idx="273">
                  <c:v>69.6093093879104</c:v>
                </c:pt>
                <c:pt idx="274">
                  <c:v>69.605819092159692</c:v>
                </c:pt>
                <c:pt idx="275">
                  <c:v>69.59269649992531</c:v>
                </c:pt>
                <c:pt idx="276">
                  <c:v>69.569883778706568</c:v>
                </c:pt>
                <c:pt idx="277">
                  <c:v>69.537322575333846</c:v>
                </c:pt>
                <c:pt idx="278">
                  <c:v>69.494953834451877</c:v>
                </c:pt>
                <c:pt idx="279">
                  <c:v>69.442717630055085</c:v>
                </c:pt>
                <c:pt idx="280">
                  <c:v>69.380553009966363</c:v>
                </c:pt>
                <c:pt idx="281">
                  <c:v>69.308397853143845</c:v>
                </c:pt>
                <c:pt idx="282">
                  <c:v>69.226188739711844</c:v>
                </c:pt>
                <c:pt idx="283">
                  <c:v>69.133860833625505</c:v>
                </c:pt>
                <c:pt idx="284">
                  <c:v>69.031347777879844</c:v>
                </c:pt>
                <c:pt idx="285">
                  <c:v>68.91858160220626</c:v>
                </c:pt>
                <c:pt idx="286">
                  <c:v>68.795492643199694</c:v>
                </c:pt>
                <c:pt idx="287">
                  <c:v>68.662009476856795</c:v>
                </c:pt>
                <c:pt idx="288">
                  <c:v>68.518058863512806</c:v>
                </c:pt>
                <c:pt idx="289">
                  <c:v>68.363565705200017</c:v>
                </c:pt>
                <c:pt idx="290">
                  <c:v>68.198453015467905</c:v>
                </c:pt>
                <c:pt idx="291">
                  <c:v>68.022641901732953</c:v>
                </c:pt>
                <c:pt idx="292">
                  <c:v>67.836051560255513</c:v>
                </c:pt>
                <c:pt idx="293">
                  <c:v>67.638599283863215</c:v>
                </c:pt>
                <c:pt idx="294">
                  <c:v>67.430200482570029</c:v>
                </c:pt>
                <c:pt idx="295">
                  <c:v>67.210768717267428</c:v>
                </c:pt>
                <c:pt idx="296">
                  <c:v>66.98021574668887</c:v>
                </c:pt>
                <c:pt idx="297">
                  <c:v>66.738451587877023</c:v>
                </c:pt>
                <c:pt idx="298">
                  <c:v>66.485384590403996</c:v>
                </c:pt>
                <c:pt idx="299">
                  <c:v>66.220921524626007</c:v>
                </c:pt>
                <c:pt idx="300">
                  <c:v>65.944967684264753</c:v>
                </c:pt>
                <c:pt idx="301">
                  <c:v>65.657427003640663</c:v>
                </c:pt>
                <c:pt idx="302">
                  <c:v>65.358202189891017</c:v>
                </c:pt>
                <c:pt idx="303">
                  <c:v>65.047194870526113</c:v>
                </c:pt>
                <c:pt idx="304">
                  <c:v>64.72430575668939</c:v>
                </c:pt>
                <c:pt idx="305">
                  <c:v>64.38943482249212</c:v>
                </c:pt>
                <c:pt idx="306">
                  <c:v>64.042481500805835</c:v>
                </c:pt>
                <c:pt idx="307">
                  <c:v>63.683344895885426</c:v>
                </c:pt>
                <c:pt idx="308">
                  <c:v>63.31192401320633</c:v>
                </c:pt>
                <c:pt idx="309">
                  <c:v>62.928118006875891</c:v>
                </c:pt>
                <c:pt idx="310">
                  <c:v>62.531826444973923</c:v>
                </c:pt>
                <c:pt idx="311">
                  <c:v>62.122949593151766</c:v>
                </c:pt>
                <c:pt idx="312">
                  <c:v>61.70138871679589</c:v>
                </c:pt>
                <c:pt idx="313">
                  <c:v>61.267046402019815</c:v>
                </c:pt>
                <c:pt idx="314">
                  <c:v>60.819826895713746</c:v>
                </c:pt>
                <c:pt idx="315">
                  <c:v>60.359636464825051</c:v>
                </c:pt>
                <c:pt idx="316">
                  <c:v>59.886383774986868</c:v>
                </c:pt>
                <c:pt idx="317">
                  <c:v>59.399980288538934</c:v>
                </c:pt>
                <c:pt idx="318">
                  <c:v>58.900340681912866</c:v>
                </c:pt>
                <c:pt idx="319">
                  <c:v>58.387383282261624</c:v>
                </c:pt>
                <c:pt idx="320">
                  <c:v>57.861030523115716</c:v>
                </c:pt>
                <c:pt idx="321">
                  <c:v>57.321209418745561</c:v>
                </c:pt>
                <c:pt idx="322">
                  <c:v>56.767852056780612</c:v>
                </c:pt>
                <c:pt idx="323">
                  <c:v>56.20089610852078</c:v>
                </c:pt>
                <c:pt idx="324">
                  <c:v>55.620285356225175</c:v>
                </c:pt>
                <c:pt idx="325">
                  <c:v>55.025970236523122</c:v>
                </c:pt>
                <c:pt idx="326">
                  <c:v>54.417908398928958</c:v>
                </c:pt>
                <c:pt idx="327">
                  <c:v>53.796065278280878</c:v>
                </c:pt>
                <c:pt idx="328">
                  <c:v>53.160414679749351</c:v>
                </c:pt>
                <c:pt idx="329">
                  <c:v>52.510939374874184</c:v>
                </c:pt>
                <c:pt idx="330">
                  <c:v>51.84763170691933</c:v>
                </c:pt>
                <c:pt idx="331">
                  <c:v>51.170494203625132</c:v>
                </c:pt>
                <c:pt idx="332">
                  <c:v>50.479540195270516</c:v>
                </c:pt>
                <c:pt idx="333">
                  <c:v>49.774794435739977</c:v>
                </c:pt>
                <c:pt idx="334">
                  <c:v>49.056293724132956</c:v>
                </c:pt>
                <c:pt idx="335">
                  <c:v>48.324087524243019</c:v>
                </c:pt>
                <c:pt idx="336">
                  <c:v>47.57823857907978</c:v>
                </c:pt>
                <c:pt idx="337">
                  <c:v>46.81882351742204</c:v>
                </c:pt>
                <c:pt idx="338">
                  <c:v>46.045933449262691</c:v>
                </c:pt>
                <c:pt idx="339">
                  <c:v>45.2596745468447</c:v>
                </c:pt>
                <c:pt idx="340">
                  <c:v>44.460168607895937</c:v>
                </c:pt>
                <c:pt idx="341">
                  <c:v>43.647553597553696</c:v>
                </c:pt>
                <c:pt idx="342">
                  <c:v>42.821984165423167</c:v>
                </c:pt>
                <c:pt idx="343">
                  <c:v>41.983632134153297</c:v>
                </c:pt>
                <c:pt idx="344">
                  <c:v>41.132686955919922</c:v>
                </c:pt>
                <c:pt idx="345">
                  <c:v>40.269356133213122</c:v>
                </c:pt>
                <c:pt idx="346">
                  <c:v>39.393865600389745</c:v>
                </c:pt>
                <c:pt idx="347">
                  <c:v>38.506460062547234</c:v>
                </c:pt>
                <c:pt idx="348">
                  <c:v>37.607403288384006</c:v>
                </c:pt>
                <c:pt idx="349">
                  <c:v>36.696978353896384</c:v>
                </c:pt>
                <c:pt idx="350">
                  <c:v>35.775487833946357</c:v>
                </c:pt>
                <c:pt idx="351">
                  <c:v>34.843253938970832</c:v>
                </c:pt>
                <c:pt idx="352">
                  <c:v>33.90061859437089</c:v>
                </c:pt>
                <c:pt idx="353">
                  <c:v>32.947943460414081</c:v>
                </c:pt>
                <c:pt idx="354">
                  <c:v>31.985609890795576</c:v>
                </c:pt>
                <c:pt idx="355">
                  <c:v>31.014018828374393</c:v>
                </c:pt>
                <c:pt idx="356">
                  <c:v>30.033590636927403</c:v>
                </c:pt>
                <c:pt idx="357">
                  <c:v>29.044764868180803</c:v>
                </c:pt>
                <c:pt idx="358">
                  <c:v>28.047999963734547</c:v>
                </c:pt>
                <c:pt idx="359">
                  <c:v>27.043772891908837</c:v>
                </c:pt>
                <c:pt idx="360">
                  <c:v>26.032578719914486</c:v>
                </c:pt>
                <c:pt idx="361">
                  <c:v>25.014930122146303</c:v>
                </c:pt>
                <c:pt idx="362">
                  <c:v>23.991356825760558</c:v>
                </c:pt>
                <c:pt idx="363">
                  <c:v>22.962404995059124</c:v>
                </c:pt>
                <c:pt idx="364">
                  <c:v>21.928636556538326</c:v>
                </c:pt>
                <c:pt idx="365">
                  <c:v>20.890628466772018</c:v>
                </c:pt>
                <c:pt idx="366">
                  <c:v>19.8489719255886</c:v>
                </c:pt>
                <c:pt idx="367">
                  <c:v>18.804271537260757</c:v>
                </c:pt>
                <c:pt idx="368">
                  <c:v>17.757144422653422</c:v>
                </c:pt>
                <c:pt idx="369">
                  <c:v>16.708219285485306</c:v>
                </c:pt>
                <c:pt idx="370">
                  <c:v>15.658135436023517</c:v>
                </c:pt>
                <c:pt idx="371">
                  <c:v>14.60754177568249</c:v>
                </c:pt>
                <c:pt idx="372">
                  <c:v>13.557095746113683</c:v>
                </c:pt>
                <c:pt idx="373">
                  <c:v>12.507462246470878</c:v>
                </c:pt>
                <c:pt idx="374">
                  <c:v>11.459312522605872</c:v>
                </c:pt>
                <c:pt idx="375">
                  <c:v>10.413323032015176</c:v>
                </c:pt>
                <c:pt idx="376">
                  <c:v>9.3701742883761128</c:v>
                </c:pt>
                <c:pt idx="377">
                  <c:v>8.3305496895663307</c:v>
                </c:pt>
                <c:pt idx="378">
                  <c:v>7.2951343330457368</c:v>
                </c:pt>
                <c:pt idx="379">
                  <c:v>6.2646138225051304</c:v>
                </c:pt>
                <c:pt idx="380">
                  <c:v>5.2396730696685827</c:v>
                </c:pt>
                <c:pt idx="381">
                  <c:v>4.2209950951357982</c:v>
                </c:pt>
                <c:pt idx="382">
                  <c:v>3.209259832119328</c:v>
                </c:pt>
                <c:pt idx="383">
                  <c:v>2.2051429369129343</c:v>
                </c:pt>
                <c:pt idx="384">
                  <c:v>1.2093146098857428</c:v>
                </c:pt>
                <c:pt idx="385">
                  <c:v>0.222438430751491</c:v>
                </c:pt>
                <c:pt idx="386">
                  <c:v>-0.75482978821047941</c:v>
                </c:pt>
                <c:pt idx="387">
                  <c:v>-1.7218431273601731</c:v>
                </c:pt>
                <c:pt idx="388">
                  <c:v>-2.6779646598312401</c:v>
                </c:pt>
                <c:pt idx="389">
                  <c:v>-3.6225685231786207</c:v>
                </c:pt>
                <c:pt idx="390">
                  <c:v>-4.555040959292298</c:v>
                </c:pt>
                <c:pt idx="391">
                  <c:v>-5.4747813194685451</c:v>
                </c:pt>
                <c:pt idx="392">
                  <c:v>-6.3812030317235724</c:v>
                </c:pt>
                <c:pt idx="393">
                  <c:v>-7.273734527651281</c:v>
                </c:pt>
                <c:pt idx="394">
                  <c:v>-8.1518201263517103</c:v>
                </c:pt>
                <c:pt idx="395">
                  <c:v>-9.0149208732319579</c:v>
                </c:pt>
                <c:pt idx="396">
                  <c:v>-9.8625153317594982</c:v>
                </c:pt>
                <c:pt idx="397">
                  <c:v>-10.694100326547956</c:v>
                </c:pt>
                <c:pt idx="398">
                  <c:v>-11.509191636494979</c:v>
                </c:pt>
                <c:pt idx="399">
                  <c:v>-12.307324637008731</c:v>
                </c:pt>
                <c:pt idx="400">
                  <c:v>-13.088054890715554</c:v>
                </c:pt>
                <c:pt idx="401">
                  <c:v>-13.850958686390625</c:v>
                </c:pt>
                <c:pt idx="402">
                  <c:v>-14.595633526195099</c:v>
                </c:pt>
                <c:pt idx="403">
                  <c:v>-15.321698561640931</c:v>
                </c:pt>
                <c:pt idx="404">
                  <c:v>-16.028794979048172</c:v>
                </c:pt>
                <c:pt idx="405">
                  <c:v>-16.716586335540047</c:v>
                </c:pt>
                <c:pt idx="406">
                  <c:v>-17.384758846935462</c:v>
                </c:pt>
                <c:pt idx="407">
                  <c:v>-18.033021629136712</c:v>
                </c:pt>
                <c:pt idx="408">
                  <c:v>-18.661106894836077</c:v>
                </c:pt>
                <c:pt idx="409">
                  <c:v>-19.268770107561561</c:v>
                </c:pt>
                <c:pt idx="410">
                  <c:v>-19.855790095220485</c:v>
                </c:pt>
                <c:pt idx="411">
                  <c:v>-20.421969125408872</c:v>
                </c:pt>
                <c:pt idx="412">
                  <c:v>-20.967132944817049</c:v>
                </c:pt>
                <c:pt idx="413">
                  <c:v>-21.4911307850846</c:v>
                </c:pt>
                <c:pt idx="414">
                  <c:v>-21.993835337422723</c:v>
                </c:pt>
                <c:pt idx="415">
                  <c:v>-22.475142698265554</c:v>
                </c:pt>
                <c:pt idx="416">
                  <c:v>-22.934972288095274</c:v>
                </c:pt>
                <c:pt idx="417">
                  <c:v>-23.373266745443242</c:v>
                </c:pt>
                <c:pt idx="418">
                  <c:v>-23.789991797881552</c:v>
                </c:pt>
                <c:pt idx="419">
                  <c:v>-24.185136111609847</c:v>
                </c:pt>
                <c:pt idx="420">
                  <c:v>-24.558711120997923</c:v>
                </c:pt>
                <c:pt idx="421">
                  <c:v>-24.910750839181702</c:v>
                </c:pt>
                <c:pt idx="422">
                  <c:v>-25.241311650526274</c:v>
                </c:pt>
                <c:pt idx="423">
                  <c:v>-25.55047208548271</c:v>
                </c:pt>
                <c:pt idx="424">
                  <c:v>-25.838332578060644</c:v>
                </c:pt>
                <c:pt idx="425">
                  <c:v>-26.105015205839766</c:v>
                </c:pt>
                <c:pt idx="426">
                  <c:v>-26.350663412162561</c:v>
                </c:pt>
                <c:pt idx="427">
                  <c:v>-26.575441709850029</c:v>
                </c:pt>
                <c:pt idx="428">
                  <c:v>-26.7795353655391</c:v>
                </c:pt>
                <c:pt idx="429">
                  <c:v>-26.963150063492748</c:v>
                </c:pt>
                <c:pt idx="430">
                  <c:v>-27.126511547524323</c:v>
                </c:pt>
                <c:pt idx="431">
                  <c:v>-27.269865239507158</c:v>
                </c:pt>
                <c:pt idx="432">
                  <c:v>-27.39347583279898</c:v>
                </c:pt>
                <c:pt idx="433">
                  <c:v>-27.497626858826798</c:v>
                </c:pt>
                <c:pt idx="434">
                  <c:v>-27.582620225019518</c:v>
                </c:pt>
                <c:pt idx="435">
                  <c:v>-27.648775722293504</c:v>
                </c:pt>
                <c:pt idx="436">
                  <c:v>-27.696430500335282</c:v>
                </c:pt>
                <c:pt idx="437">
                  <c:v>-27.725938509047662</c:v>
                </c:pt>
                <c:pt idx="438">
                  <c:v>-27.737669904674132</c:v>
                </c:pt>
                <c:pt idx="439">
                  <c:v>-27.732010419336795</c:v>
                </c:pt>
                <c:pt idx="440">
                  <c:v>-27.709360692972005</c:v>
                </c:pt>
                <c:pt idx="441">
                  <c:v>-27.670135566977297</c:v>
                </c:pt>
                <c:pt idx="442">
                  <c:v>-27.614763339211731</c:v>
                </c:pt>
                <c:pt idx="443">
                  <c:v>-27.543684980401611</c:v>
                </c:pt>
                <c:pt idx="444">
                  <c:v>-27.457353312415162</c:v>
                </c:pt>
                <c:pt idx="445">
                  <c:v>-27.356232149325354</c:v>
                </c:pt>
                <c:pt idx="446">
                  <c:v>-27.24079540264383</c:v>
                </c:pt>
                <c:pt idx="447">
                  <c:v>-27.111526152590308</c:v>
                </c:pt>
                <c:pt idx="448">
                  <c:v>-26.968915687739234</c:v>
                </c:pt>
                <c:pt idx="449">
                  <c:v>-26.813462515862987</c:v>
                </c:pt>
                <c:pt idx="450">
                  <c:v>-26.645671349243312</c:v>
                </c:pt>
                <c:pt idx="451">
                  <c:v>-26.466052068158984</c:v>
                </c:pt>
                <c:pt idx="452">
                  <c:v>-26.275118666657729</c:v>
                </c:pt>
                <c:pt idx="453">
                  <c:v>-26.07338818507807</c:v>
                </c:pt>
                <c:pt idx="454">
                  <c:v>-25.86137963409567</c:v>
                </c:pt>
                <c:pt idx="455">
                  <c:v>-25.63961291532507</c:v>
                </c:pt>
                <c:pt idx="456">
                  <c:v>-25.408607743706614</c:v>
                </c:pt>
                <c:pt idx="457">
                  <c:v>-25.168882577024931</c:v>
                </c:pt>
                <c:pt idx="458">
                  <c:v>-24.920953557991535</c:v>
                </c:pt>
                <c:pt idx="459">
                  <c:v>-24.665333474288076</c:v>
                </c:pt>
                <c:pt idx="460">
                  <c:v>-24.402530741921783</c:v>
                </c:pt>
                <c:pt idx="461">
                  <c:v>-24.133048417078594</c:v>
                </c:pt>
                <c:pt idx="462">
                  <c:v>-23.85738324146131</c:v>
                </c:pt>
                <c:pt idx="463">
                  <c:v>-23.576024725831015</c:v>
                </c:pt>
                <c:pt idx="464">
                  <c:v>-23.289454276143328</c:v>
                </c:pt>
                <c:pt idx="465">
                  <c:v>-22.998144366289576</c:v>
                </c:pt>
                <c:pt idx="466">
                  <c:v>-22.702557761042939</c:v>
                </c:pt>
                <c:pt idx="467">
                  <c:v>-22.403146792346469</c:v>
                </c:pt>
                <c:pt idx="468">
                  <c:v>-22.10035269160435</c:v>
                </c:pt>
                <c:pt idx="469">
                  <c:v>-21.794604980127211</c:v>
                </c:pt>
                <c:pt idx="470">
                  <c:v>-21.486320919376062</c:v>
                </c:pt>
                <c:pt idx="471">
                  <c:v>-21.175905022129839</c:v>
                </c:pt>
                <c:pt idx="472">
                  <c:v>-20.863748625186435</c:v>
                </c:pt>
                <c:pt idx="473">
                  <c:v>-20.550229523714016</c:v>
                </c:pt>
                <c:pt idx="474">
                  <c:v>-20.235711666882771</c:v>
                </c:pt>
                <c:pt idx="475">
                  <c:v>-19.920544913951669</c:v>
                </c:pt>
                <c:pt idx="476">
                  <c:v>-19.605064849564059</c:v>
                </c:pt>
                <c:pt idx="477">
                  <c:v>-19.289592656602867</c:v>
                </c:pt>
                <c:pt idx="478">
                  <c:v>-18.974435044616417</c:v>
                </c:pt>
                <c:pt idx="479">
                  <c:v>-18.659884231502232</c:v>
                </c:pt>
                <c:pt idx="480">
                  <c:v>-18.346217975861279</c:v>
                </c:pt>
                <c:pt idx="481">
                  <c:v>-18.033699657225842</c:v>
                </c:pt>
                <c:pt idx="482">
                  <c:v>-17.722578401148418</c:v>
                </c:pt>
                <c:pt idx="483">
                  <c:v>-17.41308924602388</c:v>
                </c:pt>
                <c:pt idx="484">
                  <c:v>-17.105453348395852</c:v>
                </c:pt>
                <c:pt idx="485">
                  <c:v>-16.799878223438427</c:v>
                </c:pt>
                <c:pt idx="486">
                  <c:v>-16.496558017282332</c:v>
                </c:pt>
                <c:pt idx="487">
                  <c:v>-16.195673807852955</c:v>
                </c:pt>
                <c:pt idx="488">
                  <c:v>-15.897393930930939</c:v>
                </c:pt>
                <c:pt idx="489">
                  <c:v>-15.601874328206462</c:v>
                </c:pt>
                <c:pt idx="490">
                  <c:v>-15.309258914190732</c:v>
                </c:pt>
                <c:pt idx="491">
                  <c:v>-15.01967995895853</c:v>
                </c:pt>
                <c:pt idx="492">
                  <c:v>-14.733258483820302</c:v>
                </c:pt>
                <c:pt idx="493">
                  <c:v>-14.450104667171622</c:v>
                </c:pt>
                <c:pt idx="494">
                  <c:v>-14.170318257914492</c:v>
                </c:pt>
                <c:pt idx="495">
                  <c:v>-13.89398899401483</c:v>
                </c:pt>
                <c:pt idx="496">
                  <c:v>-13.621197023926275</c:v>
                </c:pt>
                <c:pt idx="497">
                  <c:v>-13.352013328781322</c:v>
                </c:pt>
                <c:pt idx="498">
                  <c:v>-13.086500143429689</c:v>
                </c:pt>
                <c:pt idx="499">
                  <c:v>-12.82471137457058</c:v>
                </c:pt>
                <c:pt idx="500">
                  <c:v>-12.566693014400752</c:v>
                </c:pt>
                <c:pt idx="501">
                  <c:v>-12.312483548363859</c:v>
                </c:pt>
                <c:pt idx="502">
                  <c:v>-12.062114355749207</c:v>
                </c:pt>
                <c:pt idx="503">
                  <c:v>-11.815610102040573</c:v>
                </c:pt>
                <c:pt idx="504">
                  <c:v>-11.572989122066708</c:v>
                </c:pt>
                <c:pt idx="505">
                  <c:v>-11.334263793142528</c:v>
                </c:pt>
                <c:pt idx="506">
                  <c:v>-11.099440897518463</c:v>
                </c:pt>
                <c:pt idx="507">
                  <c:v>-10.868521973587288</c:v>
                </c:pt>
                <c:pt idx="508">
                  <c:v>-10.641503655399346</c:v>
                </c:pt>
                <c:pt idx="509">
                  <c:v>-10.418378000153204</c:v>
                </c:pt>
                <c:pt idx="510">
                  <c:v>-10.199132803419085</c:v>
                </c:pt>
                <c:pt idx="511">
                  <c:v>-9.9837519019398844</c:v>
                </c:pt>
                <c:pt idx="512">
                  <c:v>-9.772215463939439</c:v>
                </c:pt>
                <c:pt idx="513">
                  <c:v>-9.5645002669305956</c:v>
                </c:pt>
                <c:pt idx="514">
                  <c:v>-9.3605799630887017</c:v>
                </c:pt>
                <c:pt idx="515">
                  <c:v>-9.1604253323037739</c:v>
                </c:pt>
                <c:pt idx="516">
                  <c:v>-8.9640045230793977</c:v>
                </c:pt>
                <c:pt idx="517">
                  <c:v>-8.7712832814882127</c:v>
                </c:pt>
                <c:pt idx="518">
                  <c:v>-8.5822251684285522</c:v>
                </c:pt>
                <c:pt idx="519">
                  <c:v>-8.3967917654597652</c:v>
                </c:pt>
                <c:pt idx="520">
                  <c:v>-8.2149428695207796</c:v>
                </c:pt>
                <c:pt idx="521">
                  <c:v>-8.0366366768536697</c:v>
                </c:pt>
                <c:pt idx="522">
                  <c:v>-7.86182995647623</c:v>
                </c:pt>
                <c:pt idx="523">
                  <c:v>-7.6904782135564309</c:v>
                </c:pt>
                <c:pt idx="524">
                  <c:v>-7.5225358430514238</c:v>
                </c:pt>
                <c:pt idx="525">
                  <c:v>-7.3579562739841675</c:v>
                </c:pt>
                <c:pt idx="526">
                  <c:v>-7.1966921047275214</c:v>
                </c:pt>
                <c:pt idx="527">
                  <c:v>-7.0386952296736265</c:v>
                </c:pt>
                <c:pt idx="528">
                  <c:v>-6.8839169576588475</c:v>
                </c:pt>
                <c:pt idx="529">
                  <c:v>-6.7323081225161241</c:v>
                </c:pt>
                <c:pt idx="530">
                  <c:v>-6.5838191861195936</c:v>
                </c:pt>
                <c:pt idx="531">
                  <c:v>-6.438400334280094</c:v>
                </c:pt>
                <c:pt idx="532">
                  <c:v>-6.2960015658435449</c:v>
                </c:pt>
                <c:pt idx="533">
                  <c:v>-6.1565727753352455</c:v>
                </c:pt>
                <c:pt idx="534">
                  <c:v>-6.0200638294847204</c:v>
                </c:pt>
                <c:pt idx="535">
                  <c:v>-5.8864246379530663</c:v>
                </c:pt>
                <c:pt idx="536">
                  <c:v>-5.7556052185797881</c:v>
                </c:pt>
                <c:pt idx="537">
                  <c:v>-5.6275557574491888</c:v>
                </c:pt>
                <c:pt idx="538">
                  <c:v>-5.5022266640687771</c:v>
                </c:pt>
                <c:pt idx="539">
                  <c:v>-5.3795686219416776</c:v>
                </c:pt>
                <c:pt idx="540">
                  <c:v>-5.2595326348003182</c:v>
                </c:pt>
                <c:pt idx="541">
                  <c:v>-5.1420700687611554</c:v>
                </c:pt>
              </c:numCache>
            </c:numRef>
          </c:yVal>
          <c:smooth val="1"/>
          <c:extLst>
            <c:ext xmlns:c16="http://schemas.microsoft.com/office/drawing/2014/chart" uri="{C3380CC4-5D6E-409C-BE32-E72D297353CC}">
              <c16:uniqueId val="{00000001-F11A-4C29-9835-786B9CEC5C6A}"/>
            </c:ext>
          </c:extLst>
        </c:ser>
        <c:dLbls>
          <c:showLegendKey val="0"/>
          <c:showVal val="0"/>
          <c:showCatName val="0"/>
          <c:showSerName val="0"/>
          <c:showPercent val="0"/>
          <c:showBubbleSize val="0"/>
        </c:dLbls>
        <c:axId val="555497728"/>
        <c:axId val="555496192"/>
      </c:scatterChart>
      <c:valAx>
        <c:axId val="555344640"/>
        <c:scaling>
          <c:logBase val="10"/>
          <c:orientation val="minMax"/>
          <c:max val="2200000"/>
          <c:min val="10"/>
        </c:scaling>
        <c:delete val="0"/>
        <c:axPos val="b"/>
        <c:minorGridlines/>
        <c:title>
          <c:tx>
            <c:rich>
              <a:bodyPr/>
              <a:lstStyle/>
              <a:p>
                <a:pPr>
                  <a:defRPr/>
                </a:pPr>
                <a:r>
                  <a:rPr lang="en-US"/>
                  <a:t>Frequency</a:t>
                </a:r>
                <a:r>
                  <a:rPr lang="en-US" baseline="0"/>
                  <a:t> (Hz)</a:t>
                </a:r>
                <a:endParaRPr lang="en-US"/>
              </a:p>
            </c:rich>
          </c:tx>
          <c:overlay val="0"/>
        </c:title>
        <c:numFmt formatCode="0" sourceLinked="0"/>
        <c:majorTickMark val="out"/>
        <c:minorTickMark val="none"/>
        <c:tickLblPos val="low"/>
        <c:crossAx val="555346560"/>
        <c:crosses val="autoZero"/>
        <c:crossBetween val="midCat"/>
      </c:valAx>
      <c:valAx>
        <c:axId val="555346560"/>
        <c:scaling>
          <c:orientation val="minMax"/>
          <c:max val="40"/>
          <c:min val="-40"/>
        </c:scaling>
        <c:delete val="0"/>
        <c:axPos val="l"/>
        <c:majorGridlines/>
        <c:minorGridlines/>
        <c:title>
          <c:tx>
            <c:rich>
              <a:bodyPr rot="-5400000" vert="horz"/>
              <a:lstStyle/>
              <a:p>
                <a:pPr>
                  <a:defRPr/>
                </a:pPr>
                <a:r>
                  <a:rPr lang="en-US">
                    <a:solidFill>
                      <a:srgbClr val="FF0000"/>
                    </a:solidFill>
                  </a:rPr>
                  <a:t>Gain</a:t>
                </a:r>
                <a:r>
                  <a:rPr lang="en-US" baseline="0">
                    <a:solidFill>
                      <a:srgbClr val="FF0000"/>
                    </a:solidFill>
                  </a:rPr>
                  <a:t> (dB)</a:t>
                </a:r>
                <a:endParaRPr lang="en-US">
                  <a:solidFill>
                    <a:srgbClr val="FF0000"/>
                  </a:solidFill>
                </a:endParaRPr>
              </a:p>
            </c:rich>
          </c:tx>
          <c:overlay val="0"/>
        </c:title>
        <c:numFmt formatCode="General" sourceLinked="0"/>
        <c:majorTickMark val="out"/>
        <c:minorTickMark val="none"/>
        <c:tickLblPos val="nextTo"/>
        <c:txPr>
          <a:bodyPr/>
          <a:lstStyle/>
          <a:p>
            <a:pPr>
              <a:defRPr>
                <a:solidFill>
                  <a:srgbClr val="FF0000"/>
                </a:solidFill>
              </a:defRPr>
            </a:pPr>
            <a:endParaRPr lang="en-US"/>
          </a:p>
        </c:txPr>
        <c:crossAx val="555344640"/>
        <c:crosses val="autoZero"/>
        <c:crossBetween val="midCat"/>
        <c:majorUnit val="20"/>
        <c:minorUnit val="10"/>
      </c:valAx>
      <c:valAx>
        <c:axId val="555496192"/>
        <c:scaling>
          <c:orientation val="minMax"/>
          <c:max val="180"/>
          <c:min val="-180"/>
        </c:scaling>
        <c:delete val="0"/>
        <c:axPos val="r"/>
        <c:numFmt formatCode="General" sourceLinked="1"/>
        <c:majorTickMark val="out"/>
        <c:minorTickMark val="none"/>
        <c:tickLblPos val="nextTo"/>
        <c:txPr>
          <a:bodyPr/>
          <a:lstStyle/>
          <a:p>
            <a:pPr>
              <a:defRPr>
                <a:solidFill>
                  <a:schemeClr val="tx1">
                    <a:lumMod val="95000"/>
                    <a:lumOff val="5000"/>
                  </a:schemeClr>
                </a:solidFill>
              </a:defRPr>
            </a:pPr>
            <a:endParaRPr lang="en-US"/>
          </a:p>
        </c:txPr>
        <c:crossAx val="555497728"/>
        <c:crosses val="max"/>
        <c:crossBetween val="midCat"/>
        <c:majorUnit val="90"/>
        <c:minorUnit val="45"/>
      </c:valAx>
      <c:valAx>
        <c:axId val="555497728"/>
        <c:scaling>
          <c:logBase val="10"/>
          <c:orientation val="minMax"/>
        </c:scaling>
        <c:delete val="1"/>
        <c:axPos val="b"/>
        <c:numFmt formatCode="0.00" sourceLinked="1"/>
        <c:majorTickMark val="out"/>
        <c:minorTickMark val="none"/>
        <c:tickLblPos val="nextTo"/>
        <c:crossAx val="555496192"/>
        <c:crosses val="autoZero"/>
        <c:crossBetween val="midCat"/>
      </c:valAx>
    </c:plotArea>
    <c:plotVisOnly val="1"/>
    <c:dispBlanksAs val="gap"/>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Total Control Loop Transfer Function</a:t>
            </a:r>
          </a:p>
        </c:rich>
      </c:tx>
      <c:overlay val="0"/>
    </c:title>
    <c:autoTitleDeleted val="0"/>
    <c:plotArea>
      <c:layout/>
      <c:scatterChart>
        <c:scatterStyle val="smoothMarker"/>
        <c:varyColors val="0"/>
        <c:ser>
          <c:idx val="0"/>
          <c:order val="0"/>
          <c:spPr>
            <a:ln w="38100">
              <a:solidFill>
                <a:srgbClr val="FF0000"/>
              </a:solidFill>
            </a:ln>
          </c:spPr>
          <c:marker>
            <c:symbol val="none"/>
          </c:marker>
          <c:xVal>
            <c:numRef>
              <c:f>Loop_Modeling!$O$19:$O$560</c:f>
              <c:numCache>
                <c:formatCode>0.00</c:formatCode>
                <c:ptCount val="542"/>
                <c:pt idx="0">
                  <c:v>10.232929922807543</c:v>
                </c:pt>
                <c:pt idx="1">
                  <c:v>10.471285480509</c:v>
                </c:pt>
                <c:pt idx="2">
                  <c:v>10.715193052376069</c:v>
                </c:pt>
                <c:pt idx="3">
                  <c:v>10.964781961431854</c:v>
                </c:pt>
                <c:pt idx="4">
                  <c:v>11.220184543019636</c:v>
                </c:pt>
                <c:pt idx="5">
                  <c:v>11.481536214968834</c:v>
                </c:pt>
                <c:pt idx="6">
                  <c:v>11.748975549395301</c:v>
                </c:pt>
                <c:pt idx="7">
                  <c:v>12.022644346174133</c:v>
                </c:pt>
                <c:pt idx="8">
                  <c:v>12.302687708123818</c:v>
                </c:pt>
                <c:pt idx="9">
                  <c:v>12.58925411794168</c:v>
                </c:pt>
                <c:pt idx="10">
                  <c:v>12.882495516931346</c:v>
                </c:pt>
                <c:pt idx="11">
                  <c:v>13.182567385564075</c:v>
                </c:pt>
                <c:pt idx="12">
                  <c:v>13.489628825916535</c:v>
                </c:pt>
                <c:pt idx="13">
                  <c:v>13.803842646028857</c:v>
                </c:pt>
                <c:pt idx="14">
                  <c:v>14.125375446227544</c:v>
                </c:pt>
                <c:pt idx="15">
                  <c:v>14.454397707459275</c:v>
                </c:pt>
                <c:pt idx="16">
                  <c:v>14.791083881682074</c:v>
                </c:pt>
                <c:pt idx="17">
                  <c:v>15.135612484362087</c:v>
                </c:pt>
                <c:pt idx="18">
                  <c:v>15.488166189124817</c:v>
                </c:pt>
                <c:pt idx="19">
                  <c:v>15.848931924611136</c:v>
                </c:pt>
                <c:pt idx="20">
                  <c:v>16.218100973589298</c:v>
                </c:pt>
                <c:pt idx="21">
                  <c:v>16.595869074375614</c:v>
                </c:pt>
                <c:pt idx="22">
                  <c:v>16.982436524617448</c:v>
                </c:pt>
                <c:pt idx="23">
                  <c:v>17.378008287493756</c:v>
                </c:pt>
                <c:pt idx="24">
                  <c:v>17.782794100389236</c:v>
                </c:pt>
                <c:pt idx="25">
                  <c:v>18.197008586099841</c:v>
                </c:pt>
                <c:pt idx="26">
                  <c:v>18.62087136662868</c:v>
                </c:pt>
                <c:pt idx="27">
                  <c:v>19.054607179632477</c:v>
                </c:pt>
                <c:pt idx="28">
                  <c:v>19.498445997580465</c:v>
                </c:pt>
                <c:pt idx="29">
                  <c:v>19.952623149688804</c:v>
                </c:pt>
                <c:pt idx="30">
                  <c:v>20.4173794466953</c:v>
                </c:pt>
                <c:pt idx="31">
                  <c:v>20.8929613085404</c:v>
                </c:pt>
                <c:pt idx="32">
                  <c:v>21.379620895022335</c:v>
                </c:pt>
                <c:pt idx="33">
                  <c:v>21.877616239495538</c:v>
                </c:pt>
                <c:pt idx="34">
                  <c:v>22.387211385683404</c:v>
                </c:pt>
                <c:pt idx="35">
                  <c:v>22.908676527677727</c:v>
                </c:pt>
                <c:pt idx="36">
                  <c:v>23.442288153199236</c:v>
                </c:pt>
                <c:pt idx="37">
                  <c:v>23.988329190194907</c:v>
                </c:pt>
                <c:pt idx="38">
                  <c:v>24.547089156850316</c:v>
                </c:pt>
                <c:pt idx="39">
                  <c:v>25.118864315095799</c:v>
                </c:pt>
                <c:pt idx="40">
                  <c:v>25.703957827688647</c:v>
                </c:pt>
                <c:pt idx="41">
                  <c:v>26.302679918953825</c:v>
                </c:pt>
                <c:pt idx="42">
                  <c:v>26.915348039269158</c:v>
                </c:pt>
                <c:pt idx="43">
                  <c:v>27.542287033381665</c:v>
                </c:pt>
                <c:pt idx="44">
                  <c:v>28.183829312644548</c:v>
                </c:pt>
                <c:pt idx="45">
                  <c:v>28.840315031266066</c:v>
                </c:pt>
                <c:pt idx="46">
                  <c:v>29.512092266663863</c:v>
                </c:pt>
                <c:pt idx="47">
                  <c:v>30.199517204020164</c:v>
                </c:pt>
                <c:pt idx="48">
                  <c:v>30.902954325135919</c:v>
                </c:pt>
                <c:pt idx="49">
                  <c:v>31.622776601683803</c:v>
                </c:pt>
                <c:pt idx="50">
                  <c:v>32.359365692962832</c:v>
                </c:pt>
                <c:pt idx="51">
                  <c:v>33.113112148259127</c:v>
                </c:pt>
                <c:pt idx="52">
                  <c:v>33.884415613920268</c:v>
                </c:pt>
                <c:pt idx="53">
                  <c:v>34.67368504525318</c:v>
                </c:pt>
                <c:pt idx="54">
                  <c:v>35.481338923357555</c:v>
                </c:pt>
                <c:pt idx="55">
                  <c:v>36.307805477010156</c:v>
                </c:pt>
                <c:pt idx="56">
                  <c:v>37.15352290971726</c:v>
                </c:pt>
                <c:pt idx="57">
                  <c:v>38.018939632056139</c:v>
                </c:pt>
                <c:pt idx="58">
                  <c:v>38.904514499428053</c:v>
                </c:pt>
                <c:pt idx="59">
                  <c:v>39.810717055349755</c:v>
                </c:pt>
                <c:pt idx="60">
                  <c:v>40.738027780411279</c:v>
                </c:pt>
                <c:pt idx="61">
                  <c:v>41.686938347033561</c:v>
                </c:pt>
                <c:pt idx="62">
                  <c:v>42.657951880159267</c:v>
                </c:pt>
                <c:pt idx="63">
                  <c:v>43.651583224016633</c:v>
                </c:pt>
                <c:pt idx="64">
                  <c:v>44.668359215096324</c:v>
                </c:pt>
                <c:pt idx="65">
                  <c:v>45.70881896148753</c:v>
                </c:pt>
                <c:pt idx="66">
                  <c:v>46.773514128719818</c:v>
                </c:pt>
                <c:pt idx="67">
                  <c:v>47.863009232263877</c:v>
                </c:pt>
                <c:pt idx="68">
                  <c:v>48.977881936844632</c:v>
                </c:pt>
                <c:pt idx="69">
                  <c:v>50.118723362727238</c:v>
                </c:pt>
                <c:pt idx="70">
                  <c:v>51.28613839913649</c:v>
                </c:pt>
                <c:pt idx="71">
                  <c:v>52.480746024977286</c:v>
                </c:pt>
                <c:pt idx="72">
                  <c:v>53.703179637025293</c:v>
                </c:pt>
                <c:pt idx="73">
                  <c:v>54.95408738576247</c:v>
                </c:pt>
                <c:pt idx="74">
                  <c:v>56.234132519034915</c:v>
                </c:pt>
                <c:pt idx="75">
                  <c:v>57.543993733715695</c:v>
                </c:pt>
                <c:pt idx="76">
                  <c:v>58.884365535558949</c:v>
                </c:pt>
                <c:pt idx="77">
                  <c:v>60.255958607435822</c:v>
                </c:pt>
                <c:pt idx="78">
                  <c:v>61.659500186148257</c:v>
                </c:pt>
                <c:pt idx="79">
                  <c:v>63.095734448019364</c:v>
                </c:pt>
                <c:pt idx="80">
                  <c:v>64.565422903465588</c:v>
                </c:pt>
                <c:pt idx="81">
                  <c:v>66.069344800759623</c:v>
                </c:pt>
                <c:pt idx="82">
                  <c:v>67.60829753919819</c:v>
                </c:pt>
                <c:pt idx="83">
                  <c:v>69.183097091893657</c:v>
                </c:pt>
                <c:pt idx="84">
                  <c:v>70.794578438413865</c:v>
                </c:pt>
                <c:pt idx="85">
                  <c:v>72.443596007499011</c:v>
                </c:pt>
                <c:pt idx="86">
                  <c:v>74.131024130091816</c:v>
                </c:pt>
                <c:pt idx="87">
                  <c:v>75.857757502918361</c:v>
                </c:pt>
                <c:pt idx="88">
                  <c:v>77.624711662869217</c:v>
                </c:pt>
                <c:pt idx="89">
                  <c:v>79.432823472428197</c:v>
                </c:pt>
                <c:pt idx="90">
                  <c:v>81.283051616409963</c:v>
                </c:pt>
                <c:pt idx="91">
                  <c:v>83.176377110267126</c:v>
                </c:pt>
                <c:pt idx="92">
                  <c:v>85.113803820237734</c:v>
                </c:pt>
                <c:pt idx="93">
                  <c:v>87.096358995608071</c:v>
                </c:pt>
                <c:pt idx="94">
                  <c:v>89.125093813374562</c:v>
                </c:pt>
                <c:pt idx="95">
                  <c:v>91.201083935590972</c:v>
                </c:pt>
                <c:pt idx="96">
                  <c:v>93.325430079699174</c:v>
                </c:pt>
                <c:pt idx="97">
                  <c:v>95.499258602143655</c:v>
                </c:pt>
                <c:pt idx="98">
                  <c:v>97.723722095581124</c:v>
                </c:pt>
                <c:pt idx="99">
                  <c:v>100</c:v>
                </c:pt>
                <c:pt idx="100">
                  <c:v>102.32929922807544</c:v>
                </c:pt>
                <c:pt idx="101">
                  <c:v>104.71285480508998</c:v>
                </c:pt>
                <c:pt idx="102">
                  <c:v>107.15193052376065</c:v>
                </c:pt>
                <c:pt idx="103">
                  <c:v>109.64781961431861</c:v>
                </c:pt>
                <c:pt idx="104">
                  <c:v>112.20184543019634</c:v>
                </c:pt>
                <c:pt idx="105">
                  <c:v>114.81536214968835</c:v>
                </c:pt>
                <c:pt idx="106">
                  <c:v>117.48975549395293</c:v>
                </c:pt>
                <c:pt idx="107">
                  <c:v>120.22644346174135</c:v>
                </c:pt>
                <c:pt idx="108">
                  <c:v>123.02687708123821</c:v>
                </c:pt>
                <c:pt idx="109">
                  <c:v>125.89254117941677</c:v>
                </c:pt>
                <c:pt idx="110">
                  <c:v>128.82495516931343</c:v>
                </c:pt>
                <c:pt idx="111">
                  <c:v>131.82567385564084</c:v>
                </c:pt>
                <c:pt idx="112">
                  <c:v>134.89628825916537</c:v>
                </c:pt>
                <c:pt idx="113">
                  <c:v>138.0384264602886</c:v>
                </c:pt>
                <c:pt idx="114">
                  <c:v>141.25375446227542</c:v>
                </c:pt>
                <c:pt idx="115">
                  <c:v>144.54397707459285</c:v>
                </c:pt>
                <c:pt idx="116">
                  <c:v>147.91083881682084</c:v>
                </c:pt>
                <c:pt idx="117">
                  <c:v>151.3561248436209</c:v>
                </c:pt>
                <c:pt idx="118">
                  <c:v>154.8816618912482</c:v>
                </c:pt>
                <c:pt idx="119">
                  <c:v>158.48931924611153</c:v>
                </c:pt>
                <c:pt idx="120">
                  <c:v>162.18100973589304</c:v>
                </c:pt>
                <c:pt idx="121">
                  <c:v>165.95869074375622</c:v>
                </c:pt>
                <c:pt idx="122">
                  <c:v>169.82436524617444</c:v>
                </c:pt>
                <c:pt idx="123">
                  <c:v>173.78008287493768</c:v>
                </c:pt>
                <c:pt idx="124">
                  <c:v>177.82794100389242</c:v>
                </c:pt>
                <c:pt idx="125">
                  <c:v>181.9700858609983</c:v>
                </c:pt>
                <c:pt idx="126">
                  <c:v>186.20871366628685</c:v>
                </c:pt>
                <c:pt idx="127">
                  <c:v>190.54607179632498</c:v>
                </c:pt>
                <c:pt idx="128">
                  <c:v>194.98445997580458</c:v>
                </c:pt>
                <c:pt idx="129">
                  <c:v>199.52623149688802</c:v>
                </c:pt>
                <c:pt idx="130">
                  <c:v>204.17379446695315</c:v>
                </c:pt>
                <c:pt idx="131">
                  <c:v>208.92961308540396</c:v>
                </c:pt>
                <c:pt idx="132">
                  <c:v>213.79620895022339</c:v>
                </c:pt>
                <c:pt idx="133">
                  <c:v>218.77616239495524</c:v>
                </c:pt>
                <c:pt idx="134">
                  <c:v>223.87211385683412</c:v>
                </c:pt>
                <c:pt idx="135">
                  <c:v>229.08676527677744</c:v>
                </c:pt>
                <c:pt idx="136">
                  <c:v>234.42288153199232</c:v>
                </c:pt>
                <c:pt idx="137">
                  <c:v>239.88329190194912</c:v>
                </c:pt>
                <c:pt idx="138">
                  <c:v>245.4708915685033</c:v>
                </c:pt>
                <c:pt idx="139">
                  <c:v>251.18864315095806</c:v>
                </c:pt>
                <c:pt idx="140">
                  <c:v>257.03957827688663</c:v>
                </c:pt>
                <c:pt idx="141">
                  <c:v>263.02679918953817</c:v>
                </c:pt>
                <c:pt idx="142">
                  <c:v>269.15348039269179</c:v>
                </c:pt>
                <c:pt idx="143">
                  <c:v>275.42287033381683</c:v>
                </c:pt>
                <c:pt idx="144">
                  <c:v>281.83829312644554</c:v>
                </c:pt>
                <c:pt idx="145">
                  <c:v>288.40315031266073</c:v>
                </c:pt>
                <c:pt idx="146">
                  <c:v>295.12092266663871</c:v>
                </c:pt>
                <c:pt idx="147">
                  <c:v>301.99517204020168</c:v>
                </c:pt>
                <c:pt idx="148">
                  <c:v>309.02954325135937</c:v>
                </c:pt>
                <c:pt idx="149">
                  <c:v>316.22776601683825</c:v>
                </c:pt>
                <c:pt idx="150">
                  <c:v>323.59365692962825</c:v>
                </c:pt>
                <c:pt idx="151">
                  <c:v>331.13112148259137</c:v>
                </c:pt>
                <c:pt idx="152">
                  <c:v>338.84415613920277</c:v>
                </c:pt>
                <c:pt idx="153">
                  <c:v>346.73685045253183</c:v>
                </c:pt>
                <c:pt idx="154">
                  <c:v>354.81338923357566</c:v>
                </c:pt>
                <c:pt idx="155">
                  <c:v>363.07805477010152</c:v>
                </c:pt>
                <c:pt idx="156">
                  <c:v>371.53522909717265</c:v>
                </c:pt>
                <c:pt idx="157">
                  <c:v>380.18939632056163</c:v>
                </c:pt>
                <c:pt idx="158">
                  <c:v>389.04514499428063</c:v>
                </c:pt>
                <c:pt idx="159">
                  <c:v>398.10717055349761</c:v>
                </c:pt>
                <c:pt idx="160">
                  <c:v>407.38027780411272</c:v>
                </c:pt>
                <c:pt idx="161">
                  <c:v>416.86938347033572</c:v>
                </c:pt>
                <c:pt idx="162">
                  <c:v>426.57951880159294</c:v>
                </c:pt>
                <c:pt idx="163">
                  <c:v>436.51583224016622</c:v>
                </c:pt>
                <c:pt idx="164">
                  <c:v>446.68359215096331</c:v>
                </c:pt>
                <c:pt idx="165">
                  <c:v>457.0881896148756</c:v>
                </c:pt>
                <c:pt idx="166">
                  <c:v>467.7351412871983</c:v>
                </c:pt>
                <c:pt idx="167">
                  <c:v>478.63009232263886</c:v>
                </c:pt>
                <c:pt idx="168">
                  <c:v>489.77881936844625</c:v>
                </c:pt>
                <c:pt idx="169">
                  <c:v>501.18723362727269</c:v>
                </c:pt>
                <c:pt idx="170">
                  <c:v>512.86138399136519</c:v>
                </c:pt>
                <c:pt idx="171">
                  <c:v>524.80746024977248</c:v>
                </c:pt>
                <c:pt idx="172">
                  <c:v>537.03179637025301</c:v>
                </c:pt>
                <c:pt idx="173">
                  <c:v>549.54087385762534</c:v>
                </c:pt>
                <c:pt idx="174">
                  <c:v>562.34132519034927</c:v>
                </c:pt>
                <c:pt idx="175">
                  <c:v>575.43993733715706</c:v>
                </c:pt>
                <c:pt idx="176">
                  <c:v>588.84365535558959</c:v>
                </c:pt>
                <c:pt idx="177">
                  <c:v>602.55958607435832</c:v>
                </c:pt>
                <c:pt idx="178">
                  <c:v>616.59500186148273</c:v>
                </c:pt>
                <c:pt idx="179">
                  <c:v>630.95734448019323</c:v>
                </c:pt>
                <c:pt idx="180">
                  <c:v>645.65422903465594</c:v>
                </c:pt>
                <c:pt idx="181">
                  <c:v>660.69344800759643</c:v>
                </c:pt>
                <c:pt idx="182">
                  <c:v>676.08297539198213</c:v>
                </c:pt>
                <c:pt idx="183">
                  <c:v>691.83097091893671</c:v>
                </c:pt>
                <c:pt idx="184">
                  <c:v>707.94578438413873</c:v>
                </c:pt>
                <c:pt idx="185">
                  <c:v>724.43596007499025</c:v>
                </c:pt>
                <c:pt idx="186">
                  <c:v>741.31024130091828</c:v>
                </c:pt>
                <c:pt idx="187">
                  <c:v>758.57757502918378</c:v>
                </c:pt>
                <c:pt idx="188">
                  <c:v>776.24711662869231</c:v>
                </c:pt>
                <c:pt idx="189">
                  <c:v>794.32823472428208</c:v>
                </c:pt>
                <c:pt idx="190">
                  <c:v>812.83051616409978</c:v>
                </c:pt>
                <c:pt idx="191">
                  <c:v>831.7637711026714</c:v>
                </c:pt>
                <c:pt idx="192">
                  <c:v>851.13803820237763</c:v>
                </c:pt>
                <c:pt idx="193">
                  <c:v>870.96358995608091</c:v>
                </c:pt>
                <c:pt idx="194">
                  <c:v>891.25093813374656</c:v>
                </c:pt>
                <c:pt idx="195">
                  <c:v>912.01083935590987</c:v>
                </c:pt>
                <c:pt idx="196">
                  <c:v>933.25430079699106</c:v>
                </c:pt>
                <c:pt idx="197">
                  <c:v>954.99258602143675</c:v>
                </c:pt>
                <c:pt idx="198">
                  <c:v>977.23722095581138</c:v>
                </c:pt>
                <c:pt idx="199">
                  <c:v>1000</c:v>
                </c:pt>
                <c:pt idx="200">
                  <c:v>1023.2929922807547</c:v>
                </c:pt>
                <c:pt idx="201">
                  <c:v>1047.1285480509</c:v>
                </c:pt>
                <c:pt idx="202">
                  <c:v>1071.5193052376069</c:v>
                </c:pt>
                <c:pt idx="203">
                  <c:v>1096.4781961431863</c:v>
                </c:pt>
                <c:pt idx="204">
                  <c:v>1122.0184543019636</c:v>
                </c:pt>
                <c:pt idx="205">
                  <c:v>1148.1536214968839</c:v>
                </c:pt>
                <c:pt idx="206">
                  <c:v>1174.8975549395295</c:v>
                </c:pt>
                <c:pt idx="207">
                  <c:v>1202.2644346174138</c:v>
                </c:pt>
                <c:pt idx="208">
                  <c:v>1230.2687708123824</c:v>
                </c:pt>
                <c:pt idx="209">
                  <c:v>1258.925411794168</c:v>
                </c:pt>
                <c:pt idx="210">
                  <c:v>1288.2495516931347</c:v>
                </c:pt>
                <c:pt idx="211">
                  <c:v>1318.2567385564089</c:v>
                </c:pt>
                <c:pt idx="212">
                  <c:v>1348.9628825916541</c:v>
                </c:pt>
                <c:pt idx="213">
                  <c:v>1380.3842646028863</c:v>
                </c:pt>
                <c:pt idx="214">
                  <c:v>1412.5375446227545</c:v>
                </c:pt>
                <c:pt idx="215">
                  <c:v>1445.4397707459289</c:v>
                </c:pt>
                <c:pt idx="216">
                  <c:v>1479.1083881682086</c:v>
                </c:pt>
                <c:pt idx="217">
                  <c:v>1513.5612484362093</c:v>
                </c:pt>
                <c:pt idx="218">
                  <c:v>1548.8166189124822</c:v>
                </c:pt>
                <c:pt idx="219">
                  <c:v>1584.8931924611156</c:v>
                </c:pt>
                <c:pt idx="220">
                  <c:v>1621.8100973589308</c:v>
                </c:pt>
                <c:pt idx="221">
                  <c:v>1659.5869074375626</c:v>
                </c:pt>
                <c:pt idx="222">
                  <c:v>1698.2436524617447</c:v>
                </c:pt>
                <c:pt idx="223">
                  <c:v>1737.8008287493772</c:v>
                </c:pt>
                <c:pt idx="224">
                  <c:v>1778.2794100389244</c:v>
                </c:pt>
                <c:pt idx="225">
                  <c:v>1819.7008586099832</c:v>
                </c:pt>
                <c:pt idx="226">
                  <c:v>1862.0871366628687</c:v>
                </c:pt>
                <c:pt idx="227">
                  <c:v>1905.4607179632501</c:v>
                </c:pt>
                <c:pt idx="228">
                  <c:v>1949.8445997580463</c:v>
                </c:pt>
                <c:pt idx="229">
                  <c:v>1995.2623149688804</c:v>
                </c:pt>
                <c:pt idx="230">
                  <c:v>2041.7379446695318</c:v>
                </c:pt>
                <c:pt idx="231">
                  <c:v>2089.2961308540398</c:v>
                </c:pt>
                <c:pt idx="232">
                  <c:v>2137.9620895022344</c:v>
                </c:pt>
                <c:pt idx="233">
                  <c:v>2187.7616239495528</c:v>
                </c:pt>
                <c:pt idx="234">
                  <c:v>2238.7211385683418</c:v>
                </c:pt>
                <c:pt idx="235">
                  <c:v>2290.8676527677749</c:v>
                </c:pt>
                <c:pt idx="236">
                  <c:v>2344.2288153199238</c:v>
                </c:pt>
                <c:pt idx="237">
                  <c:v>2398.8329190194918</c:v>
                </c:pt>
                <c:pt idx="238">
                  <c:v>2454.7089156850338</c:v>
                </c:pt>
                <c:pt idx="239">
                  <c:v>2511.8864315095811</c:v>
                </c:pt>
                <c:pt idx="240">
                  <c:v>2570.3957827688669</c:v>
                </c:pt>
                <c:pt idx="241">
                  <c:v>2630.2679918953822</c:v>
                </c:pt>
                <c:pt idx="242">
                  <c:v>2691.5348039269184</c:v>
                </c:pt>
                <c:pt idx="243">
                  <c:v>2754.228703338169</c:v>
                </c:pt>
                <c:pt idx="244">
                  <c:v>2818.3829312644561</c:v>
                </c:pt>
                <c:pt idx="245">
                  <c:v>2884.0315031266077</c:v>
                </c:pt>
                <c:pt idx="246">
                  <c:v>2951.2092266663876</c:v>
                </c:pt>
                <c:pt idx="247">
                  <c:v>3019.9517204020176</c:v>
                </c:pt>
                <c:pt idx="248">
                  <c:v>3090.295432513592</c:v>
                </c:pt>
                <c:pt idx="249">
                  <c:v>3162.2776601683804</c:v>
                </c:pt>
                <c:pt idx="250">
                  <c:v>3235.9365692962833</c:v>
                </c:pt>
                <c:pt idx="251">
                  <c:v>3311.3112148259115</c:v>
                </c:pt>
                <c:pt idx="252">
                  <c:v>3388.4415613920314</c:v>
                </c:pt>
                <c:pt idx="253">
                  <c:v>3467.3685045253224</c:v>
                </c:pt>
                <c:pt idx="254">
                  <c:v>3548.1338923357539</c:v>
                </c:pt>
                <c:pt idx="255">
                  <c:v>3630.7805477010188</c:v>
                </c:pt>
                <c:pt idx="256">
                  <c:v>3715.352290971724</c:v>
                </c:pt>
                <c:pt idx="257">
                  <c:v>3801.8939632056172</c:v>
                </c:pt>
                <c:pt idx="258">
                  <c:v>3890.451449942811</c:v>
                </c:pt>
                <c:pt idx="259">
                  <c:v>3981.0717055349769</c:v>
                </c:pt>
                <c:pt idx="260">
                  <c:v>4073.8027780411317</c:v>
                </c:pt>
                <c:pt idx="261">
                  <c:v>4168.6938347033583</c:v>
                </c:pt>
                <c:pt idx="262">
                  <c:v>4265.7951880159299</c:v>
                </c:pt>
                <c:pt idx="263">
                  <c:v>4365.1583224016631</c:v>
                </c:pt>
                <c:pt idx="264">
                  <c:v>4466.8359215096343</c:v>
                </c:pt>
                <c:pt idx="265">
                  <c:v>4570.8818961487532</c:v>
                </c:pt>
                <c:pt idx="266">
                  <c:v>4677.3514128719844</c:v>
                </c:pt>
                <c:pt idx="267">
                  <c:v>4786.3009232263848</c:v>
                </c:pt>
                <c:pt idx="268">
                  <c:v>4897.7881936844633</c:v>
                </c:pt>
                <c:pt idx="269">
                  <c:v>5011.8723362727324</c:v>
                </c:pt>
                <c:pt idx="270">
                  <c:v>5128.6138399136489</c:v>
                </c:pt>
                <c:pt idx="271">
                  <c:v>5248.0746024977261</c:v>
                </c:pt>
                <c:pt idx="272">
                  <c:v>5370.3179637025269</c:v>
                </c:pt>
                <c:pt idx="273">
                  <c:v>5495.4087385762541</c:v>
                </c:pt>
                <c:pt idx="274">
                  <c:v>5623.4132519034993</c:v>
                </c:pt>
                <c:pt idx="275">
                  <c:v>5754.399373371567</c:v>
                </c:pt>
                <c:pt idx="276">
                  <c:v>5888.4365535558973</c:v>
                </c:pt>
                <c:pt idx="277">
                  <c:v>6025.595860743585</c:v>
                </c:pt>
                <c:pt idx="278">
                  <c:v>6165.9500186148289</c:v>
                </c:pt>
                <c:pt idx="279">
                  <c:v>6309.5734448019384</c:v>
                </c:pt>
                <c:pt idx="280">
                  <c:v>6456.5422903465615</c:v>
                </c:pt>
                <c:pt idx="281">
                  <c:v>6606.9344800759654</c:v>
                </c:pt>
                <c:pt idx="282">
                  <c:v>6760.8297539198229</c:v>
                </c:pt>
                <c:pt idx="283">
                  <c:v>6918.3097091893687</c:v>
                </c:pt>
                <c:pt idx="284">
                  <c:v>7079.4578438413828</c:v>
                </c:pt>
                <c:pt idx="285">
                  <c:v>7244.3596007499036</c:v>
                </c:pt>
                <c:pt idx="286">
                  <c:v>7413.1024130091773</c:v>
                </c:pt>
                <c:pt idx="287">
                  <c:v>7585.7757502918394</c:v>
                </c:pt>
                <c:pt idx="288">
                  <c:v>7762.4711662869322</c:v>
                </c:pt>
                <c:pt idx="289">
                  <c:v>7943.2823472428154</c:v>
                </c:pt>
                <c:pt idx="290">
                  <c:v>8128.3051616410066</c:v>
                </c:pt>
                <c:pt idx="291">
                  <c:v>8317.6377110267094</c:v>
                </c:pt>
                <c:pt idx="292">
                  <c:v>8511.3803820237772</c:v>
                </c:pt>
                <c:pt idx="293">
                  <c:v>8709.6358995608189</c:v>
                </c:pt>
                <c:pt idx="294">
                  <c:v>8912.5093813374679</c:v>
                </c:pt>
                <c:pt idx="295">
                  <c:v>9120.1083935591087</c:v>
                </c:pt>
                <c:pt idx="296">
                  <c:v>9332.5430079699217</c:v>
                </c:pt>
                <c:pt idx="297">
                  <c:v>9549.9258602143691</c:v>
                </c:pt>
                <c:pt idx="298">
                  <c:v>9772.3722095581161</c:v>
                </c:pt>
                <c:pt idx="299">
                  <c:v>10000</c:v>
                </c:pt>
                <c:pt idx="300">
                  <c:v>10232.929922807549</c:v>
                </c:pt>
                <c:pt idx="301">
                  <c:v>10471.285480509003</c:v>
                </c:pt>
                <c:pt idx="302">
                  <c:v>10715.193052376071</c:v>
                </c:pt>
                <c:pt idx="303">
                  <c:v>10964.781961431856</c:v>
                </c:pt>
                <c:pt idx="304">
                  <c:v>11220.184543019639</c:v>
                </c:pt>
                <c:pt idx="305">
                  <c:v>11481.536214968832</c:v>
                </c:pt>
                <c:pt idx="306">
                  <c:v>11748.975549395318</c:v>
                </c:pt>
                <c:pt idx="307">
                  <c:v>12022.644346174151</c:v>
                </c:pt>
                <c:pt idx="308">
                  <c:v>12302.687708123816</c:v>
                </c:pt>
                <c:pt idx="309">
                  <c:v>12589.254117941671</c:v>
                </c:pt>
                <c:pt idx="310">
                  <c:v>12882.49551693136</c:v>
                </c:pt>
                <c:pt idx="311">
                  <c:v>13182.567385564091</c:v>
                </c:pt>
                <c:pt idx="312">
                  <c:v>13489.628825916556</c:v>
                </c:pt>
                <c:pt idx="313">
                  <c:v>13803.842646028841</c:v>
                </c:pt>
                <c:pt idx="314">
                  <c:v>14125.375446227561</c:v>
                </c:pt>
                <c:pt idx="315">
                  <c:v>14454.397707459291</c:v>
                </c:pt>
                <c:pt idx="316">
                  <c:v>14791.083881682089</c:v>
                </c:pt>
                <c:pt idx="317">
                  <c:v>15135.612484362096</c:v>
                </c:pt>
                <c:pt idx="318">
                  <c:v>15488.166189124853</c:v>
                </c:pt>
                <c:pt idx="319">
                  <c:v>15848.931924611146</c:v>
                </c:pt>
                <c:pt idx="320">
                  <c:v>16218.100973589309</c:v>
                </c:pt>
                <c:pt idx="321">
                  <c:v>16595.869074375616</c:v>
                </c:pt>
                <c:pt idx="322">
                  <c:v>16982.436524617482</c:v>
                </c:pt>
                <c:pt idx="323">
                  <c:v>17378.008287493791</c:v>
                </c:pt>
                <c:pt idx="324">
                  <c:v>17782.794100389234</c:v>
                </c:pt>
                <c:pt idx="325">
                  <c:v>18197.008586099837</c:v>
                </c:pt>
                <c:pt idx="326">
                  <c:v>18620.871366628675</c:v>
                </c:pt>
                <c:pt idx="327">
                  <c:v>19054.607179632505</c:v>
                </c:pt>
                <c:pt idx="328">
                  <c:v>19498.445997580486</c:v>
                </c:pt>
                <c:pt idx="329">
                  <c:v>19952.623149688792</c:v>
                </c:pt>
                <c:pt idx="330">
                  <c:v>20417.379446695286</c:v>
                </c:pt>
                <c:pt idx="331">
                  <c:v>20892.961308540423</c:v>
                </c:pt>
                <c:pt idx="332">
                  <c:v>21379.620895022348</c:v>
                </c:pt>
                <c:pt idx="333">
                  <c:v>21877.61623949555</c:v>
                </c:pt>
                <c:pt idx="334">
                  <c:v>22387.211385683382</c:v>
                </c:pt>
                <c:pt idx="335">
                  <c:v>22908.676527677751</c:v>
                </c:pt>
                <c:pt idx="336">
                  <c:v>23442.288153199243</c:v>
                </c:pt>
                <c:pt idx="337">
                  <c:v>23988.329190194923</c:v>
                </c:pt>
                <c:pt idx="338">
                  <c:v>24547.089156850321</c:v>
                </c:pt>
                <c:pt idx="339">
                  <c:v>25118.86431509586</c:v>
                </c:pt>
                <c:pt idx="340">
                  <c:v>25703.95782768865</c:v>
                </c:pt>
                <c:pt idx="341">
                  <c:v>26302.679918953829</c:v>
                </c:pt>
                <c:pt idx="342">
                  <c:v>26915.348039269167</c:v>
                </c:pt>
                <c:pt idx="343">
                  <c:v>27542.287033381719</c:v>
                </c:pt>
                <c:pt idx="344">
                  <c:v>28183.829312644593</c:v>
                </c:pt>
                <c:pt idx="345">
                  <c:v>28840.315031266062</c:v>
                </c:pt>
                <c:pt idx="346">
                  <c:v>29512.092266663854</c:v>
                </c:pt>
                <c:pt idx="347">
                  <c:v>30199.517204020212</c:v>
                </c:pt>
                <c:pt idx="348">
                  <c:v>30902.954325135954</c:v>
                </c:pt>
                <c:pt idx="349">
                  <c:v>31622.77660168384</c:v>
                </c:pt>
                <c:pt idx="350">
                  <c:v>32359.365692962871</c:v>
                </c:pt>
                <c:pt idx="351">
                  <c:v>33113.11214825909</c:v>
                </c:pt>
                <c:pt idx="352">
                  <c:v>33884.41561392029</c:v>
                </c:pt>
                <c:pt idx="353">
                  <c:v>34673.685045253202</c:v>
                </c:pt>
                <c:pt idx="354">
                  <c:v>35481.33892335758</c:v>
                </c:pt>
                <c:pt idx="355">
                  <c:v>36307.805477010232</c:v>
                </c:pt>
                <c:pt idx="356">
                  <c:v>37153.522909717351</c:v>
                </c:pt>
                <c:pt idx="357">
                  <c:v>38018.939632056143</c:v>
                </c:pt>
                <c:pt idx="358">
                  <c:v>38904.514499428085</c:v>
                </c:pt>
                <c:pt idx="359">
                  <c:v>39810.717055349742</c:v>
                </c:pt>
                <c:pt idx="360">
                  <c:v>40738.027780411358</c:v>
                </c:pt>
                <c:pt idx="361">
                  <c:v>41686.938347033625</c:v>
                </c:pt>
                <c:pt idx="362">
                  <c:v>42657.951880159271</c:v>
                </c:pt>
                <c:pt idx="363">
                  <c:v>43651.583224016598</c:v>
                </c:pt>
                <c:pt idx="364">
                  <c:v>44668.359215096389</c:v>
                </c:pt>
                <c:pt idx="365">
                  <c:v>45708.818961487581</c:v>
                </c:pt>
                <c:pt idx="366">
                  <c:v>46773.514128719893</c:v>
                </c:pt>
                <c:pt idx="367">
                  <c:v>47863.009232263823</c:v>
                </c:pt>
                <c:pt idx="368">
                  <c:v>48977.881936844598</c:v>
                </c:pt>
                <c:pt idx="369">
                  <c:v>50118.723362727294</c:v>
                </c:pt>
                <c:pt idx="370">
                  <c:v>51286.138399136544</c:v>
                </c:pt>
                <c:pt idx="371">
                  <c:v>52480.746024977314</c:v>
                </c:pt>
                <c:pt idx="372">
                  <c:v>53703.179637025423</c:v>
                </c:pt>
                <c:pt idx="373">
                  <c:v>54954.087385762505</c:v>
                </c:pt>
                <c:pt idx="374">
                  <c:v>56234.132519034953</c:v>
                </c:pt>
                <c:pt idx="375">
                  <c:v>57543.993733715732</c:v>
                </c:pt>
                <c:pt idx="376">
                  <c:v>58884.365535558936</c:v>
                </c:pt>
                <c:pt idx="377">
                  <c:v>60255.95860743591</c:v>
                </c:pt>
                <c:pt idx="378">
                  <c:v>61659.500186148245</c:v>
                </c:pt>
                <c:pt idx="379">
                  <c:v>63095.734448019342</c:v>
                </c:pt>
                <c:pt idx="380">
                  <c:v>64565.422903465682</c:v>
                </c:pt>
                <c:pt idx="381">
                  <c:v>66069.344800759733</c:v>
                </c:pt>
                <c:pt idx="382">
                  <c:v>67608.297539198305</c:v>
                </c:pt>
                <c:pt idx="383">
                  <c:v>69183.097091893651</c:v>
                </c:pt>
                <c:pt idx="384">
                  <c:v>70794.578438413781</c:v>
                </c:pt>
                <c:pt idx="385">
                  <c:v>72443.596007499116</c:v>
                </c:pt>
                <c:pt idx="386">
                  <c:v>74131.024130091857</c:v>
                </c:pt>
                <c:pt idx="387">
                  <c:v>75857.757502918481</c:v>
                </c:pt>
                <c:pt idx="388">
                  <c:v>77624.711662869129</c:v>
                </c:pt>
                <c:pt idx="389">
                  <c:v>79432.823472428237</c:v>
                </c:pt>
                <c:pt idx="390">
                  <c:v>81283.051616410012</c:v>
                </c:pt>
                <c:pt idx="391">
                  <c:v>83176.377110267174</c:v>
                </c:pt>
                <c:pt idx="392">
                  <c:v>85113.803820237721</c:v>
                </c:pt>
                <c:pt idx="393">
                  <c:v>87096.358995608127</c:v>
                </c:pt>
                <c:pt idx="394">
                  <c:v>89125.093813374609</c:v>
                </c:pt>
                <c:pt idx="395">
                  <c:v>91201.083935591028</c:v>
                </c:pt>
                <c:pt idx="396">
                  <c:v>93325.430079699145</c:v>
                </c:pt>
                <c:pt idx="397">
                  <c:v>95499.258602143804</c:v>
                </c:pt>
                <c:pt idx="398">
                  <c:v>97723.722095581266</c:v>
                </c:pt>
                <c:pt idx="399">
                  <c:v>100000</c:v>
                </c:pt>
                <c:pt idx="400">
                  <c:v>102329.29922807543</c:v>
                </c:pt>
                <c:pt idx="401">
                  <c:v>104712.85480508996</c:v>
                </c:pt>
                <c:pt idx="402">
                  <c:v>107151.93052376082</c:v>
                </c:pt>
                <c:pt idx="403">
                  <c:v>109647.81961431868</c:v>
                </c:pt>
                <c:pt idx="404">
                  <c:v>112201.84543019651</c:v>
                </c:pt>
                <c:pt idx="405">
                  <c:v>114815.36214968823</c:v>
                </c:pt>
                <c:pt idx="406">
                  <c:v>117489.75549395311</c:v>
                </c:pt>
                <c:pt idx="407">
                  <c:v>120226.44346174144</c:v>
                </c:pt>
                <c:pt idx="408">
                  <c:v>123026.87708123829</c:v>
                </c:pt>
                <c:pt idx="409">
                  <c:v>125892.54117941685</c:v>
                </c:pt>
                <c:pt idx="410">
                  <c:v>128824.95516931375</c:v>
                </c:pt>
                <c:pt idx="411">
                  <c:v>131825.67385564081</c:v>
                </c:pt>
                <c:pt idx="412">
                  <c:v>134896.28825916545</c:v>
                </c:pt>
                <c:pt idx="413">
                  <c:v>138038.42646028858</c:v>
                </c:pt>
                <c:pt idx="414">
                  <c:v>141253.75446227577</c:v>
                </c:pt>
                <c:pt idx="415">
                  <c:v>144543.97707459307</c:v>
                </c:pt>
                <c:pt idx="416">
                  <c:v>147910.83881682079</c:v>
                </c:pt>
                <c:pt idx="417">
                  <c:v>151356.12484362084</c:v>
                </c:pt>
                <c:pt idx="418">
                  <c:v>154881.66189124843</c:v>
                </c:pt>
                <c:pt idx="419">
                  <c:v>158489.31924611164</c:v>
                </c:pt>
                <c:pt idx="420">
                  <c:v>162181.00973589328</c:v>
                </c:pt>
                <c:pt idx="421">
                  <c:v>165958.69074375604</c:v>
                </c:pt>
                <c:pt idx="422">
                  <c:v>169824.36524617471</c:v>
                </c:pt>
                <c:pt idx="423">
                  <c:v>173780.0828749378</c:v>
                </c:pt>
                <c:pt idx="424">
                  <c:v>177827.94100389251</c:v>
                </c:pt>
                <c:pt idx="425">
                  <c:v>181970.08586099857</c:v>
                </c:pt>
                <c:pt idx="426">
                  <c:v>186208.71366628664</c:v>
                </c:pt>
                <c:pt idx="427">
                  <c:v>190546.07179632492</c:v>
                </c:pt>
                <c:pt idx="428">
                  <c:v>194984.45997580473</c:v>
                </c:pt>
                <c:pt idx="429">
                  <c:v>199526.23149688813</c:v>
                </c:pt>
                <c:pt idx="430">
                  <c:v>204173.79446695308</c:v>
                </c:pt>
                <c:pt idx="431">
                  <c:v>208929.61308540447</c:v>
                </c:pt>
                <c:pt idx="432">
                  <c:v>213796.20895022334</c:v>
                </c:pt>
                <c:pt idx="433">
                  <c:v>218776.16239495538</c:v>
                </c:pt>
                <c:pt idx="434">
                  <c:v>223872.11385683404</c:v>
                </c:pt>
                <c:pt idx="435">
                  <c:v>229086.76527677779</c:v>
                </c:pt>
                <c:pt idx="436">
                  <c:v>234422.88153199267</c:v>
                </c:pt>
                <c:pt idx="437">
                  <c:v>239883.29190194907</c:v>
                </c:pt>
                <c:pt idx="438">
                  <c:v>245470.89156850305</c:v>
                </c:pt>
                <c:pt idx="439">
                  <c:v>251188.64315095844</c:v>
                </c:pt>
                <c:pt idx="440">
                  <c:v>257039.57827688678</c:v>
                </c:pt>
                <c:pt idx="441">
                  <c:v>263026.79918953858</c:v>
                </c:pt>
                <c:pt idx="442">
                  <c:v>269153.48039269145</c:v>
                </c:pt>
                <c:pt idx="443">
                  <c:v>275422.87033381703</c:v>
                </c:pt>
                <c:pt idx="444">
                  <c:v>281838.29312644573</c:v>
                </c:pt>
                <c:pt idx="445">
                  <c:v>288403.1503126609</c:v>
                </c:pt>
                <c:pt idx="446">
                  <c:v>295120.92266663886</c:v>
                </c:pt>
                <c:pt idx="447">
                  <c:v>301995.17204020242</c:v>
                </c:pt>
                <c:pt idx="448">
                  <c:v>309029.54325135931</c:v>
                </c:pt>
                <c:pt idx="449">
                  <c:v>316227.7660168382</c:v>
                </c:pt>
                <c:pt idx="450">
                  <c:v>323593.65692962846</c:v>
                </c:pt>
                <c:pt idx="451">
                  <c:v>331131.12148259126</c:v>
                </c:pt>
                <c:pt idx="452">
                  <c:v>338844.15613920329</c:v>
                </c:pt>
                <c:pt idx="453">
                  <c:v>346736.85045253241</c:v>
                </c:pt>
                <c:pt idx="454">
                  <c:v>354813.38923357555</c:v>
                </c:pt>
                <c:pt idx="455">
                  <c:v>363078.05477010203</c:v>
                </c:pt>
                <c:pt idx="456">
                  <c:v>371535.2290971732</c:v>
                </c:pt>
                <c:pt idx="457">
                  <c:v>380189.39632056188</c:v>
                </c:pt>
                <c:pt idx="458">
                  <c:v>389045.14499428123</c:v>
                </c:pt>
                <c:pt idx="459">
                  <c:v>398107.17055349716</c:v>
                </c:pt>
                <c:pt idx="460">
                  <c:v>407380.27780411334</c:v>
                </c:pt>
                <c:pt idx="461">
                  <c:v>416869.38347033598</c:v>
                </c:pt>
                <c:pt idx="462">
                  <c:v>426579.51880159322</c:v>
                </c:pt>
                <c:pt idx="463">
                  <c:v>436515.83224016649</c:v>
                </c:pt>
                <c:pt idx="464">
                  <c:v>446683.59215096442</c:v>
                </c:pt>
                <c:pt idx="465">
                  <c:v>457088.18961487547</c:v>
                </c:pt>
                <c:pt idx="466">
                  <c:v>467735.14128719864</c:v>
                </c:pt>
                <c:pt idx="467">
                  <c:v>478630.09232263872</c:v>
                </c:pt>
                <c:pt idx="468">
                  <c:v>489778.81936844654</c:v>
                </c:pt>
                <c:pt idx="469">
                  <c:v>501187.23362727347</c:v>
                </c:pt>
                <c:pt idx="470">
                  <c:v>512861.38399136515</c:v>
                </c:pt>
                <c:pt idx="471">
                  <c:v>524807.46024977288</c:v>
                </c:pt>
                <c:pt idx="472">
                  <c:v>537031.7963702539</c:v>
                </c:pt>
                <c:pt idx="473">
                  <c:v>549540.87385762564</c:v>
                </c:pt>
                <c:pt idx="474">
                  <c:v>562341.32519035018</c:v>
                </c:pt>
                <c:pt idx="475">
                  <c:v>575439.93733715697</c:v>
                </c:pt>
                <c:pt idx="476">
                  <c:v>588843.65535558888</c:v>
                </c:pt>
                <c:pt idx="477">
                  <c:v>602559.58607435878</c:v>
                </c:pt>
                <c:pt idx="478">
                  <c:v>616595.00186148309</c:v>
                </c:pt>
                <c:pt idx="479">
                  <c:v>630957.34448019415</c:v>
                </c:pt>
                <c:pt idx="480">
                  <c:v>645654.22903465747</c:v>
                </c:pt>
                <c:pt idx="481">
                  <c:v>660693.44800759677</c:v>
                </c:pt>
                <c:pt idx="482">
                  <c:v>676082.97539198259</c:v>
                </c:pt>
                <c:pt idx="483">
                  <c:v>691830.97091893724</c:v>
                </c:pt>
                <c:pt idx="484">
                  <c:v>707945.78438413853</c:v>
                </c:pt>
                <c:pt idx="485">
                  <c:v>724435.96007499192</c:v>
                </c:pt>
                <c:pt idx="486">
                  <c:v>741310.24130091805</c:v>
                </c:pt>
                <c:pt idx="487">
                  <c:v>758577.57502918423</c:v>
                </c:pt>
                <c:pt idx="488">
                  <c:v>776247.11662869214</c:v>
                </c:pt>
                <c:pt idx="489">
                  <c:v>794328.23472428333</c:v>
                </c:pt>
                <c:pt idx="490">
                  <c:v>812830.51616410096</c:v>
                </c:pt>
                <c:pt idx="491">
                  <c:v>831763.77110267128</c:v>
                </c:pt>
                <c:pt idx="492">
                  <c:v>851138.03820237669</c:v>
                </c:pt>
                <c:pt idx="493">
                  <c:v>870963.58995608077</c:v>
                </c:pt>
                <c:pt idx="494">
                  <c:v>891250.93813374708</c:v>
                </c:pt>
                <c:pt idx="495">
                  <c:v>912010.83935591124</c:v>
                </c:pt>
                <c:pt idx="496">
                  <c:v>933254.30079699249</c:v>
                </c:pt>
                <c:pt idx="497">
                  <c:v>954992.58602143743</c:v>
                </c:pt>
                <c:pt idx="498">
                  <c:v>977237.22095581202</c:v>
                </c:pt>
                <c:pt idx="499">
                  <c:v>1000000</c:v>
                </c:pt>
                <c:pt idx="500">
                  <c:v>1023292.9922807553</c:v>
                </c:pt>
                <c:pt idx="501">
                  <c:v>1047128.5480509007</c:v>
                </c:pt>
                <c:pt idx="502">
                  <c:v>1071519.3052376076</c:v>
                </c:pt>
                <c:pt idx="503">
                  <c:v>1096478.196143186</c:v>
                </c:pt>
                <c:pt idx="504">
                  <c:v>1122018.4543019643</c:v>
                </c:pt>
                <c:pt idx="505">
                  <c:v>1148153.6214968837</c:v>
                </c:pt>
                <c:pt idx="506">
                  <c:v>1174897.5549395324</c:v>
                </c:pt>
                <c:pt idx="507">
                  <c:v>1202264.4346174158</c:v>
                </c:pt>
                <c:pt idx="508">
                  <c:v>1230268.770812382</c:v>
                </c:pt>
                <c:pt idx="509">
                  <c:v>1258925.4117941677</c:v>
                </c:pt>
                <c:pt idx="510">
                  <c:v>1288249.5516931366</c:v>
                </c:pt>
                <c:pt idx="511">
                  <c:v>1318256.7385564097</c:v>
                </c:pt>
                <c:pt idx="512">
                  <c:v>1348962.8825916562</c:v>
                </c:pt>
                <c:pt idx="513">
                  <c:v>1380384.2646028849</c:v>
                </c:pt>
                <c:pt idx="514">
                  <c:v>1412537.5446227565</c:v>
                </c:pt>
                <c:pt idx="515">
                  <c:v>1445439.7707459298</c:v>
                </c:pt>
                <c:pt idx="516">
                  <c:v>1479108.3881682095</c:v>
                </c:pt>
                <c:pt idx="517">
                  <c:v>1513561.2484362102</c:v>
                </c:pt>
                <c:pt idx="518">
                  <c:v>1548816.6189124861</c:v>
                </c:pt>
                <c:pt idx="519">
                  <c:v>1584893.1924611153</c:v>
                </c:pt>
                <c:pt idx="520">
                  <c:v>1621810.0973589318</c:v>
                </c:pt>
                <c:pt idx="521">
                  <c:v>1659586.9074375622</c:v>
                </c:pt>
                <c:pt idx="522">
                  <c:v>1698243.6524617488</c:v>
                </c:pt>
                <c:pt idx="523">
                  <c:v>1737800.8287493798</c:v>
                </c:pt>
                <c:pt idx="524">
                  <c:v>1778279.4100389241</c:v>
                </c:pt>
                <c:pt idx="525">
                  <c:v>1819700.8586099846</c:v>
                </c:pt>
                <c:pt idx="526">
                  <c:v>1862087.1366628683</c:v>
                </c:pt>
                <c:pt idx="527">
                  <c:v>1905460.7179632513</c:v>
                </c:pt>
                <c:pt idx="528">
                  <c:v>1949844.5997580495</c:v>
                </c:pt>
                <c:pt idx="529">
                  <c:v>1995262.31496888</c:v>
                </c:pt>
                <c:pt idx="530">
                  <c:v>2041737.9446695296</c:v>
                </c:pt>
                <c:pt idx="531">
                  <c:v>2089296.1308540432</c:v>
                </c:pt>
                <c:pt idx="532">
                  <c:v>2137962.0895022359</c:v>
                </c:pt>
                <c:pt idx="533">
                  <c:v>2187761.6239495561</c:v>
                </c:pt>
                <c:pt idx="534">
                  <c:v>2238721.1385683389</c:v>
                </c:pt>
                <c:pt idx="535">
                  <c:v>2290867.6527677765</c:v>
                </c:pt>
                <c:pt idx="536">
                  <c:v>2344228.8153199251</c:v>
                </c:pt>
                <c:pt idx="537">
                  <c:v>2398832.9190194933</c:v>
                </c:pt>
                <c:pt idx="538">
                  <c:v>2454708.915685033</c:v>
                </c:pt>
                <c:pt idx="539">
                  <c:v>2511886.431509587</c:v>
                </c:pt>
                <c:pt idx="540">
                  <c:v>2570395.782768866</c:v>
                </c:pt>
                <c:pt idx="541">
                  <c:v>2630267.9918953842</c:v>
                </c:pt>
              </c:numCache>
            </c:numRef>
          </c:xVal>
          <c:yVal>
            <c:numRef>
              <c:f>Loop_Modeling!$BL$19:$BL$560</c:f>
              <c:numCache>
                <c:formatCode>General</c:formatCode>
                <c:ptCount val="542"/>
                <c:pt idx="0">
                  <c:v>66.55501516589257</c:v>
                </c:pt>
                <c:pt idx="1">
                  <c:v>66.354822898689534</c:v>
                </c:pt>
                <c:pt idx="2">
                  <c:v>66.154621580444484</c:v>
                </c:pt>
                <c:pt idx="3">
                  <c:v>65.954410785580947</c:v>
                </c:pt>
                <c:pt idx="4">
                  <c:v>65.754190068560817</c:v>
                </c:pt>
                <c:pt idx="5">
                  <c:v>65.553958962952223</c:v>
                </c:pt>
                <c:pt idx="6">
                  <c:v>65.353716980455545</c:v>
                </c:pt>
                <c:pt idx="7">
                  <c:v>65.153463609883019</c:v>
                </c:pt>
                <c:pt idx="8">
                  <c:v>64.953198316092823</c:v>
                </c:pt>
                <c:pt idx="9">
                  <c:v>64.752920538872729</c:v>
                </c:pt>
                <c:pt idx="10">
                  <c:v>64.552629691773461</c:v>
                </c:pt>
                <c:pt idx="11">
                  <c:v>64.352325160887915</c:v>
                </c:pt>
                <c:pt idx="12">
                  <c:v>64.152006303574211</c:v>
                </c:pt>
                <c:pt idx="13">
                  <c:v>63.951672447120835</c:v>
                </c:pt>
                <c:pt idx="14">
                  <c:v>63.751322887350319</c:v>
                </c:pt>
                <c:pt idx="15">
                  <c:v>63.55095688715879</c:v>
                </c:pt>
                <c:pt idx="16">
                  <c:v>63.350573674989747</c:v>
                </c:pt>
                <c:pt idx="17">
                  <c:v>63.150172443237444</c:v>
                </c:pt>
                <c:pt idx="18">
                  <c:v>62.949752346578023</c:v>
                </c:pt>
                <c:pt idx="19">
                  <c:v>62.749312500225315</c:v>
                </c:pt>
                <c:pt idx="20">
                  <c:v>62.548851978106406</c:v>
                </c:pt>
                <c:pt idx="21">
                  <c:v>62.348369810955894</c:v>
                </c:pt>
                <c:pt idx="22">
                  <c:v>62.147864984323846</c:v>
                </c:pt>
                <c:pt idx="23">
                  <c:v>61.947336436493146</c:v>
                </c:pt>
                <c:pt idx="24">
                  <c:v>61.746783056304409</c:v>
                </c:pt>
                <c:pt idx="25">
                  <c:v>61.546203680882677</c:v>
                </c:pt>
                <c:pt idx="26">
                  <c:v>61.34559709326269</c:v>
                </c:pt>
                <c:pt idx="27">
                  <c:v>61.144962019907716</c:v>
                </c:pt>
                <c:pt idx="28">
                  <c:v>60.944297128118841</c:v>
                </c:pt>
                <c:pt idx="29">
                  <c:v>60.743601023328736</c:v>
                </c:pt>
                <c:pt idx="30">
                  <c:v>60.542872246275287</c:v>
                </c:pt>
                <c:pt idx="31">
                  <c:v>60.342109270051701</c:v>
                </c:pt>
                <c:pt idx="32">
                  <c:v>60.141310497026069</c:v>
                </c:pt>
                <c:pt idx="33">
                  <c:v>59.940474255626206</c:v>
                </c:pt>
                <c:pt idx="34">
                  <c:v>59.739598796984424</c:v>
                </c:pt>
                <c:pt idx="35">
                  <c:v>59.538682291436245</c:v>
                </c:pt>
                <c:pt idx="36">
                  <c:v>59.337722824867399</c:v>
                </c:pt>
                <c:pt idx="37">
                  <c:v>59.136718394904037</c:v>
                </c:pt>
                <c:pt idx="38">
                  <c:v>58.935666906938522</c:v>
                </c:pt>
                <c:pt idx="39">
                  <c:v>58.734566169986167</c:v>
                </c:pt>
                <c:pt idx="40">
                  <c:v>58.53341389236607</c:v>
                </c:pt>
                <c:pt idx="41">
                  <c:v>58.332207677198589</c:v>
                </c:pt>
                <c:pt idx="42">
                  <c:v>58.130945017714822</c:v>
                </c:pt>
                <c:pt idx="43">
                  <c:v>57.929623292369044</c:v>
                </c:pt>
                <c:pt idx="44">
                  <c:v>57.728239759749052</c:v>
                </c:pt>
                <c:pt idx="45">
                  <c:v>57.52679155327673</c:v>
                </c:pt>
                <c:pt idx="46">
                  <c:v>57.325275675690889</c:v>
                </c:pt>
                <c:pt idx="47">
                  <c:v>57.123688993307027</c:v>
                </c:pt>
                <c:pt idx="48">
                  <c:v>56.9220282300451</c:v>
                </c:pt>
                <c:pt idx="49">
                  <c:v>56.720289961219009</c:v>
                </c:pt>
                <c:pt idx="50">
                  <c:v>56.518470607079763</c:v>
                </c:pt>
                <c:pt idx="51">
                  <c:v>56.316566426105979</c:v>
                </c:pt>
                <c:pt idx="52">
                  <c:v>56.114573508033629</c:v>
                </c:pt>
                <c:pt idx="53">
                  <c:v>55.912487766617943</c:v>
                </c:pt>
                <c:pt idx="54">
                  <c:v>55.710304932120913</c:v>
                </c:pt>
                <c:pt idx="55">
                  <c:v>55.508020543517318</c:v>
                </c:pt>
                <c:pt idx="56">
                  <c:v>55.305629940411826</c:v>
                </c:pt>
                <c:pt idx="57">
                  <c:v>55.103128254662359</c:v>
                </c:pt>
                <c:pt idx="58">
                  <c:v>54.900510401701304</c:v>
                </c:pt>
                <c:pt idx="59">
                  <c:v>54.697771071551109</c:v>
                </c:pt>
                <c:pt idx="60">
                  <c:v>54.494904719527796</c:v>
                </c:pt>
                <c:pt idx="61">
                  <c:v>54.29190555662737</c:v>
                </c:pt>
                <c:pt idx="62">
                  <c:v>54.088767539591871</c:v>
                </c:pt>
                <c:pt idx="63">
                  <c:v>53.885484360651148</c:v>
                </c:pt>
                <c:pt idx="64">
                  <c:v>53.682049436937717</c:v>
                </c:pt>
                <c:pt idx="65">
                  <c:v>53.478455899573092</c:v>
                </c:pt>
                <c:pt idx="66">
                  <c:v>53.274696582425477</c:v>
                </c:pt>
                <c:pt idx="67">
                  <c:v>53.070764010538241</c:v>
                </c:pt>
                <c:pt idx="68">
                  <c:v>52.8666503882326</c:v>
                </c:pt>
                <c:pt idx="69">
                  <c:v>52.662347586886568</c:v>
                </c:pt>
                <c:pt idx="70">
                  <c:v>52.457847132395862</c:v>
                </c:pt>
                <c:pt idx="71">
                  <c:v>52.253140192323698</c:v>
                </c:pt>
                <c:pt idx="72">
                  <c:v>52.048217562748576</c:v>
                </c:pt>
                <c:pt idx="73">
                  <c:v>51.843069654819587</c:v>
                </c:pt>
                <c:pt idx="74">
                  <c:v>51.637686481035878</c:v>
                </c:pt>
                <c:pt idx="75">
                  <c:v>51.432057641263583</c:v>
                </c:pt>
                <c:pt idx="76">
                  <c:v>51.226172308510776</c:v>
                </c:pt>
                <c:pt idx="77">
                  <c:v>51.020019214482978</c:v>
                </c:pt>
                <c:pt idx="78">
                  <c:v>50.813586634944699</c:v>
                </c:pt>
                <c:pt idx="79">
                  <c:v>50.606862374916503</c:v>
                </c:pt>
                <c:pt idx="80">
                  <c:v>50.399833753741554</c:v>
                </c:pt>
                <c:pt idx="81">
                  <c:v>50.192487590059443</c:v>
                </c:pt>
                <c:pt idx="82">
                  <c:v>49.98481018673003</c:v>
                </c:pt>
                <c:pt idx="83">
                  <c:v>49.776787315755094</c:v>
                </c:pt>
                <c:pt idx="84">
                  <c:v>49.568404203250431</c:v>
                </c:pt>
                <c:pt idx="85">
                  <c:v>49.35964551452809</c:v>
                </c:pt>
                <c:pt idx="86">
                  <c:v>49.150495339351814</c:v>
                </c:pt>
                <c:pt idx="87">
                  <c:v>48.940937177438677</c:v>
                </c:pt>
                <c:pt idx="88">
                  <c:v>48.730953924283746</c:v>
                </c:pt>
                <c:pt idx="89">
                  <c:v>48.520527857392437</c:v>
                </c:pt>
                <c:pt idx="90">
                  <c:v>48.309640623013635</c:v>
                </c:pt>
                <c:pt idx="91">
                  <c:v>48.098273223473129</c:v>
                </c:pt>
                <c:pt idx="92">
                  <c:v>47.886406005214859</c:v>
                </c:pt>
                <c:pt idx="93">
                  <c:v>47.674018647666557</c:v>
                </c:pt>
                <c:pt idx="94">
                  <c:v>47.461090153054037</c:v>
                </c:pt>
                <c:pt idx="95">
                  <c:v>47.247598837296501</c:v>
                </c:pt>
                <c:pt idx="96">
                  <c:v>47.03352232212567</c:v>
                </c:pt>
                <c:pt idx="97">
                  <c:v>46.818837528577156</c:v>
                </c:pt>
                <c:pt idx="98">
                  <c:v>46.603520672014312</c:v>
                </c:pt>
                <c:pt idx="99">
                  <c:v>46.387547258850852</c:v>
                </c:pt>
                <c:pt idx="100">
                  <c:v>46.170892085148161</c:v>
                </c:pt>
                <c:pt idx="101">
                  <c:v>45.953529237269152</c:v>
                </c:pt>
                <c:pt idx="102">
                  <c:v>45.735432094781032</c:v>
                </c:pt>
                <c:pt idx="103">
                  <c:v>45.516573335802299</c:v>
                </c:pt>
                <c:pt idx="104">
                  <c:v>45.296924944997301</c:v>
                </c:pt>
                <c:pt idx="105">
                  <c:v>45.076458224426844</c:v>
                </c:pt>
                <c:pt idx="106">
                  <c:v>44.855143807465595</c:v>
                </c:pt>
                <c:pt idx="107">
                  <c:v>44.632951676000019</c:v>
                </c:pt>
                <c:pt idx="108">
                  <c:v>44.40985118112286</c:v>
                </c:pt>
                <c:pt idx="109">
                  <c:v>44.185811067536079</c:v>
                </c:pt>
                <c:pt idx="110">
                  <c:v>43.960799501875357</c:v>
                </c:pt>
                <c:pt idx="111">
                  <c:v>43.734784105160351</c:v>
                </c:pt>
                <c:pt idx="112">
                  <c:v>43.507731989570161</c:v>
                </c:pt>
                <c:pt idx="113">
                  <c:v>43.279609799732356</c:v>
                </c:pt>
                <c:pt idx="114">
                  <c:v>43.050383758701201</c:v>
                </c:pt>
                <c:pt idx="115">
                  <c:v>42.820019718784295</c:v>
                </c:pt>
                <c:pt idx="116">
                  <c:v>42.58848321735934</c:v>
                </c:pt>
                <c:pt idx="117">
                  <c:v>42.355739537798627</c:v>
                </c:pt>
                <c:pt idx="118">
                  <c:v>42.121753775594499</c:v>
                </c:pt>
                <c:pt idx="119">
                  <c:v>41.886490909749121</c:v>
                </c:pt>
                <c:pt idx="120">
                  <c:v>41.649915879459904</c:v>
                </c:pt>
                <c:pt idx="121">
                  <c:v>41.411993666094503</c:v>
                </c:pt>
                <c:pt idx="122">
                  <c:v>41.17268938041191</c:v>
                </c:pt>
                <c:pt idx="123">
                  <c:v>40.931968354941219</c:v>
                </c:pt>
                <c:pt idx="124">
                  <c:v>40.689796241385963</c:v>
                </c:pt>
                <c:pt idx="125">
                  <c:v>40.446139112872395</c:v>
                </c:pt>
                <c:pt idx="126">
                  <c:v>40.200963570810273</c:v>
                </c:pt>
                <c:pt idx="127">
                  <c:v>39.954236856081899</c:v>
                </c:pt>
                <c:pt idx="128">
                  <c:v>39.705926964222556</c:v>
                </c:pt>
                <c:pt idx="129">
                  <c:v>39.45600276419902</c:v>
                </c:pt>
                <c:pt idx="130">
                  <c:v>39.204434120343265</c:v>
                </c:pt>
                <c:pt idx="131">
                  <c:v>38.951192016939025</c:v>
                </c:pt>
                <c:pt idx="132">
                  <c:v>38.696248684914089</c:v>
                </c:pt>
                <c:pt idx="133">
                  <c:v>38.4395777300359</c:v>
                </c:pt>
                <c:pt idx="134">
                  <c:v>38.181154261967684</c:v>
                </c:pt>
                <c:pt idx="135">
                  <c:v>37.920955023497704</c:v>
                </c:pt>
                <c:pt idx="136">
                  <c:v>37.658958519219127</c:v>
                </c:pt>
                <c:pt idx="137">
                  <c:v>37.395145142908788</c:v>
                </c:pt>
                <c:pt idx="138">
                  <c:v>37.129497302828554</c:v>
                </c:pt>
                <c:pt idx="139">
                  <c:v>36.861999544158778</c:v>
                </c:pt>
                <c:pt idx="140">
                  <c:v>36.592638667763978</c:v>
                </c:pt>
                <c:pt idx="141">
                  <c:v>36.321403844495102</c:v>
                </c:pt>
                <c:pt idx="142">
                  <c:v>36.04828672423924</c:v>
                </c:pt>
                <c:pt idx="143">
                  <c:v>35.773281538951515</c:v>
                </c:pt>
                <c:pt idx="144">
                  <c:v>35.496385198927918</c:v>
                </c:pt>
                <c:pt idx="145">
                  <c:v>35.217597381620593</c:v>
                </c:pt>
                <c:pt idx="146">
                  <c:v>34.936920612340153</c:v>
                </c:pt>
                <c:pt idx="147">
                  <c:v>34.654360336246661</c:v>
                </c:pt>
                <c:pt idx="148">
                  <c:v>34.369924981092822</c:v>
                </c:pt>
                <c:pt idx="149">
                  <c:v>34.083626010251912</c:v>
                </c:pt>
                <c:pt idx="150">
                  <c:v>33.795477965638888</c:v>
                </c:pt>
                <c:pt idx="151">
                  <c:v>33.505498500211587</c:v>
                </c:pt>
                <c:pt idx="152">
                  <c:v>33.213708399822089</c:v>
                </c:pt>
                <c:pt idx="153">
                  <c:v>32.920131594273123</c:v>
                </c:pt>
                <c:pt idx="154">
                  <c:v>32.624795157519124</c:v>
                </c:pt>
                <c:pt idx="155">
                  <c:v>32.327729297035795</c:v>
                </c:pt>
                <c:pt idx="156">
                  <c:v>32.028967332464582</c:v>
                </c:pt>
                <c:pt idx="157">
                  <c:v>31.728545663716901</c:v>
                </c:pt>
                <c:pt idx="158">
                  <c:v>31.426503728795005</c:v>
                </c:pt>
                <c:pt idx="159">
                  <c:v>31.122883951657002</c:v>
                </c:pt>
                <c:pt idx="160">
                  <c:v>30.817731680510811</c:v>
                </c:pt>
                <c:pt idx="161">
                  <c:v>30.511095116979575</c:v>
                </c:pt>
                <c:pt idx="162">
                  <c:v>30.203025236619734</c:v>
                </c:pt>
                <c:pt idx="163">
                  <c:v>29.893575701316536</c:v>
                </c:pt>
                <c:pt idx="164">
                  <c:v>29.58280276410116</c:v>
                </c:pt>
                <c:pt idx="165">
                  <c:v>29.270765166958952</c:v>
                </c:pt>
                <c:pt idx="166">
                  <c:v>28.957524032202592</c:v>
                </c:pt>
                <c:pt idx="167">
                  <c:v>28.643142747987064</c:v>
                </c:pt>
                <c:pt idx="168">
                  <c:v>28.327686848537226</c:v>
                </c:pt>
                <c:pt idx="169">
                  <c:v>28.011223889642114</c:v>
                </c:pt>
                <c:pt idx="170">
                  <c:v>27.693823319952497</c:v>
                </c:pt>
                <c:pt idx="171">
                  <c:v>27.375556348589726</c:v>
                </c:pt>
                <c:pt idx="172">
                  <c:v>27.056495809546174</c:v>
                </c:pt>
                <c:pt idx="173">
                  <c:v>26.736716023319474</c:v>
                </c:pt>
                <c:pt idx="174">
                  <c:v>26.416292656193377</c:v>
                </c:pt>
                <c:pt idx="175">
                  <c:v>26.095302577532856</c:v>
                </c:pt>
                <c:pt idx="176">
                  <c:v>25.773823715431131</c:v>
                </c:pt>
                <c:pt idx="177">
                  <c:v>25.45193491100467</c:v>
                </c:pt>
                <c:pt idx="178">
                  <c:v>25.129715771602299</c:v>
                </c:pt>
                <c:pt idx="179">
                  <c:v>24.807246523158774</c:v>
                </c:pt>
                <c:pt idx="180">
                  <c:v>24.48460786189974</c:v>
                </c:pt>
                <c:pt idx="181">
                  <c:v>24.161880805580438</c:v>
                </c:pt>
                <c:pt idx="182">
                  <c:v>23.839146544420355</c:v>
                </c:pt>
                <c:pt idx="183">
                  <c:v>23.516486291887631</c:v>
                </c:pt>
                <c:pt idx="184">
                  <c:v>23.19398113547723</c:v>
                </c:pt>
                <c:pt idx="185">
                  <c:v>22.871711887627342</c:v>
                </c:pt>
                <c:pt idx="186">
                  <c:v>22.549758936922363</c:v>
                </c:pt>
                <c:pt idx="187">
                  <c:v>22.228202099745825</c:v>
                </c:pt>
                <c:pt idx="188">
                  <c:v>21.907120472558375</c:v>
                </c:pt>
                <c:pt idx="189">
                  <c:v>21.586592285001103</c:v>
                </c:pt>
                <c:pt idx="190">
                  <c:v>21.266694754050476</c:v>
                </c:pt>
                <c:pt idx="191">
                  <c:v>20.947503939480928</c:v>
                </c:pt>
                <c:pt idx="192">
                  <c:v>20.629094600925786</c:v>
                </c:pt>
                <c:pt idx="193">
                  <c:v>20.311540056861741</c:v>
                </c:pt>
                <c:pt idx="194">
                  <c:v>19.994912045880806</c:v>
                </c:pt>
                <c:pt idx="195">
                  <c:v>19.679280590649896</c:v>
                </c:pt>
                <c:pt idx="196">
                  <c:v>19.364713864994997</c:v>
                </c:pt>
                <c:pt idx="197">
                  <c:v>19.051278064581282</c:v>
                </c:pt>
                <c:pt idx="198">
                  <c:v>18.739037281692504</c:v>
                </c:pt>
                <c:pt idx="199">
                  <c:v>18.428053384638751</c:v>
                </c:pt>
                <c:pt idx="200">
                  <c:v>18.11838590234569</c:v>
                </c:pt>
                <c:pt idx="201">
                  <c:v>17.810091914691803</c:v>
                </c:pt>
                <c:pt idx="202">
                  <c:v>17.503225949171156</c:v>
                </c:pt>
                <c:pt idx="203">
                  <c:v>17.197839884458439</c:v>
                </c:pt>
                <c:pt idx="204">
                  <c:v>16.893982861446929</c:v>
                </c:pt>
                <c:pt idx="205">
                  <c:v>16.591701202313239</c:v>
                </c:pt>
                <c:pt idx="206">
                  <c:v>16.291038338138581</c:v>
                </c:pt>
                <c:pt idx="207">
                  <c:v>15.992034745580266</c:v>
                </c:pt>
                <c:pt idx="208">
                  <c:v>15.694727893048285</c:v>
                </c:pt>
                <c:pt idx="209">
                  <c:v>15.399152196786074</c:v>
                </c:pt>
                <c:pt idx="210">
                  <c:v>15.105338987198685</c:v>
                </c:pt>
                <c:pt idx="211">
                  <c:v>14.813316485705037</c:v>
                </c:pt>
                <c:pt idx="212">
                  <c:v>14.523109792317134</c:v>
                </c:pt>
                <c:pt idx="213">
                  <c:v>14.234740884073622</c:v>
                </c:pt>
                <c:pt idx="214">
                  <c:v>13.948228624372858</c:v>
                </c:pt>
                <c:pt idx="215">
                  <c:v>13.66358878316664</c:v>
                </c:pt>
                <c:pt idx="216">
                  <c:v>13.38083406789249</c:v>
                </c:pt>
                <c:pt idx="217">
                  <c:v>13.09997416493408</c:v>
                </c:pt>
                <c:pt idx="218">
                  <c:v>12.821015791320637</c:v>
                </c:pt>
                <c:pt idx="219">
                  <c:v>12.543962756291902</c:v>
                </c:pt>
                <c:pt idx="220">
                  <c:v>12.26881603228161</c:v>
                </c:pt>
                <c:pt idx="221">
                  <c:v>11.995573834800435</c:v>
                </c:pt>
                <c:pt idx="222">
                  <c:v>11.724231710635834</c:v>
                </c:pt>
                <c:pt idx="223">
                  <c:v>11.454782633729019</c:v>
                </c:pt>
                <c:pt idx="224">
                  <c:v>11.187217108040636</c:v>
                </c:pt>
                <c:pt idx="225">
                  <c:v>10.92152327667679</c:v>
                </c:pt>
                <c:pt idx="226">
                  <c:v>10.657687036515505</c:v>
                </c:pt>
                <c:pt idx="227">
                  <c:v>10.39569215755259</c:v>
                </c:pt>
                <c:pt idx="228">
                  <c:v>10.135520406173601</c:v>
                </c:pt>
                <c:pt idx="229">
                  <c:v>9.8771516715535217</c:v>
                </c:pt>
                <c:pt idx="230">
                  <c:v>9.6205640943941653</c:v>
                </c:pt>
                <c:pt idx="231">
                  <c:v>9.3657341972195471</c:v>
                </c:pt>
                <c:pt idx="232">
                  <c:v>9.1126370154735117</c:v>
                </c:pt>
                <c:pt idx="233">
                  <c:v>8.8612462286917903</c:v>
                </c:pt>
                <c:pt idx="234">
                  <c:v>8.6115342910538875</c:v>
                </c:pt>
                <c:pt idx="235">
                  <c:v>8.3634725606625544</c:v>
                </c:pt>
                <c:pt idx="236">
                  <c:v>8.1170314269408834</c:v>
                </c:pt>
                <c:pt idx="237">
                  <c:v>7.872180435587314</c:v>
                </c:pt>
                <c:pt idx="238">
                  <c:v>7.6288884105785968</c:v>
                </c:pt>
                <c:pt idx="239">
                  <c:v>7.3871235727627305</c:v>
                </c:pt>
                <c:pt idx="240">
                  <c:v>7.1468536546405073</c:v>
                </c:pt>
                <c:pt idx="241">
                  <c:v>6.9080460109847888</c:v>
                </c:pt>
                <c:pt idx="242">
                  <c:v>6.6706677250027813</c:v>
                </c:pt>
                <c:pt idx="243">
                  <c:v>6.4346857097983161</c:v>
                </c:pt>
                <c:pt idx="244">
                  <c:v>6.2000668049409438</c:v>
                </c:pt>
                <c:pt idx="245">
                  <c:v>5.9667778679983154</c:v>
                </c:pt>
                <c:pt idx="246">
                  <c:v>5.7347858609344406</c:v>
                </c:pt>
                <c:pt idx="247">
                  <c:v>5.5040579313179911</c:v>
                </c:pt>
                <c:pt idx="248">
                  <c:v>5.2745614883262579</c:v>
                </c:pt>
                <c:pt idx="249">
                  <c:v>5.0462642735654768</c:v>
                </c:pt>
                <c:pt idx="250">
                  <c:v>4.8191344267627034</c:v>
                </c:pt>
                <c:pt idx="251">
                  <c:v>4.593140546411937</c:v>
                </c:pt>
                <c:pt idx="252">
                  <c:v>4.3682517454850878</c:v>
                </c:pt>
                <c:pt idx="253">
                  <c:v>4.1444377023393146</c:v>
                </c:pt>
                <c:pt idx="254">
                  <c:v>3.9216687069709892</c:v>
                </c:pt>
                <c:pt idx="255">
                  <c:v>3.6999157027842253</c:v>
                </c:pt>
                <c:pt idx="256">
                  <c:v>3.4791503240531356</c:v>
                </c:pt>
                <c:pt idx="257">
                  <c:v>3.2593449292641314</c:v>
                </c:pt>
                <c:pt idx="258">
                  <c:v>3.0404726305379914</c:v>
                </c:pt>
                <c:pt idx="259">
                  <c:v>2.8225073193281376</c:v>
                </c:pt>
                <c:pt idx="260">
                  <c:v>2.605423688598012</c:v>
                </c:pt>
                <c:pt idx="261">
                  <c:v>2.3891972516804967</c:v>
                </c:pt>
                <c:pt idx="262">
                  <c:v>2.1738043580164974</c:v>
                </c:pt>
                <c:pt idx="263">
                  <c:v>1.9592222059697502</c:v>
                </c:pt>
                <c:pt idx="264">
                  <c:v>1.7454288529073103</c:v>
                </c:pt>
                <c:pt idx="265">
                  <c:v>1.5324032227292008</c:v>
                </c:pt>
                <c:pt idx="266">
                  <c:v>1.3201251110216738</c:v>
                </c:pt>
                <c:pt idx="267">
                  <c:v>1.1085751880008505</c:v>
                </c:pt>
                <c:pt idx="268">
                  <c:v>0.89773499940306212</c:v>
                </c:pt>
                <c:pt idx="269">
                  <c:v>0.68758696546599074</c:v>
                </c:pt>
                <c:pt idx="270">
                  <c:v>0.47811437813658475</c:v>
                </c:pt>
                <c:pt idx="271">
                  <c:v>0.26930139662740776</c:v>
                </c:pt>
                <c:pt idx="272">
                  <c:v>6.1133041430922332E-2</c:v>
                </c:pt>
                <c:pt idx="273">
                  <c:v>-0.14640481311010659</c:v>
                </c:pt>
                <c:pt idx="274">
                  <c:v>-0.35332544759012846</c:v>
                </c:pt>
                <c:pt idx="275">
                  <c:v>-0.55964130761636854</c:v>
                </c:pt>
                <c:pt idx="276">
                  <c:v>-0.76536401511147067</c:v>
                </c:pt>
                <c:pt idx="277">
                  <c:v>-0.97050438079904644</c:v>
                </c:pt>
                <c:pt idx="278">
                  <c:v>-1.175072417837316</c:v>
                </c:pt>
                <c:pt idx="279">
                  <c:v>-1.3790773565836107</c:v>
                </c:pt>
                <c:pt idx="280">
                  <c:v>-1.5825276604804783</c:v>
                </c:pt>
                <c:pt idx="281">
                  <c:v>-1.7854310430710549</c:v>
                </c:pt>
                <c:pt idx="282">
                  <c:v>-1.9877944861616894</c:v>
                </c:pt>
                <c:pt idx="283">
                  <c:v>-2.1896242591635007</c:v>
                </c:pt>
                <c:pt idx="284">
                  <c:v>-2.3909259396554865</c:v>
                </c:pt>
                <c:pt idx="285">
                  <c:v>-2.591704435225564</c:v>
                </c:pt>
                <c:pt idx="286">
                  <c:v>-2.7919640066562517</c:v>
                </c:pt>
                <c:pt idx="287">
                  <c:v>-2.9917082925324294</c:v>
                </c:pt>
                <c:pt idx="288">
                  <c:v>-3.1909403353615873</c:v>
                </c:pt>
                <c:pt idx="289">
                  <c:v>-3.3896626093050553</c:v>
                </c:pt>
                <c:pt idx="290">
                  <c:v>-3.5878770496290779</c:v>
                </c:pt>
                <c:pt idx="291">
                  <c:v>-3.7855850839940812</c:v>
                </c:pt>
                <c:pt idx="292">
                  <c:v>-3.9827876657078196</c:v>
                </c:pt>
                <c:pt idx="293">
                  <c:v>-4.1794853090767194</c:v>
                </c:pt>
                <c:pt idx="294">
                  <c:v>-4.3756781269926526</c:v>
                </c:pt>
                <c:pt idx="295">
                  <c:v>-4.5713658709032376</c:v>
                </c:pt>
                <c:pt idx="296">
                  <c:v>-4.7665479733101863</c:v>
                </c:pt>
                <c:pt idx="297">
                  <c:v>-4.9612235929494481</c:v>
                </c:pt>
                <c:pt idx="298">
                  <c:v>-5.1553916628018719</c:v>
                </c:pt>
                <c:pt idx="299">
                  <c:v>-5.3490509410854559</c:v>
                </c:pt>
                <c:pt idx="300">
                  <c:v>-5.542200065374697</c:v>
                </c:pt>
                <c:pt idx="301">
                  <c:v>-5.7348376099887899</c:v>
                </c:pt>
                <c:pt idx="302">
                  <c:v>-5.9269621467798936</c:v>
                </c:pt>
                <c:pt idx="303">
                  <c:v>-6.1185723094447724</c:v>
                </c:pt>
                <c:pt idx="304">
                  <c:v>-6.3096668614665656</c:v>
                </c:pt>
                <c:pt idx="305">
                  <c:v>-6.500244767779372</c:v>
                </c:pt>
                <c:pt idx="306">
                  <c:v>-6.6903052702260446</c:v>
                </c:pt>
                <c:pt idx="307">
                  <c:v>-6.8798479668573433</c:v>
                </c:pt>
                <c:pt idx="308">
                  <c:v>-7.0688728950936213</c:v>
                </c:pt>
                <c:pt idx="309">
                  <c:v>-7.2573806187382406</c:v>
                </c:pt>
                <c:pt idx="310">
                  <c:v>-7.4453723187981851</c:v>
                </c:pt>
                <c:pt idx="311">
                  <c:v>-7.6328498880288294</c:v>
                </c:pt>
                <c:pt idx="312">
                  <c:v>-7.8198160290770504</c:v>
                </c:pt>
                <c:pt idx="313">
                  <c:v>-8.0062743560507084</c:v>
                </c:pt>
                <c:pt idx="314">
                  <c:v>-8.1922294992931946</c:v>
                </c:pt>
                <c:pt idx="315">
                  <c:v>-8.3776872130878726</c:v>
                </c:pt>
                <c:pt idx="316">
                  <c:v>-8.5626544859619091</c:v>
                </c:pt>
                <c:pt idx="317">
                  <c:v>-8.7471396531993069</c:v>
                </c:pt>
                <c:pt idx="318">
                  <c:v>-8.9311525111106285</c:v>
                </c:pt>
                <c:pt idx="319">
                  <c:v>-9.1147044325469988</c:v>
                </c:pt>
                <c:pt idx="320">
                  <c:v>-9.2978084830787697</c:v>
                </c:pt>
                <c:pt idx="321">
                  <c:v>-9.4804795371960253</c:v>
                </c:pt>
                <c:pt idx="322">
                  <c:v>-9.6627343938267725</c:v>
                </c:pt>
                <c:pt idx="323">
                  <c:v>-9.8445918904030449</c:v>
                </c:pt>
                <c:pt idx="324">
                  <c:v>-10.026073014649281</c:v>
                </c:pt>
                <c:pt idx="325">
                  <c:v>-10.20720101320855</c:v>
                </c:pt>
                <c:pt idx="326">
                  <c:v>-10.388001496176152</c:v>
                </c:pt>
                <c:pt idx="327">
                  <c:v>-10.568502536559389</c:v>
                </c:pt>
                <c:pt idx="328">
                  <c:v>-10.748734763650818</c:v>
                </c:pt>
                <c:pt idx="329">
                  <c:v>-10.928731449270092</c:v>
                </c:pt>
                <c:pt idx="330">
                  <c:v>-11.108528585811047</c:v>
                </c:pt>
                <c:pt idx="331">
                  <c:v>-11.288164955021712</c:v>
                </c:pt>
                <c:pt idx="332">
                  <c:v>-11.467682186449453</c:v>
                </c:pt>
                <c:pt idx="333">
                  <c:v>-11.647124804496677</c:v>
                </c:pt>
                <c:pt idx="334">
                  <c:v>-11.826540263062688</c:v>
                </c:pt>
                <c:pt idx="335">
                  <c:v>-12.005978966790549</c:v>
                </c:pt>
                <c:pt idx="336">
                  <c:v>-12.185494277990632</c:v>
                </c:pt>
                <c:pt idx="337">
                  <c:v>-12.365142508389091</c:v>
                </c:pt>
                <c:pt idx="338">
                  <c:v>-12.544982894927646</c:v>
                </c:pt>
                <c:pt idx="339">
                  <c:v>-12.72507755894469</c:v>
                </c:pt>
                <c:pt idx="340">
                  <c:v>-12.905491448175304</c:v>
                </c:pt>
                <c:pt idx="341">
                  <c:v>-13.086292261133611</c:v>
                </c:pt>
                <c:pt idx="342">
                  <c:v>-13.26755035357335</c:v>
                </c:pt>
                <c:pt idx="343">
                  <c:v>-13.44933862686721</c:v>
                </c:pt>
                <c:pt idx="344">
                  <c:v>-13.631732398297471</c:v>
                </c:pt>
                <c:pt idx="345">
                  <c:v>-13.81480925340702</c:v>
                </c:pt>
                <c:pt idx="346">
                  <c:v>-13.998648880723465</c:v>
                </c:pt>
                <c:pt idx="347">
                  <c:v>-14.183332889332149</c:v>
                </c:pt>
                <c:pt idx="348">
                  <c:v>-14.368944609936982</c:v>
                </c:pt>
                <c:pt idx="349">
                  <c:v>-14.55556888021308</c:v>
                </c:pt>
                <c:pt idx="350">
                  <c:v>-14.743291815407041</c:v>
                </c:pt>
                <c:pt idx="351">
                  <c:v>-14.932200565297084</c:v>
                </c:pt>
                <c:pt idx="352">
                  <c:v>-15.122383058760903</c:v>
                </c:pt>
                <c:pt idx="353">
                  <c:v>-15.313927737335591</c:v>
                </c:pt>
                <c:pt idx="354">
                  <c:v>-15.506923279266632</c:v>
                </c:pt>
                <c:pt idx="355">
                  <c:v>-15.701458315652934</c:v>
                </c:pt>
                <c:pt idx="356">
                  <c:v>-15.897621140375639</c:v>
                </c:pt>
                <c:pt idx="357">
                  <c:v>-16.095499415579347</c:v>
                </c:pt>
                <c:pt idx="358">
                  <c:v>-16.295179874517686</c:v>
                </c:pt>
                <c:pt idx="359">
                  <c:v>-16.496748023619354</c:v>
                </c:pt>
                <c:pt idx="360">
                  <c:v>-16.700287845643164</c:v>
                </c:pt>
                <c:pt idx="361">
                  <c:v>-16.90588150578812</c:v>
                </c:pt>
                <c:pt idx="362">
                  <c:v>-17.11360906260699</c:v>
                </c:pt>
                <c:pt idx="363">
                  <c:v>-17.323548185529823</c:v>
                </c:pt>
                <c:pt idx="364">
                  <c:v>-17.535773880749787</c:v>
                </c:pt>
                <c:pt idx="365">
                  <c:v>-17.750358227149896</c:v>
                </c:pt>
                <c:pt idx="366">
                  <c:v>-17.967370123861926</c:v>
                </c:pt>
                <c:pt idx="367">
                  <c:v>-18.186875050944607</c:v>
                </c:pt>
                <c:pt idx="368">
                  <c:v>-18.40893484455664</c:v>
                </c:pt>
                <c:pt idx="369">
                  <c:v>-18.633607487869018</c:v>
                </c:pt>
                <c:pt idx="370">
                  <c:v>-18.860946918829292</c:v>
                </c:pt>
                <c:pt idx="371">
                  <c:v>-19.091002855745501</c:v>
                </c:pt>
                <c:pt idx="372">
                  <c:v>-19.323820641505385</c:v>
                </c:pt>
                <c:pt idx="373">
                  <c:v>-19.559441107096017</c:v>
                </c:pt>
                <c:pt idx="374">
                  <c:v>-19.797900454929785</c:v>
                </c:pt>
                <c:pt idx="375">
                  <c:v>-20.039230162321857</c:v>
                </c:pt>
                <c:pt idx="376">
                  <c:v>-20.283456905314502</c:v>
                </c:pt>
                <c:pt idx="377">
                  <c:v>-20.53060250288091</c:v>
                </c:pt>
                <c:pt idx="378">
                  <c:v>-20.780683881392946</c:v>
                </c:pt>
                <c:pt idx="379">
                  <c:v>-21.03371305909414</c:v>
                </c:pt>
                <c:pt idx="380">
                  <c:v>-21.289697150175005</c:v>
                </c:pt>
                <c:pt idx="381">
                  <c:v>-21.548638387919393</c:v>
                </c:pt>
                <c:pt idx="382">
                  <c:v>-21.810534166268631</c:v>
                </c:pt>
                <c:pt idx="383">
                  <c:v>-22.075377099035755</c:v>
                </c:pt>
                <c:pt idx="384">
                  <c:v>-22.343155095903555</c:v>
                </c:pt>
                <c:pt idx="385">
                  <c:v>-22.613851454246685</c:v>
                </c:pt>
                <c:pt idx="386">
                  <c:v>-22.887444965745196</c:v>
                </c:pt>
                <c:pt idx="387">
                  <c:v>-23.163910036688407</c:v>
                </c:pt>
                <c:pt idx="388">
                  <c:v>-23.443216820817451</c:v>
                </c:pt>
                <c:pt idx="389">
                  <c:v>-23.725331363517057</c:v>
                </c:pt>
                <c:pt idx="390">
                  <c:v>-24.010215756140397</c:v>
                </c:pt>
                <c:pt idx="391">
                  <c:v>-24.297828299238308</c:v>
                </c:pt>
                <c:pt idx="392">
                  <c:v>-24.588123673466132</c:v>
                </c:pt>
                <c:pt idx="393">
                  <c:v>-24.881053116950788</c:v>
                </c:pt>
                <c:pt idx="394">
                  <c:v>-25.176564607926327</c:v>
                </c:pt>
                <c:pt idx="395">
                  <c:v>-25.474603051482635</c:v>
                </c:pt>
                <c:pt idx="396">
                  <c:v>-25.775110469311372</c:v>
                </c:pt>
                <c:pt idx="397">
                  <c:v>-26.078026191394208</c:v>
                </c:pt>
                <c:pt idx="398">
                  <c:v>-26.383287048635388</c:v>
                </c:pt>
                <c:pt idx="399">
                  <c:v>-26.690827565510595</c:v>
                </c:pt>
                <c:pt idx="400">
                  <c:v>-27.000580151882069</c:v>
                </c:pt>
                <c:pt idx="401">
                  <c:v>-27.312475293205488</c:v>
                </c:pt>
                <c:pt idx="402">
                  <c:v>-27.626441738440363</c:v>
                </c:pt>
                <c:pt idx="403">
                  <c:v>-27.942406685062</c:v>
                </c:pt>
                <c:pt idx="404">
                  <c:v>-28.260295960656094</c:v>
                </c:pt>
                <c:pt idx="405">
                  <c:v>-28.580034200670163</c:v>
                </c:pt>
                <c:pt idx="406">
                  <c:v>-28.901545021978524</c:v>
                </c:pt>
                <c:pt idx="407">
                  <c:v>-29.224751192001253</c:v>
                </c:pt>
                <c:pt idx="408">
                  <c:v>-29.549574793205107</c:v>
                </c:pt>
                <c:pt idx="409">
                  <c:v>-29.875937382884295</c:v>
                </c:pt>
                <c:pt idx="410">
                  <c:v>-30.203760148200402</c:v>
                </c:pt>
                <c:pt idx="411">
                  <c:v>-30.532964056522335</c:v>
                </c:pt>
                <c:pt idx="412">
                  <c:v>-30.863470001177475</c:v>
                </c:pt>
                <c:pt idx="413">
                  <c:v>-31.19519894277164</c:v>
                </c:pt>
                <c:pt idx="414">
                  <c:v>-31.528072046296856</c:v>
                </c:pt>
                <c:pt idx="415">
                  <c:v>-31.862010814276882</c:v>
                </c:pt>
                <c:pt idx="416">
                  <c:v>-32.196937216244244</c:v>
                </c:pt>
                <c:pt idx="417">
                  <c:v>-32.532773814864981</c:v>
                </c:pt>
                <c:pt idx="418">
                  <c:v>-32.869443889047169</c:v>
                </c:pt>
                <c:pt idx="419">
                  <c:v>-33.206871554383838</c:v>
                </c:pt>
                <c:pt idx="420">
                  <c:v>-33.544981881281608</c:v>
                </c:pt>
                <c:pt idx="421">
                  <c:v>-33.883701011121005</c:v>
                </c:pt>
                <c:pt idx="422">
                  <c:v>-34.222956270788117</c:v>
                </c:pt>
                <c:pt idx="423">
                  <c:v>-34.562676285890404</c:v>
                </c:pt>
                <c:pt idx="424">
                  <c:v>-34.902791092947332</c:v>
                </c:pt>
                <c:pt idx="425">
                  <c:v>-35.243232250810443</c:v>
                </c:pt>
                <c:pt idx="426">
                  <c:v>-35.583932951528226</c:v>
                </c:pt>
                <c:pt idx="427">
                  <c:v>-35.924828130820913</c:v>
                </c:pt>
                <c:pt idx="428">
                  <c:v>-36.265854578280923</c:v>
                </c:pt>
                <c:pt idx="429">
                  <c:v>-36.606951047355821</c:v>
                </c:pt>
                <c:pt idx="430">
                  <c:v>-36.94805836510583</c:v>
                </c:pt>
                <c:pt idx="431">
                  <c:v>-37.289119541665031</c:v>
                </c:pt>
                <c:pt idx="432">
                  <c:v>-37.630079879263164</c:v>
                </c:pt>
                <c:pt idx="433">
                  <c:v>-37.970887080596057</c:v>
                </c:pt>
                <c:pt idx="434">
                  <c:v>-38.311491356257299</c:v>
                </c:pt>
                <c:pt idx="435">
                  <c:v>-38.651845530874695</c:v>
                </c:pt>
                <c:pt idx="436">
                  <c:v>-38.991905147518381</c:v>
                </c:pt>
                <c:pt idx="437">
                  <c:v>-39.331628569883506</c:v>
                </c:pt>
                <c:pt idx="438">
                  <c:v>-39.670977081679005</c:v>
                </c:pt>
                <c:pt idx="439">
                  <c:v>-40.009914982594161</c:v>
                </c:pt>
                <c:pt idx="440">
                  <c:v>-40.348409680157921</c:v>
                </c:pt>
                <c:pt idx="441">
                  <c:v>-40.686431776755931</c:v>
                </c:pt>
                <c:pt idx="442">
                  <c:v>-41.023955151027884</c:v>
                </c:pt>
                <c:pt idx="443">
                  <c:v>-41.360957032834413</c:v>
                </c:pt>
                <c:pt idx="444">
                  <c:v>-41.697418070960985</c:v>
                </c:pt>
                <c:pt idx="445">
                  <c:v>-42.033322392711781</c:v>
                </c:pt>
                <c:pt idx="446">
                  <c:v>-42.368657654546865</c:v>
                </c:pt>
                <c:pt idx="447">
                  <c:v>-42.703415082925922</c:v>
                </c:pt>
                <c:pt idx="448">
                  <c:v>-43.037589504546261</c:v>
                </c:pt>
                <c:pt idx="449">
                  <c:v>-43.371179365197875</c:v>
                </c:pt>
                <c:pt idx="450">
                  <c:v>-43.704186736507779</c:v>
                </c:pt>
                <c:pt idx="451">
                  <c:v>-44.0366173099072</c:v>
                </c:pt>
                <c:pt idx="452">
                  <c:v>-44.368480377227762</c:v>
                </c:pt>
                <c:pt idx="453">
                  <c:v>-44.699788797418677</c:v>
                </c:pt>
                <c:pt idx="454">
                  <c:v>-45.030558948972285</c:v>
                </c:pt>
                <c:pt idx="455">
                  <c:v>-45.360810667750229</c:v>
                </c:pt>
                <c:pt idx="456">
                  <c:v>-45.690567170015434</c:v>
                </c:pt>
                <c:pt idx="457">
                  <c:v>-46.019854960599027</c:v>
                </c:pt>
                <c:pt idx="458">
                  <c:v>-46.348703726253163</c:v>
                </c:pt>
                <c:pt idx="459">
                  <c:v>-46.677146214374766</c:v>
                </c:pt>
                <c:pt idx="460">
                  <c:v>-47.005218097416623</c:v>
                </c:pt>
                <c:pt idx="461">
                  <c:v>-47.33295782343437</c:v>
                </c:pt>
                <c:pt idx="462">
                  <c:v>-47.660406453353517</c:v>
                </c:pt>
                <c:pt idx="463">
                  <c:v>-47.987607485663631</c:v>
                </c:pt>
                <c:pt idx="464">
                  <c:v>-48.314606669378989</c:v>
                </c:pt>
                <c:pt idx="465">
                  <c:v>-48.641451806215244</c:v>
                </c:pt>
                <c:pt idx="466">
                  <c:v>-48.968192543047728</c:v>
                </c:pt>
                <c:pt idx="467">
                  <c:v>-49.294880155812777</c:v>
                </c:pt>
                <c:pt idx="468">
                  <c:v>-49.621567326107382</c:v>
                </c:pt>
                <c:pt idx="469">
                  <c:v>-49.948307911816499</c:v>
                </c:pt>
                <c:pt idx="470">
                  <c:v>-50.275156713165686</c:v>
                </c:pt>
                <c:pt idx="471">
                  <c:v>-50.602169235642613</c:v>
                </c:pt>
                <c:pt idx="472">
                  <c:v>-50.929401451272923</c:v>
                </c:pt>
                <c:pt idx="473">
                  <c:v>-51.256909559753161</c:v>
                </c:pt>
                <c:pt idx="474">
                  <c:v>-51.584749750950991</c:v>
                </c:pt>
                <c:pt idx="475">
                  <c:v>-51.91297797026958</c:v>
                </c:pt>
                <c:pt idx="476">
                  <c:v>-52.241649688357811</c:v>
                </c:pt>
                <c:pt idx="477">
                  <c:v>-52.570819676592997</c:v>
                </c:pt>
                <c:pt idx="478">
                  <c:v>-52.900541789722382</c:v>
                </c:pt>
                <c:pt idx="479">
                  <c:v>-53.230868756972455</c:v>
                </c:pt>
                <c:pt idx="480">
                  <c:v>-53.561851982856453</c:v>
                </c:pt>
                <c:pt idx="481">
                  <c:v>-53.893541358816918</c:v>
                </c:pt>
                <c:pt idx="482">
                  <c:v>-54.225985086735456</c:v>
                </c:pt>
                <c:pt idx="483">
                  <c:v>-54.559229515227543</c:v>
                </c:pt>
                <c:pt idx="484">
                  <c:v>-54.893318989520878</c:v>
                </c:pt>
                <c:pt idx="485">
                  <c:v>-55.228295715583087</c:v>
                </c:pt>
                <c:pt idx="486">
                  <c:v>-55.564199639036843</c:v>
                </c:pt>
                <c:pt idx="487">
                  <c:v>-55.901068339262146</c:v>
                </c:pt>
                <c:pt idx="488">
                  <c:v>-56.238936938944939</c:v>
                </c:pt>
                <c:pt idx="489">
                  <c:v>-56.577838029203626</c:v>
                </c:pt>
                <c:pt idx="490">
                  <c:v>-56.917801610278609</c:v>
                </c:pt>
                <c:pt idx="491">
                  <c:v>-57.258855047651309</c:v>
                </c:pt>
                <c:pt idx="492">
                  <c:v>-57.601023043321973</c:v>
                </c:pt>
                <c:pt idx="493">
                  <c:v>-57.944327621868055</c:v>
                </c:pt>
                <c:pt idx="494">
                  <c:v>-58.288788130787744</c:v>
                </c:pt>
                <c:pt idx="495">
                  <c:v>-58.634421254532924</c:v>
                </c:pt>
                <c:pt idx="496">
                  <c:v>-58.981241041550348</c:v>
                </c:pt>
                <c:pt idx="497">
                  <c:v>-59.329258943562166</c:v>
                </c:pt>
                <c:pt idx="498">
                  <c:v>-59.678483866258404</c:v>
                </c:pt>
                <c:pt idx="499">
                  <c:v>-60.028922230509025</c:v>
                </c:pt>
                <c:pt idx="500">
                  <c:v>-60.380578043167581</c:v>
                </c:pt>
                <c:pt idx="501">
                  <c:v>-60.733452976501432</c:v>
                </c:pt>
                <c:pt idx="502">
                  <c:v>-61.087546455267301</c:v>
                </c:pt>
                <c:pt idx="503">
                  <c:v>-61.442855750440863</c:v>
                </c:pt>
                <c:pt idx="504">
                  <c:v>-61.799376078614131</c:v>
                </c:pt>
                <c:pt idx="505">
                  <c:v>-62.157100706084456</c:v>
                </c:pt>
                <c:pt idx="506">
                  <c:v>-62.51602105668529</c:v>
                </c:pt>
                <c:pt idx="507">
                  <c:v>-62.876126822436149</c:v>
                </c:pt>
                <c:pt idx="508">
                  <c:v>-63.237406076130654</c:v>
                </c:pt>
                <c:pt idx="509">
                  <c:v>-63.599845385023677</c:v>
                </c:pt>
                <c:pt idx="510">
                  <c:v>-63.963429924830997</c:v>
                </c:pt>
                <c:pt idx="511">
                  <c:v>-64.328143593307914</c:v>
                </c:pt>
                <c:pt idx="512">
                  <c:v>-64.693969122731687</c:v>
                </c:pt>
                <c:pt idx="513">
                  <c:v>-65.06088819067223</c:v>
                </c:pt>
                <c:pt idx="514">
                  <c:v>-65.428881528497143</c:v>
                </c:pt>
                <c:pt idx="515">
                  <c:v>-65.797929027117959</c:v>
                </c:pt>
                <c:pt idx="516">
                  <c:v>-66.168009839547153</c:v>
                </c:pt>
                <c:pt idx="517">
                  <c:v>-66.539102479894126</c:v>
                </c:pt>
                <c:pt idx="518">
                  <c:v>-66.91118491848836</c:v>
                </c:pt>
                <c:pt idx="519">
                  <c:v>-67.284234672872088</c:v>
                </c:pt>
                <c:pt idx="520">
                  <c:v>-67.658228894460976</c:v>
                </c:pt>
                <c:pt idx="521">
                  <c:v>-68.033144450718424</c:v>
                </c:pt>
                <c:pt idx="522">
                  <c:v>-68.408958002738814</c:v>
                </c:pt>
                <c:pt idx="523">
                  <c:v>-68.785646078176683</c:v>
                </c:pt>
                <c:pt idx="524">
                  <c:v>-69.163185139500158</c:v>
                </c:pt>
                <c:pt idx="525">
                  <c:v>-69.541551647579126</c:v>
                </c:pt>
                <c:pt idx="526">
                  <c:v>-69.920722120657373</c:v>
                </c:pt>
                <c:pt idx="527">
                  <c:v>-70.300673188778291</c:v>
                </c:pt>
                <c:pt idx="528">
                  <c:v>-70.681381643765292</c:v>
                </c:pt>
                <c:pt idx="529">
                  <c:v>-71.062824484876842</c:v>
                </c:pt>
                <c:pt idx="530">
                  <c:v>-71.444978960271769</c:v>
                </c:pt>
                <c:pt idx="531">
                  <c:v>-71.827822604440144</c:v>
                </c:pt>
                <c:pt idx="532">
                  <c:v>-72.211333271763053</c:v>
                </c:pt>
                <c:pt idx="533">
                  <c:v>-72.595489166376154</c:v>
                </c:pt>
                <c:pt idx="534">
                  <c:v>-72.980268868516674</c:v>
                </c:pt>
                <c:pt idx="535">
                  <c:v>-73.365651357541466</c:v>
                </c:pt>
                <c:pt idx="536">
                  <c:v>-73.751616031801419</c:v>
                </c:pt>
                <c:pt idx="537">
                  <c:v>-74.138142725563242</c:v>
                </c:pt>
                <c:pt idx="538">
                  <c:v>-74.525211723165953</c:v>
                </c:pt>
                <c:pt idx="539">
                  <c:v>-74.912803770596085</c:v>
                </c:pt>
                <c:pt idx="540">
                  <c:v>-75.300900084666239</c:v>
                </c:pt>
                <c:pt idx="541">
                  <c:v>-75.689482359973766</c:v>
                </c:pt>
              </c:numCache>
            </c:numRef>
          </c:yVal>
          <c:smooth val="1"/>
          <c:extLst>
            <c:ext xmlns:c16="http://schemas.microsoft.com/office/drawing/2014/chart" uri="{C3380CC4-5D6E-409C-BE32-E72D297353CC}">
              <c16:uniqueId val="{00000000-8173-45EB-83AD-B179A66292B6}"/>
            </c:ext>
          </c:extLst>
        </c:ser>
        <c:dLbls>
          <c:showLegendKey val="0"/>
          <c:showVal val="0"/>
          <c:showCatName val="0"/>
          <c:showSerName val="0"/>
          <c:showPercent val="0"/>
          <c:showBubbleSize val="0"/>
        </c:dLbls>
        <c:axId val="555528192"/>
        <c:axId val="555530112"/>
      </c:scatterChart>
      <c:scatterChart>
        <c:scatterStyle val="smoothMarker"/>
        <c:varyColors val="0"/>
        <c:ser>
          <c:idx val="1"/>
          <c:order val="1"/>
          <c:spPr>
            <a:ln w="38100">
              <a:solidFill>
                <a:schemeClr val="tx1">
                  <a:lumMod val="95000"/>
                  <a:lumOff val="5000"/>
                </a:schemeClr>
              </a:solidFill>
              <a:prstDash val="sysDash"/>
            </a:ln>
          </c:spPr>
          <c:marker>
            <c:symbol val="none"/>
          </c:marker>
          <c:xVal>
            <c:numRef>
              <c:f>Loop_Modeling!$O$19:$O$560</c:f>
              <c:numCache>
                <c:formatCode>0.00</c:formatCode>
                <c:ptCount val="542"/>
                <c:pt idx="0">
                  <c:v>10.232929922807543</c:v>
                </c:pt>
                <c:pt idx="1">
                  <c:v>10.471285480509</c:v>
                </c:pt>
                <c:pt idx="2">
                  <c:v>10.715193052376069</c:v>
                </c:pt>
                <c:pt idx="3">
                  <c:v>10.964781961431854</c:v>
                </c:pt>
                <c:pt idx="4">
                  <c:v>11.220184543019636</c:v>
                </c:pt>
                <c:pt idx="5">
                  <c:v>11.481536214968834</c:v>
                </c:pt>
                <c:pt idx="6">
                  <c:v>11.748975549395301</c:v>
                </c:pt>
                <c:pt idx="7">
                  <c:v>12.022644346174133</c:v>
                </c:pt>
                <c:pt idx="8">
                  <c:v>12.302687708123818</c:v>
                </c:pt>
                <c:pt idx="9">
                  <c:v>12.58925411794168</c:v>
                </c:pt>
                <c:pt idx="10">
                  <c:v>12.882495516931346</c:v>
                </c:pt>
                <c:pt idx="11">
                  <c:v>13.182567385564075</c:v>
                </c:pt>
                <c:pt idx="12">
                  <c:v>13.489628825916535</c:v>
                </c:pt>
                <c:pt idx="13">
                  <c:v>13.803842646028857</c:v>
                </c:pt>
                <c:pt idx="14">
                  <c:v>14.125375446227544</c:v>
                </c:pt>
                <c:pt idx="15">
                  <c:v>14.454397707459275</c:v>
                </c:pt>
                <c:pt idx="16">
                  <c:v>14.791083881682074</c:v>
                </c:pt>
                <c:pt idx="17">
                  <c:v>15.135612484362087</c:v>
                </c:pt>
                <c:pt idx="18">
                  <c:v>15.488166189124817</c:v>
                </c:pt>
                <c:pt idx="19">
                  <c:v>15.848931924611136</c:v>
                </c:pt>
                <c:pt idx="20">
                  <c:v>16.218100973589298</c:v>
                </c:pt>
                <c:pt idx="21">
                  <c:v>16.595869074375614</c:v>
                </c:pt>
                <c:pt idx="22">
                  <c:v>16.982436524617448</c:v>
                </c:pt>
                <c:pt idx="23">
                  <c:v>17.378008287493756</c:v>
                </c:pt>
                <c:pt idx="24">
                  <c:v>17.782794100389236</c:v>
                </c:pt>
                <c:pt idx="25">
                  <c:v>18.197008586099841</c:v>
                </c:pt>
                <c:pt idx="26">
                  <c:v>18.62087136662868</c:v>
                </c:pt>
                <c:pt idx="27">
                  <c:v>19.054607179632477</c:v>
                </c:pt>
                <c:pt idx="28">
                  <c:v>19.498445997580465</c:v>
                </c:pt>
                <c:pt idx="29">
                  <c:v>19.952623149688804</c:v>
                </c:pt>
                <c:pt idx="30">
                  <c:v>20.4173794466953</c:v>
                </c:pt>
                <c:pt idx="31">
                  <c:v>20.8929613085404</c:v>
                </c:pt>
                <c:pt idx="32">
                  <c:v>21.379620895022335</c:v>
                </c:pt>
                <c:pt idx="33">
                  <c:v>21.877616239495538</c:v>
                </c:pt>
                <c:pt idx="34">
                  <c:v>22.387211385683404</c:v>
                </c:pt>
                <c:pt idx="35">
                  <c:v>22.908676527677727</c:v>
                </c:pt>
                <c:pt idx="36">
                  <c:v>23.442288153199236</c:v>
                </c:pt>
                <c:pt idx="37">
                  <c:v>23.988329190194907</c:v>
                </c:pt>
                <c:pt idx="38">
                  <c:v>24.547089156850316</c:v>
                </c:pt>
                <c:pt idx="39">
                  <c:v>25.118864315095799</c:v>
                </c:pt>
                <c:pt idx="40">
                  <c:v>25.703957827688647</c:v>
                </c:pt>
                <c:pt idx="41">
                  <c:v>26.302679918953825</c:v>
                </c:pt>
                <c:pt idx="42">
                  <c:v>26.915348039269158</c:v>
                </c:pt>
                <c:pt idx="43">
                  <c:v>27.542287033381665</c:v>
                </c:pt>
                <c:pt idx="44">
                  <c:v>28.183829312644548</c:v>
                </c:pt>
                <c:pt idx="45">
                  <c:v>28.840315031266066</c:v>
                </c:pt>
                <c:pt idx="46">
                  <c:v>29.512092266663863</c:v>
                </c:pt>
                <c:pt idx="47">
                  <c:v>30.199517204020164</c:v>
                </c:pt>
                <c:pt idx="48">
                  <c:v>30.902954325135919</c:v>
                </c:pt>
                <c:pt idx="49">
                  <c:v>31.622776601683803</c:v>
                </c:pt>
                <c:pt idx="50">
                  <c:v>32.359365692962832</c:v>
                </c:pt>
                <c:pt idx="51">
                  <c:v>33.113112148259127</c:v>
                </c:pt>
                <c:pt idx="52">
                  <c:v>33.884415613920268</c:v>
                </c:pt>
                <c:pt idx="53">
                  <c:v>34.67368504525318</c:v>
                </c:pt>
                <c:pt idx="54">
                  <c:v>35.481338923357555</c:v>
                </c:pt>
                <c:pt idx="55">
                  <c:v>36.307805477010156</c:v>
                </c:pt>
                <c:pt idx="56">
                  <c:v>37.15352290971726</c:v>
                </c:pt>
                <c:pt idx="57">
                  <c:v>38.018939632056139</c:v>
                </c:pt>
                <c:pt idx="58">
                  <c:v>38.904514499428053</c:v>
                </c:pt>
                <c:pt idx="59">
                  <c:v>39.810717055349755</c:v>
                </c:pt>
                <c:pt idx="60">
                  <c:v>40.738027780411279</c:v>
                </c:pt>
                <c:pt idx="61">
                  <c:v>41.686938347033561</c:v>
                </c:pt>
                <c:pt idx="62">
                  <c:v>42.657951880159267</c:v>
                </c:pt>
                <c:pt idx="63">
                  <c:v>43.651583224016633</c:v>
                </c:pt>
                <c:pt idx="64">
                  <c:v>44.668359215096324</c:v>
                </c:pt>
                <c:pt idx="65">
                  <c:v>45.70881896148753</c:v>
                </c:pt>
                <c:pt idx="66">
                  <c:v>46.773514128719818</c:v>
                </c:pt>
                <c:pt idx="67">
                  <c:v>47.863009232263877</c:v>
                </c:pt>
                <c:pt idx="68">
                  <c:v>48.977881936844632</c:v>
                </c:pt>
                <c:pt idx="69">
                  <c:v>50.118723362727238</c:v>
                </c:pt>
                <c:pt idx="70">
                  <c:v>51.28613839913649</c:v>
                </c:pt>
                <c:pt idx="71">
                  <c:v>52.480746024977286</c:v>
                </c:pt>
                <c:pt idx="72">
                  <c:v>53.703179637025293</c:v>
                </c:pt>
                <c:pt idx="73">
                  <c:v>54.95408738576247</c:v>
                </c:pt>
                <c:pt idx="74">
                  <c:v>56.234132519034915</c:v>
                </c:pt>
                <c:pt idx="75">
                  <c:v>57.543993733715695</c:v>
                </c:pt>
                <c:pt idx="76">
                  <c:v>58.884365535558949</c:v>
                </c:pt>
                <c:pt idx="77">
                  <c:v>60.255958607435822</c:v>
                </c:pt>
                <c:pt idx="78">
                  <c:v>61.659500186148257</c:v>
                </c:pt>
                <c:pt idx="79">
                  <c:v>63.095734448019364</c:v>
                </c:pt>
                <c:pt idx="80">
                  <c:v>64.565422903465588</c:v>
                </c:pt>
                <c:pt idx="81">
                  <c:v>66.069344800759623</c:v>
                </c:pt>
                <c:pt idx="82">
                  <c:v>67.60829753919819</c:v>
                </c:pt>
                <c:pt idx="83">
                  <c:v>69.183097091893657</c:v>
                </c:pt>
                <c:pt idx="84">
                  <c:v>70.794578438413865</c:v>
                </c:pt>
                <c:pt idx="85">
                  <c:v>72.443596007499011</c:v>
                </c:pt>
                <c:pt idx="86">
                  <c:v>74.131024130091816</c:v>
                </c:pt>
                <c:pt idx="87">
                  <c:v>75.857757502918361</c:v>
                </c:pt>
                <c:pt idx="88">
                  <c:v>77.624711662869217</c:v>
                </c:pt>
                <c:pt idx="89">
                  <c:v>79.432823472428197</c:v>
                </c:pt>
                <c:pt idx="90">
                  <c:v>81.283051616409963</c:v>
                </c:pt>
                <c:pt idx="91">
                  <c:v>83.176377110267126</c:v>
                </c:pt>
                <c:pt idx="92">
                  <c:v>85.113803820237734</c:v>
                </c:pt>
                <c:pt idx="93">
                  <c:v>87.096358995608071</c:v>
                </c:pt>
                <c:pt idx="94">
                  <c:v>89.125093813374562</c:v>
                </c:pt>
                <c:pt idx="95">
                  <c:v>91.201083935590972</c:v>
                </c:pt>
                <c:pt idx="96">
                  <c:v>93.325430079699174</c:v>
                </c:pt>
                <c:pt idx="97">
                  <c:v>95.499258602143655</c:v>
                </c:pt>
                <c:pt idx="98">
                  <c:v>97.723722095581124</c:v>
                </c:pt>
                <c:pt idx="99">
                  <c:v>100</c:v>
                </c:pt>
                <c:pt idx="100">
                  <c:v>102.32929922807544</c:v>
                </c:pt>
                <c:pt idx="101">
                  <c:v>104.71285480508998</c:v>
                </c:pt>
                <c:pt idx="102">
                  <c:v>107.15193052376065</c:v>
                </c:pt>
                <c:pt idx="103">
                  <c:v>109.64781961431861</c:v>
                </c:pt>
                <c:pt idx="104">
                  <c:v>112.20184543019634</c:v>
                </c:pt>
                <c:pt idx="105">
                  <c:v>114.81536214968835</c:v>
                </c:pt>
                <c:pt idx="106">
                  <c:v>117.48975549395293</c:v>
                </c:pt>
                <c:pt idx="107">
                  <c:v>120.22644346174135</c:v>
                </c:pt>
                <c:pt idx="108">
                  <c:v>123.02687708123821</c:v>
                </c:pt>
                <c:pt idx="109">
                  <c:v>125.89254117941677</c:v>
                </c:pt>
                <c:pt idx="110">
                  <c:v>128.82495516931343</c:v>
                </c:pt>
                <c:pt idx="111">
                  <c:v>131.82567385564084</c:v>
                </c:pt>
                <c:pt idx="112">
                  <c:v>134.89628825916537</c:v>
                </c:pt>
                <c:pt idx="113">
                  <c:v>138.0384264602886</c:v>
                </c:pt>
                <c:pt idx="114">
                  <c:v>141.25375446227542</c:v>
                </c:pt>
                <c:pt idx="115">
                  <c:v>144.54397707459285</c:v>
                </c:pt>
                <c:pt idx="116">
                  <c:v>147.91083881682084</c:v>
                </c:pt>
                <c:pt idx="117">
                  <c:v>151.3561248436209</c:v>
                </c:pt>
                <c:pt idx="118">
                  <c:v>154.8816618912482</c:v>
                </c:pt>
                <c:pt idx="119">
                  <c:v>158.48931924611153</c:v>
                </c:pt>
                <c:pt idx="120">
                  <c:v>162.18100973589304</c:v>
                </c:pt>
                <c:pt idx="121">
                  <c:v>165.95869074375622</c:v>
                </c:pt>
                <c:pt idx="122">
                  <c:v>169.82436524617444</c:v>
                </c:pt>
                <c:pt idx="123">
                  <c:v>173.78008287493768</c:v>
                </c:pt>
                <c:pt idx="124">
                  <c:v>177.82794100389242</c:v>
                </c:pt>
                <c:pt idx="125">
                  <c:v>181.9700858609983</c:v>
                </c:pt>
                <c:pt idx="126">
                  <c:v>186.20871366628685</c:v>
                </c:pt>
                <c:pt idx="127">
                  <c:v>190.54607179632498</c:v>
                </c:pt>
                <c:pt idx="128">
                  <c:v>194.98445997580458</c:v>
                </c:pt>
                <c:pt idx="129">
                  <c:v>199.52623149688802</c:v>
                </c:pt>
                <c:pt idx="130">
                  <c:v>204.17379446695315</c:v>
                </c:pt>
                <c:pt idx="131">
                  <c:v>208.92961308540396</c:v>
                </c:pt>
                <c:pt idx="132">
                  <c:v>213.79620895022339</c:v>
                </c:pt>
                <c:pt idx="133">
                  <c:v>218.77616239495524</c:v>
                </c:pt>
                <c:pt idx="134">
                  <c:v>223.87211385683412</c:v>
                </c:pt>
                <c:pt idx="135">
                  <c:v>229.08676527677744</c:v>
                </c:pt>
                <c:pt idx="136">
                  <c:v>234.42288153199232</c:v>
                </c:pt>
                <c:pt idx="137">
                  <c:v>239.88329190194912</c:v>
                </c:pt>
                <c:pt idx="138">
                  <c:v>245.4708915685033</c:v>
                </c:pt>
                <c:pt idx="139">
                  <c:v>251.18864315095806</c:v>
                </c:pt>
                <c:pt idx="140">
                  <c:v>257.03957827688663</c:v>
                </c:pt>
                <c:pt idx="141">
                  <c:v>263.02679918953817</c:v>
                </c:pt>
                <c:pt idx="142">
                  <c:v>269.15348039269179</c:v>
                </c:pt>
                <c:pt idx="143">
                  <c:v>275.42287033381683</c:v>
                </c:pt>
                <c:pt idx="144">
                  <c:v>281.83829312644554</c:v>
                </c:pt>
                <c:pt idx="145">
                  <c:v>288.40315031266073</c:v>
                </c:pt>
                <c:pt idx="146">
                  <c:v>295.12092266663871</c:v>
                </c:pt>
                <c:pt idx="147">
                  <c:v>301.99517204020168</c:v>
                </c:pt>
                <c:pt idx="148">
                  <c:v>309.02954325135937</c:v>
                </c:pt>
                <c:pt idx="149">
                  <c:v>316.22776601683825</c:v>
                </c:pt>
                <c:pt idx="150">
                  <c:v>323.59365692962825</c:v>
                </c:pt>
                <c:pt idx="151">
                  <c:v>331.13112148259137</c:v>
                </c:pt>
                <c:pt idx="152">
                  <c:v>338.84415613920277</c:v>
                </c:pt>
                <c:pt idx="153">
                  <c:v>346.73685045253183</c:v>
                </c:pt>
                <c:pt idx="154">
                  <c:v>354.81338923357566</c:v>
                </c:pt>
                <c:pt idx="155">
                  <c:v>363.07805477010152</c:v>
                </c:pt>
                <c:pt idx="156">
                  <c:v>371.53522909717265</c:v>
                </c:pt>
                <c:pt idx="157">
                  <c:v>380.18939632056163</c:v>
                </c:pt>
                <c:pt idx="158">
                  <c:v>389.04514499428063</c:v>
                </c:pt>
                <c:pt idx="159">
                  <c:v>398.10717055349761</c:v>
                </c:pt>
                <c:pt idx="160">
                  <c:v>407.38027780411272</c:v>
                </c:pt>
                <c:pt idx="161">
                  <c:v>416.86938347033572</c:v>
                </c:pt>
                <c:pt idx="162">
                  <c:v>426.57951880159294</c:v>
                </c:pt>
                <c:pt idx="163">
                  <c:v>436.51583224016622</c:v>
                </c:pt>
                <c:pt idx="164">
                  <c:v>446.68359215096331</c:v>
                </c:pt>
                <c:pt idx="165">
                  <c:v>457.0881896148756</c:v>
                </c:pt>
                <c:pt idx="166">
                  <c:v>467.7351412871983</c:v>
                </c:pt>
                <c:pt idx="167">
                  <c:v>478.63009232263886</c:v>
                </c:pt>
                <c:pt idx="168">
                  <c:v>489.77881936844625</c:v>
                </c:pt>
                <c:pt idx="169">
                  <c:v>501.18723362727269</c:v>
                </c:pt>
                <c:pt idx="170">
                  <c:v>512.86138399136519</c:v>
                </c:pt>
                <c:pt idx="171">
                  <c:v>524.80746024977248</c:v>
                </c:pt>
                <c:pt idx="172">
                  <c:v>537.03179637025301</c:v>
                </c:pt>
                <c:pt idx="173">
                  <c:v>549.54087385762534</c:v>
                </c:pt>
                <c:pt idx="174">
                  <c:v>562.34132519034927</c:v>
                </c:pt>
                <c:pt idx="175">
                  <c:v>575.43993733715706</c:v>
                </c:pt>
                <c:pt idx="176">
                  <c:v>588.84365535558959</c:v>
                </c:pt>
                <c:pt idx="177">
                  <c:v>602.55958607435832</c:v>
                </c:pt>
                <c:pt idx="178">
                  <c:v>616.59500186148273</c:v>
                </c:pt>
                <c:pt idx="179">
                  <c:v>630.95734448019323</c:v>
                </c:pt>
                <c:pt idx="180">
                  <c:v>645.65422903465594</c:v>
                </c:pt>
                <c:pt idx="181">
                  <c:v>660.69344800759643</c:v>
                </c:pt>
                <c:pt idx="182">
                  <c:v>676.08297539198213</c:v>
                </c:pt>
                <c:pt idx="183">
                  <c:v>691.83097091893671</c:v>
                </c:pt>
                <c:pt idx="184">
                  <c:v>707.94578438413873</c:v>
                </c:pt>
                <c:pt idx="185">
                  <c:v>724.43596007499025</c:v>
                </c:pt>
                <c:pt idx="186">
                  <c:v>741.31024130091828</c:v>
                </c:pt>
                <c:pt idx="187">
                  <c:v>758.57757502918378</c:v>
                </c:pt>
                <c:pt idx="188">
                  <c:v>776.24711662869231</c:v>
                </c:pt>
                <c:pt idx="189">
                  <c:v>794.32823472428208</c:v>
                </c:pt>
                <c:pt idx="190">
                  <c:v>812.83051616409978</c:v>
                </c:pt>
                <c:pt idx="191">
                  <c:v>831.7637711026714</c:v>
                </c:pt>
                <c:pt idx="192">
                  <c:v>851.13803820237763</c:v>
                </c:pt>
                <c:pt idx="193">
                  <c:v>870.96358995608091</c:v>
                </c:pt>
                <c:pt idx="194">
                  <c:v>891.25093813374656</c:v>
                </c:pt>
                <c:pt idx="195">
                  <c:v>912.01083935590987</c:v>
                </c:pt>
                <c:pt idx="196">
                  <c:v>933.25430079699106</c:v>
                </c:pt>
                <c:pt idx="197">
                  <c:v>954.99258602143675</c:v>
                </c:pt>
                <c:pt idx="198">
                  <c:v>977.23722095581138</c:v>
                </c:pt>
                <c:pt idx="199">
                  <c:v>1000</c:v>
                </c:pt>
                <c:pt idx="200">
                  <c:v>1023.2929922807547</c:v>
                </c:pt>
                <c:pt idx="201">
                  <c:v>1047.1285480509</c:v>
                </c:pt>
                <c:pt idx="202">
                  <c:v>1071.5193052376069</c:v>
                </c:pt>
                <c:pt idx="203">
                  <c:v>1096.4781961431863</c:v>
                </c:pt>
                <c:pt idx="204">
                  <c:v>1122.0184543019636</c:v>
                </c:pt>
                <c:pt idx="205">
                  <c:v>1148.1536214968839</c:v>
                </c:pt>
                <c:pt idx="206">
                  <c:v>1174.8975549395295</c:v>
                </c:pt>
                <c:pt idx="207">
                  <c:v>1202.2644346174138</c:v>
                </c:pt>
                <c:pt idx="208">
                  <c:v>1230.2687708123824</c:v>
                </c:pt>
                <c:pt idx="209">
                  <c:v>1258.925411794168</c:v>
                </c:pt>
                <c:pt idx="210">
                  <c:v>1288.2495516931347</c:v>
                </c:pt>
                <c:pt idx="211">
                  <c:v>1318.2567385564089</c:v>
                </c:pt>
                <c:pt idx="212">
                  <c:v>1348.9628825916541</c:v>
                </c:pt>
                <c:pt idx="213">
                  <c:v>1380.3842646028863</c:v>
                </c:pt>
                <c:pt idx="214">
                  <c:v>1412.5375446227545</c:v>
                </c:pt>
                <c:pt idx="215">
                  <c:v>1445.4397707459289</c:v>
                </c:pt>
                <c:pt idx="216">
                  <c:v>1479.1083881682086</c:v>
                </c:pt>
                <c:pt idx="217">
                  <c:v>1513.5612484362093</c:v>
                </c:pt>
                <c:pt idx="218">
                  <c:v>1548.8166189124822</c:v>
                </c:pt>
                <c:pt idx="219">
                  <c:v>1584.8931924611156</c:v>
                </c:pt>
                <c:pt idx="220">
                  <c:v>1621.8100973589308</c:v>
                </c:pt>
                <c:pt idx="221">
                  <c:v>1659.5869074375626</c:v>
                </c:pt>
                <c:pt idx="222">
                  <c:v>1698.2436524617447</c:v>
                </c:pt>
                <c:pt idx="223">
                  <c:v>1737.8008287493772</c:v>
                </c:pt>
                <c:pt idx="224">
                  <c:v>1778.2794100389244</c:v>
                </c:pt>
                <c:pt idx="225">
                  <c:v>1819.7008586099832</c:v>
                </c:pt>
                <c:pt idx="226">
                  <c:v>1862.0871366628687</c:v>
                </c:pt>
                <c:pt idx="227">
                  <c:v>1905.4607179632501</c:v>
                </c:pt>
                <c:pt idx="228">
                  <c:v>1949.8445997580463</c:v>
                </c:pt>
                <c:pt idx="229">
                  <c:v>1995.2623149688804</c:v>
                </c:pt>
                <c:pt idx="230">
                  <c:v>2041.7379446695318</c:v>
                </c:pt>
                <c:pt idx="231">
                  <c:v>2089.2961308540398</c:v>
                </c:pt>
                <c:pt idx="232">
                  <c:v>2137.9620895022344</c:v>
                </c:pt>
                <c:pt idx="233">
                  <c:v>2187.7616239495528</c:v>
                </c:pt>
                <c:pt idx="234">
                  <c:v>2238.7211385683418</c:v>
                </c:pt>
                <c:pt idx="235">
                  <c:v>2290.8676527677749</c:v>
                </c:pt>
                <c:pt idx="236">
                  <c:v>2344.2288153199238</c:v>
                </c:pt>
                <c:pt idx="237">
                  <c:v>2398.8329190194918</c:v>
                </c:pt>
                <c:pt idx="238">
                  <c:v>2454.7089156850338</c:v>
                </c:pt>
                <c:pt idx="239">
                  <c:v>2511.8864315095811</c:v>
                </c:pt>
                <c:pt idx="240">
                  <c:v>2570.3957827688669</c:v>
                </c:pt>
                <c:pt idx="241">
                  <c:v>2630.2679918953822</c:v>
                </c:pt>
                <c:pt idx="242">
                  <c:v>2691.5348039269184</c:v>
                </c:pt>
                <c:pt idx="243">
                  <c:v>2754.228703338169</c:v>
                </c:pt>
                <c:pt idx="244">
                  <c:v>2818.3829312644561</c:v>
                </c:pt>
                <c:pt idx="245">
                  <c:v>2884.0315031266077</c:v>
                </c:pt>
                <c:pt idx="246">
                  <c:v>2951.2092266663876</c:v>
                </c:pt>
                <c:pt idx="247">
                  <c:v>3019.9517204020176</c:v>
                </c:pt>
                <c:pt idx="248">
                  <c:v>3090.295432513592</c:v>
                </c:pt>
                <c:pt idx="249">
                  <c:v>3162.2776601683804</c:v>
                </c:pt>
                <c:pt idx="250">
                  <c:v>3235.9365692962833</c:v>
                </c:pt>
                <c:pt idx="251">
                  <c:v>3311.3112148259115</c:v>
                </c:pt>
                <c:pt idx="252">
                  <c:v>3388.4415613920314</c:v>
                </c:pt>
                <c:pt idx="253">
                  <c:v>3467.3685045253224</c:v>
                </c:pt>
                <c:pt idx="254">
                  <c:v>3548.1338923357539</c:v>
                </c:pt>
                <c:pt idx="255">
                  <c:v>3630.7805477010188</c:v>
                </c:pt>
                <c:pt idx="256">
                  <c:v>3715.352290971724</c:v>
                </c:pt>
                <c:pt idx="257">
                  <c:v>3801.8939632056172</c:v>
                </c:pt>
                <c:pt idx="258">
                  <c:v>3890.451449942811</c:v>
                </c:pt>
                <c:pt idx="259">
                  <c:v>3981.0717055349769</c:v>
                </c:pt>
                <c:pt idx="260">
                  <c:v>4073.8027780411317</c:v>
                </c:pt>
                <c:pt idx="261">
                  <c:v>4168.6938347033583</c:v>
                </c:pt>
                <c:pt idx="262">
                  <c:v>4265.7951880159299</c:v>
                </c:pt>
                <c:pt idx="263">
                  <c:v>4365.1583224016631</c:v>
                </c:pt>
                <c:pt idx="264">
                  <c:v>4466.8359215096343</c:v>
                </c:pt>
                <c:pt idx="265">
                  <c:v>4570.8818961487532</c:v>
                </c:pt>
                <c:pt idx="266">
                  <c:v>4677.3514128719844</c:v>
                </c:pt>
                <c:pt idx="267">
                  <c:v>4786.3009232263848</c:v>
                </c:pt>
                <c:pt idx="268">
                  <c:v>4897.7881936844633</c:v>
                </c:pt>
                <c:pt idx="269">
                  <c:v>5011.8723362727324</c:v>
                </c:pt>
                <c:pt idx="270">
                  <c:v>5128.6138399136489</c:v>
                </c:pt>
                <c:pt idx="271">
                  <c:v>5248.0746024977261</c:v>
                </c:pt>
                <c:pt idx="272">
                  <c:v>5370.3179637025269</c:v>
                </c:pt>
                <c:pt idx="273">
                  <c:v>5495.4087385762541</c:v>
                </c:pt>
                <c:pt idx="274">
                  <c:v>5623.4132519034993</c:v>
                </c:pt>
                <c:pt idx="275">
                  <c:v>5754.399373371567</c:v>
                </c:pt>
                <c:pt idx="276">
                  <c:v>5888.4365535558973</c:v>
                </c:pt>
                <c:pt idx="277">
                  <c:v>6025.595860743585</c:v>
                </c:pt>
                <c:pt idx="278">
                  <c:v>6165.9500186148289</c:v>
                </c:pt>
                <c:pt idx="279">
                  <c:v>6309.5734448019384</c:v>
                </c:pt>
                <c:pt idx="280">
                  <c:v>6456.5422903465615</c:v>
                </c:pt>
                <c:pt idx="281">
                  <c:v>6606.9344800759654</c:v>
                </c:pt>
                <c:pt idx="282">
                  <c:v>6760.8297539198229</c:v>
                </c:pt>
                <c:pt idx="283">
                  <c:v>6918.3097091893687</c:v>
                </c:pt>
                <c:pt idx="284">
                  <c:v>7079.4578438413828</c:v>
                </c:pt>
                <c:pt idx="285">
                  <c:v>7244.3596007499036</c:v>
                </c:pt>
                <c:pt idx="286">
                  <c:v>7413.1024130091773</c:v>
                </c:pt>
                <c:pt idx="287">
                  <c:v>7585.7757502918394</c:v>
                </c:pt>
                <c:pt idx="288">
                  <c:v>7762.4711662869322</c:v>
                </c:pt>
                <c:pt idx="289">
                  <c:v>7943.2823472428154</c:v>
                </c:pt>
                <c:pt idx="290">
                  <c:v>8128.3051616410066</c:v>
                </c:pt>
                <c:pt idx="291">
                  <c:v>8317.6377110267094</c:v>
                </c:pt>
                <c:pt idx="292">
                  <c:v>8511.3803820237772</c:v>
                </c:pt>
                <c:pt idx="293">
                  <c:v>8709.6358995608189</c:v>
                </c:pt>
                <c:pt idx="294">
                  <c:v>8912.5093813374679</c:v>
                </c:pt>
                <c:pt idx="295">
                  <c:v>9120.1083935591087</c:v>
                </c:pt>
                <c:pt idx="296">
                  <c:v>9332.5430079699217</c:v>
                </c:pt>
                <c:pt idx="297">
                  <c:v>9549.9258602143691</c:v>
                </c:pt>
                <c:pt idx="298">
                  <c:v>9772.3722095581161</c:v>
                </c:pt>
                <c:pt idx="299">
                  <c:v>10000</c:v>
                </c:pt>
                <c:pt idx="300">
                  <c:v>10232.929922807549</c:v>
                </c:pt>
                <c:pt idx="301">
                  <c:v>10471.285480509003</c:v>
                </c:pt>
                <c:pt idx="302">
                  <c:v>10715.193052376071</c:v>
                </c:pt>
                <c:pt idx="303">
                  <c:v>10964.781961431856</c:v>
                </c:pt>
                <c:pt idx="304">
                  <c:v>11220.184543019639</c:v>
                </c:pt>
                <c:pt idx="305">
                  <c:v>11481.536214968832</c:v>
                </c:pt>
                <c:pt idx="306">
                  <c:v>11748.975549395318</c:v>
                </c:pt>
                <c:pt idx="307">
                  <c:v>12022.644346174151</c:v>
                </c:pt>
                <c:pt idx="308">
                  <c:v>12302.687708123816</c:v>
                </c:pt>
                <c:pt idx="309">
                  <c:v>12589.254117941671</c:v>
                </c:pt>
                <c:pt idx="310">
                  <c:v>12882.49551693136</c:v>
                </c:pt>
                <c:pt idx="311">
                  <c:v>13182.567385564091</c:v>
                </c:pt>
                <c:pt idx="312">
                  <c:v>13489.628825916556</c:v>
                </c:pt>
                <c:pt idx="313">
                  <c:v>13803.842646028841</c:v>
                </c:pt>
                <c:pt idx="314">
                  <c:v>14125.375446227561</c:v>
                </c:pt>
                <c:pt idx="315">
                  <c:v>14454.397707459291</c:v>
                </c:pt>
                <c:pt idx="316">
                  <c:v>14791.083881682089</c:v>
                </c:pt>
                <c:pt idx="317">
                  <c:v>15135.612484362096</c:v>
                </c:pt>
                <c:pt idx="318">
                  <c:v>15488.166189124853</c:v>
                </c:pt>
                <c:pt idx="319">
                  <c:v>15848.931924611146</c:v>
                </c:pt>
                <c:pt idx="320">
                  <c:v>16218.100973589309</c:v>
                </c:pt>
                <c:pt idx="321">
                  <c:v>16595.869074375616</c:v>
                </c:pt>
                <c:pt idx="322">
                  <c:v>16982.436524617482</c:v>
                </c:pt>
                <c:pt idx="323">
                  <c:v>17378.008287493791</c:v>
                </c:pt>
                <c:pt idx="324">
                  <c:v>17782.794100389234</c:v>
                </c:pt>
                <c:pt idx="325">
                  <c:v>18197.008586099837</c:v>
                </c:pt>
                <c:pt idx="326">
                  <c:v>18620.871366628675</c:v>
                </c:pt>
                <c:pt idx="327">
                  <c:v>19054.607179632505</c:v>
                </c:pt>
                <c:pt idx="328">
                  <c:v>19498.445997580486</c:v>
                </c:pt>
                <c:pt idx="329">
                  <c:v>19952.623149688792</c:v>
                </c:pt>
                <c:pt idx="330">
                  <c:v>20417.379446695286</c:v>
                </c:pt>
                <c:pt idx="331">
                  <c:v>20892.961308540423</c:v>
                </c:pt>
                <c:pt idx="332">
                  <c:v>21379.620895022348</c:v>
                </c:pt>
                <c:pt idx="333">
                  <c:v>21877.61623949555</c:v>
                </c:pt>
                <c:pt idx="334">
                  <c:v>22387.211385683382</c:v>
                </c:pt>
                <c:pt idx="335">
                  <c:v>22908.676527677751</c:v>
                </c:pt>
                <c:pt idx="336">
                  <c:v>23442.288153199243</c:v>
                </c:pt>
                <c:pt idx="337">
                  <c:v>23988.329190194923</c:v>
                </c:pt>
                <c:pt idx="338">
                  <c:v>24547.089156850321</c:v>
                </c:pt>
                <c:pt idx="339">
                  <c:v>25118.86431509586</c:v>
                </c:pt>
                <c:pt idx="340">
                  <c:v>25703.95782768865</c:v>
                </c:pt>
                <c:pt idx="341">
                  <c:v>26302.679918953829</c:v>
                </c:pt>
                <c:pt idx="342">
                  <c:v>26915.348039269167</c:v>
                </c:pt>
                <c:pt idx="343">
                  <c:v>27542.287033381719</c:v>
                </c:pt>
                <c:pt idx="344">
                  <c:v>28183.829312644593</c:v>
                </c:pt>
                <c:pt idx="345">
                  <c:v>28840.315031266062</c:v>
                </c:pt>
                <c:pt idx="346">
                  <c:v>29512.092266663854</c:v>
                </c:pt>
                <c:pt idx="347">
                  <c:v>30199.517204020212</c:v>
                </c:pt>
                <c:pt idx="348">
                  <c:v>30902.954325135954</c:v>
                </c:pt>
                <c:pt idx="349">
                  <c:v>31622.77660168384</c:v>
                </c:pt>
                <c:pt idx="350">
                  <c:v>32359.365692962871</c:v>
                </c:pt>
                <c:pt idx="351">
                  <c:v>33113.11214825909</c:v>
                </c:pt>
                <c:pt idx="352">
                  <c:v>33884.41561392029</c:v>
                </c:pt>
                <c:pt idx="353">
                  <c:v>34673.685045253202</c:v>
                </c:pt>
                <c:pt idx="354">
                  <c:v>35481.33892335758</c:v>
                </c:pt>
                <c:pt idx="355">
                  <c:v>36307.805477010232</c:v>
                </c:pt>
                <c:pt idx="356">
                  <c:v>37153.522909717351</c:v>
                </c:pt>
                <c:pt idx="357">
                  <c:v>38018.939632056143</c:v>
                </c:pt>
                <c:pt idx="358">
                  <c:v>38904.514499428085</c:v>
                </c:pt>
                <c:pt idx="359">
                  <c:v>39810.717055349742</c:v>
                </c:pt>
                <c:pt idx="360">
                  <c:v>40738.027780411358</c:v>
                </c:pt>
                <c:pt idx="361">
                  <c:v>41686.938347033625</c:v>
                </c:pt>
                <c:pt idx="362">
                  <c:v>42657.951880159271</c:v>
                </c:pt>
                <c:pt idx="363">
                  <c:v>43651.583224016598</c:v>
                </c:pt>
                <c:pt idx="364">
                  <c:v>44668.359215096389</c:v>
                </c:pt>
                <c:pt idx="365">
                  <c:v>45708.818961487581</c:v>
                </c:pt>
                <c:pt idx="366">
                  <c:v>46773.514128719893</c:v>
                </c:pt>
                <c:pt idx="367">
                  <c:v>47863.009232263823</c:v>
                </c:pt>
                <c:pt idx="368">
                  <c:v>48977.881936844598</c:v>
                </c:pt>
                <c:pt idx="369">
                  <c:v>50118.723362727294</c:v>
                </c:pt>
                <c:pt idx="370">
                  <c:v>51286.138399136544</c:v>
                </c:pt>
                <c:pt idx="371">
                  <c:v>52480.746024977314</c:v>
                </c:pt>
                <c:pt idx="372">
                  <c:v>53703.179637025423</c:v>
                </c:pt>
                <c:pt idx="373">
                  <c:v>54954.087385762505</c:v>
                </c:pt>
                <c:pt idx="374">
                  <c:v>56234.132519034953</c:v>
                </c:pt>
                <c:pt idx="375">
                  <c:v>57543.993733715732</c:v>
                </c:pt>
                <c:pt idx="376">
                  <c:v>58884.365535558936</c:v>
                </c:pt>
                <c:pt idx="377">
                  <c:v>60255.95860743591</c:v>
                </c:pt>
                <c:pt idx="378">
                  <c:v>61659.500186148245</c:v>
                </c:pt>
                <c:pt idx="379">
                  <c:v>63095.734448019342</c:v>
                </c:pt>
                <c:pt idx="380">
                  <c:v>64565.422903465682</c:v>
                </c:pt>
                <c:pt idx="381">
                  <c:v>66069.344800759733</c:v>
                </c:pt>
                <c:pt idx="382">
                  <c:v>67608.297539198305</c:v>
                </c:pt>
                <c:pt idx="383">
                  <c:v>69183.097091893651</c:v>
                </c:pt>
                <c:pt idx="384">
                  <c:v>70794.578438413781</c:v>
                </c:pt>
                <c:pt idx="385">
                  <c:v>72443.596007499116</c:v>
                </c:pt>
                <c:pt idx="386">
                  <c:v>74131.024130091857</c:v>
                </c:pt>
                <c:pt idx="387">
                  <c:v>75857.757502918481</c:v>
                </c:pt>
                <c:pt idx="388">
                  <c:v>77624.711662869129</c:v>
                </c:pt>
                <c:pt idx="389">
                  <c:v>79432.823472428237</c:v>
                </c:pt>
                <c:pt idx="390">
                  <c:v>81283.051616410012</c:v>
                </c:pt>
                <c:pt idx="391">
                  <c:v>83176.377110267174</c:v>
                </c:pt>
                <c:pt idx="392">
                  <c:v>85113.803820237721</c:v>
                </c:pt>
                <c:pt idx="393">
                  <c:v>87096.358995608127</c:v>
                </c:pt>
                <c:pt idx="394">
                  <c:v>89125.093813374609</c:v>
                </c:pt>
                <c:pt idx="395">
                  <c:v>91201.083935591028</c:v>
                </c:pt>
                <c:pt idx="396">
                  <c:v>93325.430079699145</c:v>
                </c:pt>
                <c:pt idx="397">
                  <c:v>95499.258602143804</c:v>
                </c:pt>
                <c:pt idx="398">
                  <c:v>97723.722095581266</c:v>
                </c:pt>
                <c:pt idx="399">
                  <c:v>100000</c:v>
                </c:pt>
                <c:pt idx="400">
                  <c:v>102329.29922807543</c:v>
                </c:pt>
                <c:pt idx="401">
                  <c:v>104712.85480508996</c:v>
                </c:pt>
                <c:pt idx="402">
                  <c:v>107151.93052376082</c:v>
                </c:pt>
                <c:pt idx="403">
                  <c:v>109647.81961431868</c:v>
                </c:pt>
                <c:pt idx="404">
                  <c:v>112201.84543019651</c:v>
                </c:pt>
                <c:pt idx="405">
                  <c:v>114815.36214968823</c:v>
                </c:pt>
                <c:pt idx="406">
                  <c:v>117489.75549395311</c:v>
                </c:pt>
                <c:pt idx="407">
                  <c:v>120226.44346174144</c:v>
                </c:pt>
                <c:pt idx="408">
                  <c:v>123026.87708123829</c:v>
                </c:pt>
                <c:pt idx="409">
                  <c:v>125892.54117941685</c:v>
                </c:pt>
                <c:pt idx="410">
                  <c:v>128824.95516931375</c:v>
                </c:pt>
                <c:pt idx="411">
                  <c:v>131825.67385564081</c:v>
                </c:pt>
                <c:pt idx="412">
                  <c:v>134896.28825916545</c:v>
                </c:pt>
                <c:pt idx="413">
                  <c:v>138038.42646028858</c:v>
                </c:pt>
                <c:pt idx="414">
                  <c:v>141253.75446227577</c:v>
                </c:pt>
                <c:pt idx="415">
                  <c:v>144543.97707459307</c:v>
                </c:pt>
                <c:pt idx="416">
                  <c:v>147910.83881682079</c:v>
                </c:pt>
                <c:pt idx="417">
                  <c:v>151356.12484362084</c:v>
                </c:pt>
                <c:pt idx="418">
                  <c:v>154881.66189124843</c:v>
                </c:pt>
                <c:pt idx="419">
                  <c:v>158489.31924611164</c:v>
                </c:pt>
                <c:pt idx="420">
                  <c:v>162181.00973589328</c:v>
                </c:pt>
                <c:pt idx="421">
                  <c:v>165958.69074375604</c:v>
                </c:pt>
                <c:pt idx="422">
                  <c:v>169824.36524617471</c:v>
                </c:pt>
                <c:pt idx="423">
                  <c:v>173780.0828749378</c:v>
                </c:pt>
                <c:pt idx="424">
                  <c:v>177827.94100389251</c:v>
                </c:pt>
                <c:pt idx="425">
                  <c:v>181970.08586099857</c:v>
                </c:pt>
                <c:pt idx="426">
                  <c:v>186208.71366628664</c:v>
                </c:pt>
                <c:pt idx="427">
                  <c:v>190546.07179632492</c:v>
                </c:pt>
                <c:pt idx="428">
                  <c:v>194984.45997580473</c:v>
                </c:pt>
                <c:pt idx="429">
                  <c:v>199526.23149688813</c:v>
                </c:pt>
                <c:pt idx="430">
                  <c:v>204173.79446695308</c:v>
                </c:pt>
                <c:pt idx="431">
                  <c:v>208929.61308540447</c:v>
                </c:pt>
                <c:pt idx="432">
                  <c:v>213796.20895022334</c:v>
                </c:pt>
                <c:pt idx="433">
                  <c:v>218776.16239495538</c:v>
                </c:pt>
                <c:pt idx="434">
                  <c:v>223872.11385683404</c:v>
                </c:pt>
                <c:pt idx="435">
                  <c:v>229086.76527677779</c:v>
                </c:pt>
                <c:pt idx="436">
                  <c:v>234422.88153199267</c:v>
                </c:pt>
                <c:pt idx="437">
                  <c:v>239883.29190194907</c:v>
                </c:pt>
                <c:pt idx="438">
                  <c:v>245470.89156850305</c:v>
                </c:pt>
                <c:pt idx="439">
                  <c:v>251188.64315095844</c:v>
                </c:pt>
                <c:pt idx="440">
                  <c:v>257039.57827688678</c:v>
                </c:pt>
                <c:pt idx="441">
                  <c:v>263026.79918953858</c:v>
                </c:pt>
                <c:pt idx="442">
                  <c:v>269153.48039269145</c:v>
                </c:pt>
                <c:pt idx="443">
                  <c:v>275422.87033381703</c:v>
                </c:pt>
                <c:pt idx="444">
                  <c:v>281838.29312644573</c:v>
                </c:pt>
                <c:pt idx="445">
                  <c:v>288403.1503126609</c:v>
                </c:pt>
                <c:pt idx="446">
                  <c:v>295120.92266663886</c:v>
                </c:pt>
                <c:pt idx="447">
                  <c:v>301995.17204020242</c:v>
                </c:pt>
                <c:pt idx="448">
                  <c:v>309029.54325135931</c:v>
                </c:pt>
                <c:pt idx="449">
                  <c:v>316227.7660168382</c:v>
                </c:pt>
                <c:pt idx="450">
                  <c:v>323593.65692962846</c:v>
                </c:pt>
                <c:pt idx="451">
                  <c:v>331131.12148259126</c:v>
                </c:pt>
                <c:pt idx="452">
                  <c:v>338844.15613920329</c:v>
                </c:pt>
                <c:pt idx="453">
                  <c:v>346736.85045253241</c:v>
                </c:pt>
                <c:pt idx="454">
                  <c:v>354813.38923357555</c:v>
                </c:pt>
                <c:pt idx="455">
                  <c:v>363078.05477010203</c:v>
                </c:pt>
                <c:pt idx="456">
                  <c:v>371535.2290971732</c:v>
                </c:pt>
                <c:pt idx="457">
                  <c:v>380189.39632056188</c:v>
                </c:pt>
                <c:pt idx="458">
                  <c:v>389045.14499428123</c:v>
                </c:pt>
                <c:pt idx="459">
                  <c:v>398107.17055349716</c:v>
                </c:pt>
                <c:pt idx="460">
                  <c:v>407380.27780411334</c:v>
                </c:pt>
                <c:pt idx="461">
                  <c:v>416869.38347033598</c:v>
                </c:pt>
                <c:pt idx="462">
                  <c:v>426579.51880159322</c:v>
                </c:pt>
                <c:pt idx="463">
                  <c:v>436515.83224016649</c:v>
                </c:pt>
                <c:pt idx="464">
                  <c:v>446683.59215096442</c:v>
                </c:pt>
                <c:pt idx="465">
                  <c:v>457088.18961487547</c:v>
                </c:pt>
                <c:pt idx="466">
                  <c:v>467735.14128719864</c:v>
                </c:pt>
                <c:pt idx="467">
                  <c:v>478630.09232263872</c:v>
                </c:pt>
                <c:pt idx="468">
                  <c:v>489778.81936844654</c:v>
                </c:pt>
                <c:pt idx="469">
                  <c:v>501187.23362727347</c:v>
                </c:pt>
                <c:pt idx="470">
                  <c:v>512861.38399136515</c:v>
                </c:pt>
                <c:pt idx="471">
                  <c:v>524807.46024977288</c:v>
                </c:pt>
                <c:pt idx="472">
                  <c:v>537031.7963702539</c:v>
                </c:pt>
                <c:pt idx="473">
                  <c:v>549540.87385762564</c:v>
                </c:pt>
                <c:pt idx="474">
                  <c:v>562341.32519035018</c:v>
                </c:pt>
                <c:pt idx="475">
                  <c:v>575439.93733715697</c:v>
                </c:pt>
                <c:pt idx="476">
                  <c:v>588843.65535558888</c:v>
                </c:pt>
                <c:pt idx="477">
                  <c:v>602559.58607435878</c:v>
                </c:pt>
                <c:pt idx="478">
                  <c:v>616595.00186148309</c:v>
                </c:pt>
                <c:pt idx="479">
                  <c:v>630957.34448019415</c:v>
                </c:pt>
                <c:pt idx="480">
                  <c:v>645654.22903465747</c:v>
                </c:pt>
                <c:pt idx="481">
                  <c:v>660693.44800759677</c:v>
                </c:pt>
                <c:pt idx="482">
                  <c:v>676082.97539198259</c:v>
                </c:pt>
                <c:pt idx="483">
                  <c:v>691830.97091893724</c:v>
                </c:pt>
                <c:pt idx="484">
                  <c:v>707945.78438413853</c:v>
                </c:pt>
                <c:pt idx="485">
                  <c:v>724435.96007499192</c:v>
                </c:pt>
                <c:pt idx="486">
                  <c:v>741310.24130091805</c:v>
                </c:pt>
                <c:pt idx="487">
                  <c:v>758577.57502918423</c:v>
                </c:pt>
                <c:pt idx="488">
                  <c:v>776247.11662869214</c:v>
                </c:pt>
                <c:pt idx="489">
                  <c:v>794328.23472428333</c:v>
                </c:pt>
                <c:pt idx="490">
                  <c:v>812830.51616410096</c:v>
                </c:pt>
                <c:pt idx="491">
                  <c:v>831763.77110267128</c:v>
                </c:pt>
                <c:pt idx="492">
                  <c:v>851138.03820237669</c:v>
                </c:pt>
                <c:pt idx="493">
                  <c:v>870963.58995608077</c:v>
                </c:pt>
                <c:pt idx="494">
                  <c:v>891250.93813374708</c:v>
                </c:pt>
                <c:pt idx="495">
                  <c:v>912010.83935591124</c:v>
                </c:pt>
                <c:pt idx="496">
                  <c:v>933254.30079699249</c:v>
                </c:pt>
                <c:pt idx="497">
                  <c:v>954992.58602143743</c:v>
                </c:pt>
                <c:pt idx="498">
                  <c:v>977237.22095581202</c:v>
                </c:pt>
                <c:pt idx="499">
                  <c:v>1000000</c:v>
                </c:pt>
                <c:pt idx="500">
                  <c:v>1023292.9922807553</c:v>
                </c:pt>
                <c:pt idx="501">
                  <c:v>1047128.5480509007</c:v>
                </c:pt>
                <c:pt idx="502">
                  <c:v>1071519.3052376076</c:v>
                </c:pt>
                <c:pt idx="503">
                  <c:v>1096478.196143186</c:v>
                </c:pt>
                <c:pt idx="504">
                  <c:v>1122018.4543019643</c:v>
                </c:pt>
                <c:pt idx="505">
                  <c:v>1148153.6214968837</c:v>
                </c:pt>
                <c:pt idx="506">
                  <c:v>1174897.5549395324</c:v>
                </c:pt>
                <c:pt idx="507">
                  <c:v>1202264.4346174158</c:v>
                </c:pt>
                <c:pt idx="508">
                  <c:v>1230268.770812382</c:v>
                </c:pt>
                <c:pt idx="509">
                  <c:v>1258925.4117941677</c:v>
                </c:pt>
                <c:pt idx="510">
                  <c:v>1288249.5516931366</c:v>
                </c:pt>
                <c:pt idx="511">
                  <c:v>1318256.7385564097</c:v>
                </c:pt>
                <c:pt idx="512">
                  <c:v>1348962.8825916562</c:v>
                </c:pt>
                <c:pt idx="513">
                  <c:v>1380384.2646028849</c:v>
                </c:pt>
                <c:pt idx="514">
                  <c:v>1412537.5446227565</c:v>
                </c:pt>
                <c:pt idx="515">
                  <c:v>1445439.7707459298</c:v>
                </c:pt>
                <c:pt idx="516">
                  <c:v>1479108.3881682095</c:v>
                </c:pt>
                <c:pt idx="517">
                  <c:v>1513561.2484362102</c:v>
                </c:pt>
                <c:pt idx="518">
                  <c:v>1548816.6189124861</c:v>
                </c:pt>
                <c:pt idx="519">
                  <c:v>1584893.1924611153</c:v>
                </c:pt>
                <c:pt idx="520">
                  <c:v>1621810.0973589318</c:v>
                </c:pt>
                <c:pt idx="521">
                  <c:v>1659586.9074375622</c:v>
                </c:pt>
                <c:pt idx="522">
                  <c:v>1698243.6524617488</c:v>
                </c:pt>
                <c:pt idx="523">
                  <c:v>1737800.8287493798</c:v>
                </c:pt>
                <c:pt idx="524">
                  <c:v>1778279.4100389241</c:v>
                </c:pt>
                <c:pt idx="525">
                  <c:v>1819700.8586099846</c:v>
                </c:pt>
                <c:pt idx="526">
                  <c:v>1862087.1366628683</c:v>
                </c:pt>
                <c:pt idx="527">
                  <c:v>1905460.7179632513</c:v>
                </c:pt>
                <c:pt idx="528">
                  <c:v>1949844.5997580495</c:v>
                </c:pt>
                <c:pt idx="529">
                  <c:v>1995262.31496888</c:v>
                </c:pt>
                <c:pt idx="530">
                  <c:v>2041737.9446695296</c:v>
                </c:pt>
                <c:pt idx="531">
                  <c:v>2089296.1308540432</c:v>
                </c:pt>
                <c:pt idx="532">
                  <c:v>2137962.0895022359</c:v>
                </c:pt>
                <c:pt idx="533">
                  <c:v>2187761.6239495561</c:v>
                </c:pt>
                <c:pt idx="534">
                  <c:v>2238721.1385683389</c:v>
                </c:pt>
                <c:pt idx="535">
                  <c:v>2290867.6527677765</c:v>
                </c:pt>
                <c:pt idx="536">
                  <c:v>2344228.8153199251</c:v>
                </c:pt>
                <c:pt idx="537">
                  <c:v>2398832.9190194933</c:v>
                </c:pt>
                <c:pt idx="538">
                  <c:v>2454708.915685033</c:v>
                </c:pt>
                <c:pt idx="539">
                  <c:v>2511886.431509587</c:v>
                </c:pt>
                <c:pt idx="540">
                  <c:v>2570395.782768866</c:v>
                </c:pt>
                <c:pt idx="541">
                  <c:v>2630267.9918953842</c:v>
                </c:pt>
              </c:numCache>
            </c:numRef>
          </c:xVal>
          <c:yVal>
            <c:numRef>
              <c:f>Loop_Modeling!$BM$19:$BM$560</c:f>
              <c:numCache>
                <c:formatCode>General</c:formatCode>
                <c:ptCount val="542"/>
                <c:pt idx="0">
                  <c:v>88.581524772480009</c:v>
                </c:pt>
                <c:pt idx="1">
                  <c:v>88.548512824945533</c:v>
                </c:pt>
                <c:pt idx="2">
                  <c:v>88.514733972960684</c:v>
                </c:pt>
                <c:pt idx="3">
                  <c:v>88.480170498892377</c:v>
                </c:pt>
                <c:pt idx="4">
                  <c:v>88.444804282816435</c:v>
                </c:pt>
                <c:pt idx="5">
                  <c:v>88.408616793888129</c:v>
                </c:pt>
                <c:pt idx="6">
                  <c:v>88.371589081564125</c:v>
                </c:pt>
                <c:pt idx="7">
                  <c:v>88.333701766676299</c:v>
                </c:pt>
                <c:pt idx="8">
                  <c:v>88.294935032357941</c:v>
                </c:pt>
                <c:pt idx="9">
                  <c:v>88.255268614823208</c:v>
                </c:pt>
                <c:pt idx="10">
                  <c:v>88.21468179400091</c:v>
                </c:pt>
                <c:pt idx="11">
                  <c:v>88.173153384023749</c:v>
                </c:pt>
                <c:pt idx="12">
                  <c:v>88.130661723575713</c:v>
                </c:pt>
                <c:pt idx="13">
                  <c:v>88.087184666098935</c:v>
                </c:pt>
                <c:pt idx="14">
                  <c:v>88.042699569863345</c:v>
                </c:pt>
                <c:pt idx="15">
                  <c:v>87.99718328790189</c:v>
                </c:pt>
                <c:pt idx="16">
                  <c:v>87.950612157815286</c:v>
                </c:pt>
                <c:pt idx="17">
                  <c:v>87.902961991450368</c:v>
                </c:pt>
                <c:pt idx="18">
                  <c:v>87.854208064456998</c:v>
                </c:pt>
                <c:pt idx="19">
                  <c:v>87.804325105728793</c:v>
                </c:pt>
                <c:pt idx="20">
                  <c:v>87.753287286734079</c:v>
                </c:pt>
                <c:pt idx="21">
                  <c:v>87.701068210743998</c:v>
                </c:pt>
                <c:pt idx="22">
                  <c:v>87.647640901965417</c:v>
                </c:pt>
                <c:pt idx="23">
                  <c:v>87.592977794587171</c:v>
                </c:pt>
                <c:pt idx="24">
                  <c:v>87.537050721749623</c:v>
                </c:pt>
                <c:pt idx="25">
                  <c:v>87.479830904447439</c:v>
                </c:pt>
                <c:pt idx="26">
                  <c:v>87.421288940378091</c:v>
                </c:pt>
                <c:pt idx="27">
                  <c:v>87.361394792747973</c:v>
                </c:pt>
                <c:pt idx="28">
                  <c:v>87.30011777905122</c:v>
                </c:pt>
                <c:pt idx="29">
                  <c:v>87.237426559835612</c:v>
                </c:pt>
                <c:pt idx="30">
                  <c:v>87.173289127473353</c:v>
                </c:pt>
                <c:pt idx="31">
                  <c:v>87.107672794954325</c:v>
                </c:pt>
                <c:pt idx="32">
                  <c:v>87.040544184722748</c:v>
                </c:pt>
                <c:pt idx="33">
                  <c:v>86.971869217577876</c:v>
                </c:pt>
                <c:pt idx="34">
                  <c:v>86.901613101663912</c:v>
                </c:pt>
                <c:pt idx="35">
                  <c:v>86.829740321573311</c:v>
                </c:pt>
                <c:pt idx="36">
                  <c:v>86.75621462759247</c:v>
                </c:pt>
                <c:pt idx="37">
                  <c:v>86.680999025119604</c:v>
                </c:pt>
                <c:pt idx="38">
                  <c:v>86.604055764287111</c:v>
                </c:pt>
                <c:pt idx="39">
                  <c:v>86.525346329824174</c:v>
                </c:pt>
                <c:pt idx="40">
                  <c:v>86.44483143119723</c:v>
                </c:pt>
                <c:pt idx="41">
                  <c:v>86.362470993069422</c:v>
                </c:pt>
                <c:pt idx="42">
                  <c:v>86.278224146123108</c:v>
                </c:pt>
                <c:pt idx="43">
                  <c:v>86.192049218292937</c:v>
                </c:pt>
                <c:pt idx="44">
                  <c:v>86.103903726460501</c:v>
                </c:pt>
                <c:pt idx="45">
                  <c:v>86.013744368665257</c:v>
                </c:pt>
                <c:pt idx="46">
                  <c:v>85.921527016890693</c:v>
                </c:pt>
                <c:pt idx="47">
                  <c:v>85.827206710488724</c:v>
                </c:pt>
                <c:pt idx="48">
                  <c:v>85.73073765030999</c:v>
                </c:pt>
                <c:pt idx="49">
                  <c:v>85.632073193611916</c:v>
                </c:pt>
                <c:pt idx="50">
                  <c:v>85.531165849822543</c:v>
                </c:pt>
                <c:pt idx="51">
                  <c:v>85.427967277242331</c:v>
                </c:pt>
                <c:pt idx="52">
                  <c:v>85.322428280772144</c:v>
                </c:pt>
                <c:pt idx="53">
                  <c:v>85.214498810762151</c:v>
                </c:pt>
                <c:pt idx="54">
                  <c:v>85.104127963080842</c:v>
                </c:pt>
                <c:pt idx="55">
                  <c:v>84.99126398051304</c:v>
                </c:pt>
                <c:pt idx="56">
                  <c:v>84.875854255597858</c:v>
                </c:pt>
                <c:pt idx="57">
                  <c:v>84.757845335030765</c:v>
                </c:pt>
                <c:pt idx="58">
                  <c:v>84.637182925755425</c:v>
                </c:pt>
                <c:pt idx="59">
                  <c:v>84.513811902883603</c:v>
                </c:pt>
                <c:pt idx="60">
                  <c:v>84.387676319586348</c:v>
                </c:pt>
                <c:pt idx="61">
                  <c:v>84.258719419111287</c:v>
                </c:pt>
                <c:pt idx="62">
                  <c:v>84.126883649085315</c:v>
                </c:pt>
                <c:pt idx="63">
                  <c:v>83.992110678277513</c:v>
                </c:pt>
                <c:pt idx="64">
                  <c:v>83.854341415999386</c:v>
                </c:pt>
                <c:pt idx="65">
                  <c:v>83.713516034336081</c:v>
                </c:pt>
                <c:pt idx="66">
                  <c:v>83.569573993407388</c:v>
                </c:pt>
                <c:pt idx="67">
                  <c:v>83.422454069870867</c:v>
                </c:pt>
                <c:pt idx="68">
                  <c:v>83.272094388888547</c:v>
                </c:pt>
                <c:pt idx="69">
                  <c:v>83.118432459789418</c:v>
                </c:pt>
                <c:pt idx="70">
                  <c:v>82.961405215673025</c:v>
                </c:pt>
                <c:pt idx="71">
                  <c:v>82.800949057207106</c:v>
                </c:pt>
                <c:pt idx="72">
                  <c:v>82.636999900886337</c:v>
                </c:pt>
                <c:pt idx="73">
                  <c:v>82.469493232029905</c:v>
                </c:pt>
                <c:pt idx="74">
                  <c:v>82.298364162805342</c:v>
                </c:pt>
                <c:pt idx="75">
                  <c:v>82.123547495577839</c:v>
                </c:pt>
                <c:pt idx="76">
                  <c:v>81.944977791895695</c:v>
                </c:pt>
                <c:pt idx="77">
                  <c:v>81.762589447431012</c:v>
                </c:pt>
                <c:pt idx="78">
                  <c:v>81.576316773206486</c:v>
                </c:pt>
                <c:pt idx="79">
                  <c:v>81.386094083444917</c:v>
                </c:pt>
                <c:pt idx="80">
                  <c:v>81.19185579039079</c:v>
                </c:pt>
                <c:pt idx="81">
                  <c:v>80.993536506456309</c:v>
                </c:pt>
                <c:pt idx="82">
                  <c:v>80.791071154052176</c:v>
                </c:pt>
                <c:pt idx="83">
                  <c:v>80.584395083466688</c:v>
                </c:pt>
                <c:pt idx="84">
                  <c:v>80.373444199161895</c:v>
                </c:pt>
                <c:pt idx="85">
                  <c:v>80.158155094853086</c:v>
                </c:pt>
                <c:pt idx="86">
                  <c:v>79.938465197737841</c:v>
                </c:pt>
                <c:pt idx="87">
                  <c:v>79.714312922239557</c:v>
                </c:pt>
                <c:pt idx="88">
                  <c:v>79.485637833617062</c:v>
                </c:pt>
                <c:pt idx="89">
                  <c:v>79.25238082179024</c:v>
                </c:pt>
                <c:pt idx="90">
                  <c:v>79.014484285709699</c:v>
                </c:pt>
                <c:pt idx="91">
                  <c:v>78.771892328587711</c:v>
                </c:pt>
                <c:pt idx="92">
                  <c:v>78.52455096428119</c:v>
                </c:pt>
                <c:pt idx="93">
                  <c:v>78.272408335092621</c:v>
                </c:pt>
                <c:pt idx="94">
                  <c:v>78.015414941222133</c:v>
                </c:pt>
                <c:pt idx="95">
                  <c:v>77.753523882067782</c:v>
                </c:pt>
                <c:pt idx="96">
                  <c:v>77.486691109523889</c:v>
                </c:pt>
                <c:pt idx="97">
                  <c:v>77.214875693381558</c:v>
                </c:pt>
                <c:pt idx="98">
                  <c:v>76.938040098873529</c:v>
                </c:pt>
                <c:pt idx="99">
                  <c:v>76.656150476343853</c:v>
                </c:pt>
                <c:pt idx="100">
                  <c:v>76.36917696295005</c:v>
                </c:pt>
                <c:pt idx="101">
                  <c:v>76.077093996222757</c:v>
                </c:pt>
                <c:pt idx="102">
                  <c:v>75.779880639221901</c:v>
                </c:pt>
                <c:pt idx="103">
                  <c:v>75.477520916927404</c:v>
                </c:pt>
                <c:pt idx="104">
                  <c:v>75.170004163399554</c:v>
                </c:pt>
                <c:pt idx="105">
                  <c:v>74.857325379126152</c:v>
                </c:pt>
                <c:pt idx="106">
                  <c:v>74.539485597850458</c:v>
                </c:pt>
                <c:pt idx="107">
                  <c:v>74.216492262041555</c:v>
                </c:pt>
                <c:pt idx="108">
                  <c:v>73.888359606028544</c:v>
                </c:pt>
                <c:pt idx="109">
                  <c:v>73.555109045668459</c:v>
                </c:pt>
                <c:pt idx="110">
                  <c:v>73.216769573266106</c:v>
                </c:pt>
                <c:pt idx="111">
                  <c:v>72.873378156298983</c:v>
                </c:pt>
                <c:pt idx="112">
                  <c:v>72.524980138333689</c:v>
                </c:pt>
                <c:pt idx="113">
                  <c:v>72.171629640350375</c:v>
                </c:pt>
                <c:pt idx="114">
                  <c:v>71.81338996051737</c:v>
                </c:pt>
                <c:pt idx="115">
                  <c:v>71.450333970285513</c:v>
                </c:pt>
                <c:pt idx="116">
                  <c:v>71.082544504496241</c:v>
                </c:pt>
                <c:pt idx="117">
                  <c:v>70.710114743032122</c:v>
                </c:pt>
                <c:pt idx="118">
                  <c:v>70.333148581375667</c:v>
                </c:pt>
                <c:pt idx="119">
                  <c:v>69.951760987286619</c:v>
                </c:pt>
                <c:pt idx="120">
                  <c:v>69.566078340669364</c:v>
                </c:pt>
                <c:pt idx="121">
                  <c:v>69.176238753571866</c:v>
                </c:pt>
                <c:pt idx="122">
                  <c:v>68.782392367155524</c:v>
                </c:pt>
                <c:pt idx="123">
                  <c:v>68.384701622381399</c:v>
                </c:pt>
                <c:pt idx="124">
                  <c:v>67.983341501102302</c:v>
                </c:pt>
                <c:pt idx="125">
                  <c:v>67.578499734215555</c:v>
                </c:pt>
                <c:pt idx="126">
                  <c:v>67.170376973523602</c:v>
                </c:pt>
                <c:pt idx="127">
                  <c:v>66.759186923994861</c:v>
                </c:pt>
                <c:pt idx="128">
                  <c:v>66.345156433170345</c:v>
                </c:pt>
                <c:pt idx="129">
                  <c:v>65.928525534581553</c:v>
                </c:pt>
                <c:pt idx="130">
                  <c:v>65.509547442193451</c:v>
                </c:pt>
                <c:pt idx="131">
                  <c:v>65.088488493076142</c:v>
                </c:pt>
                <c:pt idx="132">
                  <c:v>64.665628035741975</c:v>
                </c:pt>
                <c:pt idx="133">
                  <c:v>64.241258261873583</c:v>
                </c:pt>
                <c:pt idx="134">
                  <c:v>63.815683979478557</c:v>
                </c:pt>
                <c:pt idx="135">
                  <c:v>63.389222325873455</c:v>
                </c:pt>
                <c:pt idx="136">
                  <c:v>62.962202419299452</c:v>
                </c:pt>
                <c:pt idx="137">
                  <c:v>62.534964948404344</c:v>
                </c:pt>
                <c:pt idx="138">
                  <c:v>62.107861699290879</c:v>
                </c:pt>
                <c:pt idx="139">
                  <c:v>61.681255020318829</c:v>
                </c:pt>
                <c:pt idx="140">
                  <c:v>61.255517225359974</c:v>
                </c:pt>
                <c:pt idx="141">
                  <c:v>60.831029936719425</c:v>
                </c:pt>
                <c:pt idx="142">
                  <c:v>60.408183369466705</c:v>
                </c:pt>
                <c:pt idx="143">
                  <c:v>59.987375559438306</c:v>
                </c:pt>
                <c:pt idx="144">
                  <c:v>59.569011537687558</c:v>
                </c:pt>
                <c:pt idx="145">
                  <c:v>59.153502454642599</c:v>
                </c:pt>
                <c:pt idx="146">
                  <c:v>58.741264657707141</c:v>
                </c:pt>
                <c:pt idx="147">
                  <c:v>58.332718726453543</c:v>
                </c:pt>
                <c:pt idx="148">
                  <c:v>57.928288469961949</c:v>
                </c:pt>
                <c:pt idx="149">
                  <c:v>57.528399891170992</c:v>
                </c:pt>
                <c:pt idx="150">
                  <c:v>57.133480123416163</c:v>
                </c:pt>
                <c:pt idx="151">
                  <c:v>56.743956344522445</c:v>
                </c:pt>
                <c:pt idx="152">
                  <c:v>56.360254674002846</c:v>
                </c:pt>
                <c:pt idx="153">
                  <c:v>55.98279905898238</c:v>
                </c:pt>
                <c:pt idx="154">
                  <c:v>55.612010154508397</c:v>
                </c:pt>
                <c:pt idx="155">
                  <c:v>55.248304203853387</c:v>
                </c:pt>
                <c:pt idx="156">
                  <c:v>54.892091924313796</c:v>
                </c:pt>
                <c:pt idx="157">
                  <c:v>54.543777403835236</c:v>
                </c:pt>
                <c:pt idx="158">
                  <c:v>54.203757013573956</c:v>
                </c:pt>
                <c:pt idx="159">
                  <c:v>53.872418341207542</c:v>
                </c:pt>
                <c:pt idx="160">
                  <c:v>53.550139149499799</c:v>
                </c:pt>
                <c:pt idx="161">
                  <c:v>53.237286364250942</c:v>
                </c:pt>
                <c:pt idx="162">
                  <c:v>52.934215095368863</c:v>
                </c:pt>
                <c:pt idx="163">
                  <c:v>52.641267694381533</c:v>
                </c:pt>
                <c:pt idx="164">
                  <c:v>52.358772851282268</c:v>
                </c:pt>
                <c:pt idx="165">
                  <c:v>52.087044733162379</c:v>
                </c:pt>
                <c:pt idx="166">
                  <c:v>51.826382166651058</c:v>
                </c:pt>
                <c:pt idx="167">
                  <c:v>51.577067865768541</c:v>
                </c:pt>
                <c:pt idx="168">
                  <c:v>51.339367706394754</c:v>
                </c:pt>
                <c:pt idx="169">
                  <c:v>51.113530048179513</c:v>
                </c:pt>
                <c:pt idx="170">
                  <c:v>50.899785104383682</c:v>
                </c:pt>
                <c:pt idx="171">
                  <c:v>50.698344359826002</c:v>
                </c:pt>
                <c:pt idx="172">
                  <c:v>50.50940003685804</c:v>
                </c:pt>
                <c:pt idx="173">
                  <c:v>50.333124609052803</c:v>
                </c:pt>
                <c:pt idx="174">
                  <c:v>50.169670362136749</c:v>
                </c:pt>
                <c:pt idx="175">
                  <c:v>50.019169001542728</c:v>
                </c:pt>
                <c:pt idx="176">
                  <c:v>49.881731305900345</c:v>
                </c:pt>
                <c:pt idx="177">
                  <c:v>49.757446825716713</c:v>
                </c:pt>
                <c:pt idx="178">
                  <c:v>49.646383626525143</c:v>
                </c:pt>
                <c:pt idx="179">
                  <c:v>49.548588075798051</c:v>
                </c:pt>
                <c:pt idx="180">
                  <c:v>49.464084673002546</c:v>
                </c:pt>
                <c:pt idx="181">
                  <c:v>49.392875922282045</c:v>
                </c:pt>
                <c:pt idx="182">
                  <c:v>49.334942247360942</c:v>
                </c:pt>
                <c:pt idx="183">
                  <c:v>49.290241948420366</c:v>
                </c:pt>
                <c:pt idx="184">
                  <c:v>49.258711200837865</c:v>
                </c:pt>
                <c:pt idx="185">
                  <c:v>49.240264095848694</c:v>
                </c:pt>
                <c:pt idx="186">
                  <c:v>49.234792723329804</c:v>
                </c:pt>
                <c:pt idx="187">
                  <c:v>49.242167297061727</c:v>
                </c:pt>
                <c:pt idx="188">
                  <c:v>49.262236322944041</c:v>
                </c:pt>
                <c:pt idx="189">
                  <c:v>49.294826810757215</c:v>
                </c:pt>
                <c:pt idx="190">
                  <c:v>49.339744530133217</c:v>
                </c:pt>
                <c:pt idx="191">
                  <c:v>49.396774311452774</c:v>
                </c:pt>
                <c:pt idx="192">
                  <c:v>49.46568039239407</c:v>
                </c:pt>
                <c:pt idx="193">
                  <c:v>49.546206810826682</c:v>
                </c:pt>
                <c:pt idx="194">
                  <c:v>49.638077844675685</c:v>
                </c:pt>
                <c:pt idx="195">
                  <c:v>49.740998499257721</c:v>
                </c:pt>
                <c:pt idx="196">
                  <c:v>49.854655042427744</c:v>
                </c:pt>
                <c:pt idx="197">
                  <c:v>49.978715587667693</c:v>
                </c:pt>
                <c:pt idx="198">
                  <c:v>50.112830724990253</c:v>
                </c:pt>
                <c:pt idx="199">
                  <c:v>50.2566341992368</c:v>
                </c:pt>
                <c:pt idx="200">
                  <c:v>50.40974363501735</c:v>
                </c:pt>
                <c:pt idx="201">
                  <c:v>50.57176130716789</c:v>
                </c:pt>
                <c:pt idx="202">
                  <c:v>50.742274955210696</c:v>
                </c:pt>
                <c:pt idx="203">
                  <c:v>50.920858639886625</c:v>
                </c:pt>
                <c:pt idx="204">
                  <c:v>51.107073639395956</c:v>
                </c:pt>
                <c:pt idx="205">
                  <c:v>51.300469382557203</c:v>
                </c:pt>
                <c:pt idx="206">
                  <c:v>51.500584415651488</c:v>
                </c:pt>
                <c:pt idx="207">
                  <c:v>51.706947399306962</c:v>
                </c:pt>
                <c:pt idx="208">
                  <c:v>51.919078131375187</c:v>
                </c:pt>
                <c:pt idx="209">
                  <c:v>52.136488591377912</c:v>
                </c:pt>
                <c:pt idx="210">
                  <c:v>52.358684001767585</c:v>
                </c:pt>
                <c:pt idx="211">
                  <c:v>52.585163900955195</c:v>
                </c:pt>
                <c:pt idx="212">
                  <c:v>52.815423222818119</c:v>
                </c:pt>
                <c:pt idx="213">
                  <c:v>53.048953377214559</c:v>
                </c:pt>
                <c:pt idx="214">
                  <c:v>53.285243325911203</c:v>
                </c:pt>
                <c:pt idx="215">
                  <c:v>53.523780648273345</c:v>
                </c:pt>
                <c:pt idx="216">
                  <c:v>53.764052591070836</c:v>
                </c:pt>
                <c:pt idx="217">
                  <c:v>54.00554709683589</c:v>
                </c:pt>
                <c:pt idx="218">
                  <c:v>54.247753805344551</c:v>
                </c:pt>
                <c:pt idx="219">
                  <c:v>54.490165023009027</c:v>
                </c:pt>
                <c:pt idx="220">
                  <c:v>54.732276655225384</c:v>
                </c:pt>
                <c:pt idx="221">
                  <c:v>54.973589097061364</c:v>
                </c:pt>
                <c:pt idx="222">
                  <c:v>55.213608078026624</c:v>
                </c:pt>
                <c:pt idx="223">
                  <c:v>55.451845457109648</c:v>
                </c:pt>
                <c:pt idx="224">
                  <c:v>55.687819964701681</c:v>
                </c:pt>
                <c:pt idx="225">
                  <c:v>55.921057888534556</c:v>
                </c:pt>
                <c:pt idx="226">
                  <c:v>56.151093701256407</c:v>
                </c:pt>
                <c:pt idx="227">
                  <c:v>56.377470627792277</c:v>
                </c:pt>
                <c:pt idx="228">
                  <c:v>56.599741151174143</c:v>
                </c:pt>
                <c:pt idx="229">
                  <c:v>56.817467456032261</c:v>
                </c:pt>
                <c:pt idx="230">
                  <c:v>57.030221809473886</c:v>
                </c:pt>
                <c:pt idx="231">
                  <c:v>57.237586879554016</c:v>
                </c:pt>
                <c:pt idx="232">
                  <c:v>57.439155992028269</c:v>
                </c:pt>
                <c:pt idx="233">
                  <c:v>57.634533326525009</c:v>
                </c:pt>
                <c:pt idx="234">
                  <c:v>57.823334053671942</c:v>
                </c:pt>
                <c:pt idx="235">
                  <c:v>58.005184415104502</c:v>
                </c:pt>
                <c:pt idx="236">
                  <c:v>58.179721748607584</c:v>
                </c:pt>
                <c:pt idx="237">
                  <c:v>58.346594460939258</c:v>
                </c:pt>
                <c:pt idx="238">
                  <c:v>58.505461951136994</c:v>
                </c:pt>
                <c:pt idx="239">
                  <c:v>58.655994487311688</c:v>
                </c:pt>
                <c:pt idx="240">
                  <c:v>58.797873040106829</c:v>
                </c:pt>
                <c:pt idx="241">
                  <c:v>58.930789076114465</c:v>
                </c:pt>
                <c:pt idx="242">
                  <c:v>59.054444314638538</c:v>
                </c:pt>
                <c:pt idx="243">
                  <c:v>59.168550451225919</c:v>
                </c:pt>
                <c:pt idx="244">
                  <c:v>59.272828851419824</c:v>
                </c:pt>
                <c:pt idx="245">
                  <c:v>59.367010218149019</c:v>
                </c:pt>
                <c:pt idx="246">
                  <c:v>59.450834236138206</c:v>
                </c:pt>
                <c:pt idx="247">
                  <c:v>59.524049196642594</c:v>
                </c:pt>
                <c:pt idx="248">
                  <c:v>59.586411605715753</c:v>
                </c:pt>
                <c:pt idx="249">
                  <c:v>59.637685779109205</c:v>
                </c:pt>
                <c:pt idx="250">
                  <c:v>59.67764342677556</c:v>
                </c:pt>
                <c:pt idx="251">
                  <c:v>59.706063229802666</c:v>
                </c:pt>
                <c:pt idx="252">
                  <c:v>59.722730412459477</c:v>
                </c:pt>
                <c:pt idx="253">
                  <c:v>59.727436311877995</c:v>
                </c:pt>
                <c:pt idx="254">
                  <c:v>59.719977947736453</c:v>
                </c:pt>
                <c:pt idx="255">
                  <c:v>59.700157594144777</c:v>
                </c:pt>
                <c:pt idx="256">
                  <c:v>59.667782355783842</c:v>
                </c:pt>
                <c:pt idx="257">
                  <c:v>59.622663750172819</c:v>
                </c:pt>
                <c:pt idx="258">
                  <c:v>59.564617297805448</c:v>
                </c:pt>
                <c:pt idx="259">
                  <c:v>59.493462121738517</c:v>
                </c:pt>
                <c:pt idx="260">
                  <c:v>59.409020558069081</c:v>
                </c:pt>
                <c:pt idx="261">
                  <c:v>59.311117778615859</c:v>
                </c:pt>
                <c:pt idx="262">
                  <c:v>59.199581426983947</c:v>
                </c:pt>
                <c:pt idx="263">
                  <c:v>59.074241269076268</c:v>
                </c:pt>
                <c:pt idx="264">
                  <c:v>58.934928859013311</c:v>
                </c:pt>
                <c:pt idx="265">
                  <c:v>58.78147722131655</c:v>
                </c:pt>
                <c:pt idx="266">
                  <c:v>58.61372055012572</c:v>
                </c:pt>
                <c:pt idx="267">
                  <c:v>58.431493926133001</c:v>
                </c:pt>
                <c:pt idx="268">
                  <c:v>58.234633051860897</c:v>
                </c:pt>
                <c:pt idx="269">
                  <c:v>58.022974005825432</c:v>
                </c:pt>
                <c:pt idx="270">
                  <c:v>57.796353016091992</c:v>
                </c:pt>
                <c:pt idx="271">
                  <c:v>57.554606253672205</c:v>
                </c:pt>
                <c:pt idx="272">
                  <c:v>57.29756964617507</c:v>
                </c:pt>
                <c:pt idx="273">
                  <c:v>57.025078712092373</c:v>
                </c:pt>
                <c:pt idx="274">
                  <c:v>56.73696841607201</c:v>
                </c:pt>
                <c:pt idx="275">
                  <c:v>56.433073045511215</c:v>
                </c:pt>
                <c:pt idx="276">
                  <c:v>56.113226108785874</c:v>
                </c:pt>
                <c:pt idx="277">
                  <c:v>55.777260255421716</c:v>
                </c:pt>
                <c:pt idx="278">
                  <c:v>55.425007218502905</c:v>
                </c:pt>
                <c:pt idx="279">
                  <c:v>55.056297779607569</c:v>
                </c:pt>
                <c:pt idx="280">
                  <c:v>54.670961756561361</c:v>
                </c:pt>
                <c:pt idx="281">
                  <c:v>54.268828014292765</c:v>
                </c:pt>
                <c:pt idx="282">
                  <c:v>53.849724499072174</c:v>
                </c:pt>
                <c:pt idx="283">
                  <c:v>53.413478296424778</c:v>
                </c:pt>
                <c:pt idx="284">
                  <c:v>52.959915712991034</c:v>
                </c:pt>
                <c:pt idx="285">
                  <c:v>52.488862382618265</c:v>
                </c:pt>
                <c:pt idx="286">
                  <c:v>52.00014339694949</c:v>
                </c:pt>
                <c:pt idx="287">
                  <c:v>51.49358346077743</c:v>
                </c:pt>
                <c:pt idx="288">
                  <c:v>50.969007072409887</c:v>
                </c:pt>
                <c:pt idx="289">
                  <c:v>50.426238729279412</c:v>
                </c:pt>
                <c:pt idx="290">
                  <c:v>49.865103159009045</c:v>
                </c:pt>
                <c:pt idx="291">
                  <c:v>49.285425576113575</c:v>
                </c:pt>
                <c:pt idx="292">
                  <c:v>48.687031964483566</c:v>
                </c:pt>
                <c:pt idx="293">
                  <c:v>48.069749385756417</c:v>
                </c:pt>
                <c:pt idx="294">
                  <c:v>47.433406313629384</c:v>
                </c:pt>
                <c:pt idx="295">
                  <c:v>46.777832994106127</c:v>
                </c:pt>
                <c:pt idx="296">
                  <c:v>46.102861831610902</c:v>
                </c:pt>
                <c:pt idx="297">
                  <c:v>45.408327800816458</c:v>
                </c:pt>
                <c:pt idx="298">
                  <c:v>44.6940688839519</c:v>
                </c:pt>
                <c:pt idx="299">
                  <c:v>43.959926533261324</c:v>
                </c:pt>
                <c:pt idx="300">
                  <c:v>43.205746158170292</c:v>
                </c:pt>
                <c:pt idx="301">
                  <c:v>42.431377636611778</c:v>
                </c:pt>
                <c:pt idx="302">
                  <c:v>41.636675849827007</c:v>
                </c:pt>
                <c:pt idx="303">
                  <c:v>40.82150123982386</c:v>
                </c:pt>
                <c:pt idx="304">
                  <c:v>39.985720388536848</c:v>
                </c:pt>
                <c:pt idx="305">
                  <c:v>39.129206617568116</c:v>
                </c:pt>
                <c:pt idx="306">
                  <c:v>38.251840607237277</c:v>
                </c:pt>
                <c:pt idx="307">
                  <c:v>37.353511033495892</c:v>
                </c:pt>
                <c:pt idx="308">
                  <c:v>36.434115221091695</c:v>
                </c:pt>
                <c:pt idx="309">
                  <c:v>35.493559811191851</c:v>
                </c:pt>
                <c:pt idx="310">
                  <c:v>34.531761441494083</c:v>
                </c:pt>
                <c:pt idx="311">
                  <c:v>33.548647436677953</c:v>
                </c:pt>
                <c:pt idx="312">
                  <c:v>32.544156506878785</c:v>
                </c:pt>
                <c:pt idx="313">
                  <c:v>31.518239451681556</c:v>
                </c:pt>
                <c:pt idx="314">
                  <c:v>30.470859866985403</c:v>
                </c:pt>
                <c:pt idx="315">
                  <c:v>29.40199485191982</c:v>
                </c:pt>
                <c:pt idx="316">
                  <c:v>28.311635712865886</c:v>
                </c:pt>
                <c:pt idx="317">
                  <c:v>27.199788661494026</c:v>
                </c:pt>
                <c:pt idx="318">
                  <c:v>26.066475503638578</c:v>
                </c:pt>
                <c:pt idx="319">
                  <c:v>24.911734315724747</c:v>
                </c:pt>
                <c:pt idx="320">
                  <c:v>23.735620105409371</c:v>
                </c:pt>
                <c:pt idx="321">
                  <c:v>22.538205453058016</c:v>
                </c:pt>
                <c:pt idx="322">
                  <c:v>21.319581130654569</c:v>
                </c:pt>
                <c:pt idx="323">
                  <c:v>20.079856694777298</c:v>
                </c:pt>
                <c:pt idx="324">
                  <c:v>18.819161050299986</c:v>
                </c:pt>
                <c:pt idx="325">
                  <c:v>17.537642981576376</c:v>
                </c:pt>
                <c:pt idx="326">
                  <c:v>16.235471647949637</c:v>
                </c:pt>
                <c:pt idx="327">
                  <c:v>14.912837040588427</c:v>
                </c:pt>
                <c:pt idx="328">
                  <c:v>13.569950397809716</c:v>
                </c:pt>
                <c:pt idx="329">
                  <c:v>12.207044576232363</c:v>
                </c:pt>
                <c:pt idx="330">
                  <c:v>10.824374375355287</c:v>
                </c:pt>
                <c:pt idx="331">
                  <c:v>9.4222168133553161</c:v>
                </c:pt>
                <c:pt idx="332">
                  <c:v>8.0008713522011821</c:v>
                </c:pt>
                <c:pt idx="333">
                  <c:v>6.5606600704116707</c:v>
                </c:pt>
                <c:pt idx="334">
                  <c:v>5.1019277821139157</c:v>
                </c:pt>
                <c:pt idx="335">
                  <c:v>3.6250421013040883</c:v>
                </c:pt>
                <c:pt idx="336">
                  <c:v>2.130393450536558</c:v>
                </c:pt>
                <c:pt idx="337">
                  <c:v>0.61839501351678305</c:v>
                </c:pt>
                <c:pt idx="338">
                  <c:v>-0.91051736862125632</c:v>
                </c:pt>
                <c:pt idx="339">
                  <c:v>-2.4558853573396626</c:v>
                </c:pt>
                <c:pt idx="340">
                  <c:v>-4.0172283327544704</c:v>
                </c:pt>
                <c:pt idx="341">
                  <c:v>-5.5940436652550636</c:v>
                </c:pt>
                <c:pt idx="342">
                  <c:v>-7.1858070420039146</c:v>
                </c:pt>
                <c:pt idx="343">
                  <c:v>-8.7919728474873455</c:v>
                </c:pt>
                <c:pt idx="344">
                  <c:v>-10.41197459713997</c:v>
                </c:pt>
                <c:pt idx="345">
                  <c:v>-12.04522542296303</c:v>
                </c:pt>
                <c:pt idx="346">
                  <c:v>-13.69111860997242</c:v>
                </c:pt>
                <c:pt idx="347">
                  <c:v>-15.349028182251859</c:v>
                </c:pt>
                <c:pt idx="348">
                  <c:v>-17.018309537370328</c:v>
                </c:pt>
                <c:pt idx="349">
                  <c:v>-18.698300127883911</c:v>
                </c:pt>
                <c:pt idx="350">
                  <c:v>-20.388320188662746</c:v>
                </c:pt>
                <c:pt idx="351">
                  <c:v>-22.087673508786327</c:v>
                </c:pt>
                <c:pt idx="352">
                  <c:v>-23.795648246765879</c:v>
                </c:pt>
                <c:pt idx="353">
                  <c:v>-25.51151778786539</c:v>
                </c:pt>
                <c:pt idx="354">
                  <c:v>-27.234541642319755</c:v>
                </c:pt>
                <c:pt idx="355">
                  <c:v>-28.963966383203719</c:v>
                </c:pt>
                <c:pt idx="356">
                  <c:v>-30.699026622750562</c:v>
                </c:pt>
                <c:pt idx="357">
                  <c:v>-32.438946025819213</c:v>
                </c:pt>
                <c:pt idx="358">
                  <c:v>-34.182938359194068</c:v>
                </c:pt>
                <c:pt idx="359">
                  <c:v>-35.930208575293427</c:v>
                </c:pt>
                <c:pt idx="360">
                  <c:v>-37.679953928756412</c:v>
                </c:pt>
                <c:pt idx="361">
                  <c:v>-39.431365124231121</c:v>
                </c:pt>
                <c:pt idx="362">
                  <c:v>-41.183627493532931</c:v>
                </c:pt>
                <c:pt idx="363">
                  <c:v>-42.935922200136098</c:v>
                </c:pt>
                <c:pt idx="364">
                  <c:v>-44.687427468743749</c:v>
                </c:pt>
                <c:pt idx="365">
                  <c:v>-46.437319837458389</c:v>
                </c:pt>
                <c:pt idx="366">
                  <c:v>-48.184775429813698</c:v>
                </c:pt>
                <c:pt idx="367">
                  <c:v>-49.928971243664698</c:v>
                </c:pt>
                <c:pt idx="368">
                  <c:v>-51.669086453679476</c:v>
                </c:pt>
                <c:pt idx="369">
                  <c:v>-53.404303723895048</c:v>
                </c:pt>
                <c:pt idx="370">
                  <c:v>-55.133810526555976</c:v>
                </c:pt>
                <c:pt idx="371">
                  <c:v>-56.856800463201083</c:v>
                </c:pt>
                <c:pt idx="372">
                  <c:v>-58.572474583748502</c:v>
                </c:pt>
                <c:pt idx="373">
                  <c:v>-60.280042699122795</c:v>
                </c:pt>
                <c:pt idx="374">
                  <c:v>-61.97872468281367</c:v>
                </c:pt>
                <c:pt idx="375">
                  <c:v>-63.667751756614848</c:v>
                </c:pt>
                <c:pt idx="376">
                  <c:v>-65.346367755724017</c:v>
                </c:pt>
                <c:pt idx="377">
                  <c:v>-67.013830368324108</c:v>
                </c:pt>
                <c:pt idx="378">
                  <c:v>-68.669412344789009</c:v>
                </c:pt>
                <c:pt idx="379">
                  <c:v>-70.312402671716413</c:v>
                </c:pt>
                <c:pt idx="380">
                  <c:v>-71.942107706095044</c:v>
                </c:pt>
                <c:pt idx="381">
                  <c:v>-73.557852265083937</c:v>
                </c:pt>
                <c:pt idx="382">
                  <c:v>-75.158980667107016</c:v>
                </c:pt>
                <c:pt idx="383">
                  <c:v>-76.744857720216899</c:v>
                </c:pt>
                <c:pt idx="384">
                  <c:v>-78.314869654018437</c:v>
                </c:pt>
                <c:pt idx="385">
                  <c:v>-79.868424991783371</c:v>
                </c:pt>
                <c:pt idx="386">
                  <c:v>-81.404955359812888</c:v>
                </c:pt>
                <c:pt idx="387">
                  <c:v>-82.923916231514738</c:v>
                </c:pt>
                <c:pt idx="388">
                  <c:v>-84.424787604149103</c:v>
                </c:pt>
                <c:pt idx="389">
                  <c:v>-85.907074606672396</c:v>
                </c:pt>
                <c:pt idx="390">
                  <c:v>-87.370308037619722</c:v>
                </c:pt>
                <c:pt idx="391">
                  <c:v>-88.814044832482168</c:v>
                </c:pt>
                <c:pt idx="392">
                  <c:v>-90.237868460537442</c:v>
                </c:pt>
                <c:pt idx="393">
                  <c:v>-91.64138925162699</c:v>
                </c:pt>
                <c:pt idx="394">
                  <c:v>-93.024244653844505</c:v>
                </c:pt>
                <c:pt idx="395">
                  <c:v>-94.386099423596804</c:v>
                </c:pt>
                <c:pt idx="396">
                  <c:v>-95.726645749948176</c:v>
                </c:pt>
                <c:pt idx="397">
                  <c:v>-97.045603315568201</c:v>
                </c:pt>
                <c:pt idx="398">
                  <c:v>-98.342719297010149</c:v>
                </c:pt>
                <c:pt idx="399">
                  <c:v>-99.61776830736062</c:v>
                </c:pt>
                <c:pt idx="400">
                  <c:v>-100.87055228462737</c:v>
                </c:pt>
                <c:pt idx="401">
                  <c:v>-102.10090032944819</c:v>
                </c:pt>
                <c:pt idx="402">
                  <c:v>-103.30866849593365</c:v>
                </c:pt>
                <c:pt idx="403">
                  <c:v>-104.49373953956507</c:v>
                </c:pt>
                <c:pt idx="404">
                  <c:v>-105.6560226261918</c:v>
                </c:pt>
                <c:pt idx="405">
                  <c:v>-106.79545300617977</c:v>
                </c:pt>
                <c:pt idx="406">
                  <c:v>-107.91199165776749</c:v>
                </c:pt>
                <c:pt idx="407">
                  <c:v>-109.0056249036046</c:v>
                </c:pt>
                <c:pt idx="408">
                  <c:v>-110.07636400433714</c:v>
                </c:pt>
                <c:pt idx="409">
                  <c:v>-111.12424473293916</c:v>
                </c:pt>
                <c:pt idx="410">
                  <c:v>-112.14932693327896</c:v>
                </c:pt>
                <c:pt idx="411">
                  <c:v>-113.15169406616583</c:v>
                </c:pt>
                <c:pt idx="412">
                  <c:v>-114.1314527458314</c:v>
                </c:pt>
                <c:pt idx="413">
                  <c:v>-115.08873226949518</c:v>
                </c:pt>
                <c:pt idx="414">
                  <c:v>-116.02368414230297</c:v>
                </c:pt>
                <c:pt idx="415">
                  <c:v>-116.93648159957932</c:v>
                </c:pt>
                <c:pt idx="416">
                  <c:v>-117.82731912792975</c:v>
                </c:pt>
                <c:pt idx="417">
                  <c:v>-118.69641198634504</c:v>
                </c:pt>
                <c:pt idx="418">
                  <c:v>-119.54399572803247</c:v>
                </c:pt>
                <c:pt idx="419">
                  <c:v>-120.37032572331159</c:v>
                </c:pt>
                <c:pt idx="420">
                  <c:v>-121.17567668347321</c:v>
                </c:pt>
                <c:pt idx="421">
                  <c:v>-121.96034218510749</c:v>
                </c:pt>
                <c:pt idx="422">
                  <c:v>-122.72463419401215</c:v>
                </c:pt>
                <c:pt idx="423">
                  <c:v>-123.46888258740356</c:v>
                </c:pt>
                <c:pt idx="424">
                  <c:v>-124.1934346727992</c:v>
                </c:pt>
                <c:pt idx="425">
                  <c:v>-124.89865470159971</c:v>
                </c:pt>
                <c:pt idx="426">
                  <c:v>-125.58492337509693</c:v>
                </c:pt>
                <c:pt idx="427">
                  <c:v>-126.25263734036088</c:v>
                </c:pt>
                <c:pt idx="428">
                  <c:v>-126.90220867321912</c:v>
                </c:pt>
                <c:pt idx="429">
                  <c:v>-127.53406434536961</c:v>
                </c:pt>
                <c:pt idx="430">
                  <c:v>-128.14864567249933</c:v>
                </c:pt>
                <c:pt idx="431">
                  <c:v>-128.74640774020966</c:v>
                </c:pt>
                <c:pt idx="432">
                  <c:v>-129.32781880449969</c:v>
                </c:pt>
                <c:pt idx="433">
                  <c:v>-129.89335966357609</c:v>
                </c:pt>
                <c:pt idx="434">
                  <c:v>-130.44352299783969</c:v>
                </c:pt>
                <c:pt idx="435">
                  <c:v>-130.97881267502743</c:v>
                </c:pt>
                <c:pt idx="436">
                  <c:v>-131.4997430176999</c:v>
                </c:pt>
                <c:pt idx="437">
                  <c:v>-132.00683803050808</c:v>
                </c:pt>
                <c:pt idx="438">
                  <c:v>-132.50063058501357</c:v>
                </c:pt>
                <c:pt idx="439">
                  <c:v>-132.98166156020383</c:v>
                </c:pt>
                <c:pt idx="440">
                  <c:v>-133.45047893729037</c:v>
                </c:pt>
                <c:pt idx="441">
                  <c:v>-133.90763684787314</c:v>
                </c:pt>
                <c:pt idx="442">
                  <c:v>-134.35369457509108</c:v>
                </c:pt>
                <c:pt idx="443">
                  <c:v>-134.78921550797187</c:v>
                </c:pt>
                <c:pt idx="444">
                  <c:v>-135.21476604981473</c:v>
                </c:pt>
                <c:pt idx="445">
                  <c:v>-135.63091448209875</c:v>
                </c:pt>
                <c:pt idx="446">
                  <c:v>-136.03822978608324</c:v>
                </c:pt>
                <c:pt idx="447">
                  <c:v>-136.43728042495371</c:v>
                </c:pt>
                <c:pt idx="448">
                  <c:v>-136.82863309007044</c:v>
                </c:pt>
                <c:pt idx="449">
                  <c:v>-137.2128514155462</c:v>
                </c:pt>
                <c:pt idx="450">
                  <c:v>-137.5904946660645</c:v>
                </c:pt>
                <c:pt idx="451">
                  <c:v>-137.96211640347767</c:v>
                </c:pt>
                <c:pt idx="452">
                  <c:v>-138.32826313833223</c:v>
                </c:pt>
                <c:pt idx="453">
                  <c:v>-138.68947297302256</c:v>
                </c:pt>
                <c:pt idx="454">
                  <c:v>-139.04627424376375</c:v>
                </c:pt>
                <c:pt idx="455">
                  <c:v>-139.39918416900832</c:v>
                </c:pt>
                <c:pt idx="456">
                  <c:v>-139.74870751227914</c:v>
                </c:pt>
                <c:pt idx="457">
                  <c:v>-140.09533526766009</c:v>
                </c:pt>
                <c:pt idx="458">
                  <c:v>-140.43954337637362</c:v>
                </c:pt>
                <c:pt idx="459">
                  <c:v>-140.78179148294822</c:v>
                </c:pt>
                <c:pt idx="460">
                  <c:v>-141.12252173948647</c:v>
                </c:pt>
                <c:pt idx="461">
                  <c:v>-141.46215766642189</c:v>
                </c:pt>
                <c:pt idx="462">
                  <c:v>-141.80110307795653</c:v>
                </c:pt>
                <c:pt idx="463">
                  <c:v>-142.13974108006275</c:v>
                </c:pt>
                <c:pt idx="464">
                  <c:v>-142.47843314853614</c:v>
                </c:pt>
                <c:pt idx="465">
                  <c:v>-142.81751829409177</c:v>
                </c:pt>
                <c:pt idx="466">
                  <c:v>-143.15731232092591</c:v>
                </c:pt>
                <c:pt idx="467">
                  <c:v>-143.49810718450561</c:v>
                </c:pt>
                <c:pt idx="468">
                  <c:v>-143.84017045361799</c:v>
                </c:pt>
                <c:pt idx="469">
                  <c:v>-144.18374488092695</c:v>
                </c:pt>
                <c:pt idx="470">
                  <c:v>-144.52904808543028</c:v>
                </c:pt>
                <c:pt idx="471">
                  <c:v>-144.87627234933134</c:v>
                </c:pt>
                <c:pt idx="472">
                  <c:v>-145.2255845308942</c:v>
                </c:pt>
                <c:pt idx="473">
                  <c:v>-145.57712609393622</c:v>
                </c:pt>
                <c:pt idx="474">
                  <c:v>-145.93101325362511</c:v>
                </c:pt>
                <c:pt idx="475">
                  <c:v>-146.28733723730525</c:v>
                </c:pt>
                <c:pt idx="476">
                  <c:v>-146.64616465812858</c:v>
                </c:pt>
                <c:pt idx="477">
                  <c:v>-147.00753799833996</c:v>
                </c:pt>
                <c:pt idx="478">
                  <c:v>-147.37147619818347</c:v>
                </c:pt>
                <c:pt idx="479">
                  <c:v>-147.73797534554333</c:v>
                </c:pt>
                <c:pt idx="480">
                  <c:v>-148.10700946064748</c:v>
                </c:pt>
                <c:pt idx="481">
                  <c:v>-148.47853136943408</c:v>
                </c:pt>
                <c:pt idx="482">
                  <c:v>-148.85247365852808</c:v>
                </c:pt>
                <c:pt idx="483">
                  <c:v>-149.22874970419605</c:v>
                </c:pt>
                <c:pt idx="484">
                  <c:v>-149.60725476716163</c:v>
                </c:pt>
                <c:pt idx="485">
                  <c:v>-149.98786714476213</c:v>
                </c:pt>
                <c:pt idx="486">
                  <c:v>-150.37044937162653</c:v>
                </c:pt>
                <c:pt idx="487">
                  <c:v>-150.75484945985107</c:v>
                </c:pt>
                <c:pt idx="488">
                  <c:v>-151.14090216952798</c:v>
                </c:pt>
                <c:pt idx="489">
                  <c:v>-151.52843030049527</c:v>
                </c:pt>
                <c:pt idx="490">
                  <c:v>-151.91724599623066</c:v>
                </c:pt>
                <c:pt idx="491">
                  <c:v>-152.30715205102507</c:v>
                </c:pt>
                <c:pt idx="492">
                  <c:v>-152.69794321181115</c:v>
                </c:pt>
                <c:pt idx="493">
                  <c:v>-153.08940746638089</c:v>
                </c:pt>
                <c:pt idx="494">
                  <c:v>-153.48132731015076</c:v>
                </c:pt>
                <c:pt idx="495">
                  <c:v>-153.8734809841271</c:v>
                </c:pt>
                <c:pt idx="496">
                  <c:v>-154.26564367726252</c:v>
                </c:pt>
                <c:pt idx="497">
                  <c:v>-154.65758868700141</c:v>
                </c:pt>
                <c:pt idx="498">
                  <c:v>-155.04908853244947</c:v>
                </c:pt>
                <c:pt idx="499">
                  <c:v>-155.43991601526534</c:v>
                </c:pt>
                <c:pt idx="500">
                  <c:v>-155.82984522405704</c:v>
                </c:pt>
                <c:pt idx="501">
                  <c:v>-156.21865247876434</c:v>
                </c:pt>
                <c:pt idx="502">
                  <c:v>-156.60611721219547</c:v>
                </c:pt>
                <c:pt idx="503">
                  <c:v>-156.99202278657634</c:v>
                </c:pt>
                <c:pt idx="504">
                  <c:v>-157.37615724363187</c:v>
                </c:pt>
                <c:pt idx="505">
                  <c:v>-157.75831398736014</c:v>
                </c:pt>
                <c:pt idx="506">
                  <c:v>-158.13829239926704</c:v>
                </c:pt>
                <c:pt idx="507">
                  <c:v>-158.51589838640066</c:v>
                </c:pt>
                <c:pt idx="508">
                  <c:v>-158.89094486304893</c:v>
                </c:pt>
                <c:pt idx="509">
                  <c:v>-159.26325216744578</c:v>
                </c:pt>
                <c:pt idx="510">
                  <c:v>-159.63264841526109</c:v>
                </c:pt>
                <c:pt idx="511">
                  <c:v>-159.99896979203149</c:v>
                </c:pt>
                <c:pt idx="512">
                  <c:v>-160.3620607870146</c:v>
                </c:pt>
                <c:pt idx="513">
                  <c:v>-160.72177437123489</c:v>
                </c:pt>
                <c:pt idx="514">
                  <c:v>-161.07797212270179</c:v>
                </c:pt>
                <c:pt idx="515">
                  <c:v>-161.43052430197542</c:v>
                </c:pt>
                <c:pt idx="516">
                  <c:v>-161.77930988137368</c:v>
                </c:pt>
                <c:pt idx="517">
                  <c:v>-162.12421653120643</c:v>
                </c:pt>
                <c:pt idx="518">
                  <c:v>-162.46514056647189</c:v>
                </c:pt>
                <c:pt idx="519">
                  <c:v>-162.80198685745145</c:v>
                </c:pt>
                <c:pt idx="520">
                  <c:v>-163.13466870762187</c:v>
                </c:pt>
                <c:pt idx="521">
                  <c:v>-163.46310770224494</c:v>
                </c:pt>
                <c:pt idx="522">
                  <c:v>-163.78723353090953</c:v>
                </c:pt>
                <c:pt idx="523">
                  <c:v>-164.10698378720213</c:v>
                </c:pt>
                <c:pt idx="524">
                  <c:v>-164.42230374855836</c:v>
                </c:pt>
                <c:pt idx="525">
                  <c:v>-164.73314613919862</c:v>
                </c:pt>
                <c:pt idx="526">
                  <c:v>-165.03947087891498</c:v>
                </c:pt>
                <c:pt idx="527">
                  <c:v>-165.34124482029901</c:v>
                </c:pt>
                <c:pt idx="528">
                  <c:v>-165.63844147684625</c:v>
                </c:pt>
                <c:pt idx="529">
                  <c:v>-165.93104074419523</c:v>
                </c:pt>
                <c:pt idx="530">
                  <c:v>-166.21902861658251</c:v>
                </c:pt>
                <c:pt idx="531">
                  <c:v>-166.50239690043244</c:v>
                </c:pt>
                <c:pt idx="532">
                  <c:v>-166.78114292682176</c:v>
                </c:pt>
                <c:pt idx="533">
                  <c:v>-167.05526926439674</c:v>
                </c:pt>
                <c:pt idx="534">
                  <c:v>-167.32478343415883</c:v>
                </c:pt>
                <c:pt idx="535">
                  <c:v>-167.58969762737837</c:v>
                </c:pt>
                <c:pt idx="536">
                  <c:v>-167.85002842774918</c:v>
                </c:pt>
                <c:pt idx="537">
                  <c:v>-168.10579653875854</c:v>
                </c:pt>
                <c:pt idx="538">
                  <c:v>-168.35702651710793</c:v>
                </c:pt>
                <c:pt idx="539">
                  <c:v>-168.60374651290314</c:v>
                </c:pt>
                <c:pt idx="540">
                  <c:v>-168.84598801721367</c:v>
                </c:pt>
                <c:pt idx="541">
                  <c:v>-169.08378561749504</c:v>
                </c:pt>
              </c:numCache>
            </c:numRef>
          </c:yVal>
          <c:smooth val="1"/>
          <c:extLst>
            <c:ext xmlns:c16="http://schemas.microsoft.com/office/drawing/2014/chart" uri="{C3380CC4-5D6E-409C-BE32-E72D297353CC}">
              <c16:uniqueId val="{00000001-8173-45EB-83AD-B179A66292B6}"/>
            </c:ext>
          </c:extLst>
        </c:ser>
        <c:dLbls>
          <c:showLegendKey val="0"/>
          <c:showVal val="0"/>
          <c:showCatName val="0"/>
          <c:showSerName val="0"/>
          <c:showPercent val="0"/>
          <c:showBubbleSize val="0"/>
        </c:dLbls>
        <c:axId val="555537920"/>
        <c:axId val="555536384"/>
      </c:scatterChart>
      <c:valAx>
        <c:axId val="555528192"/>
        <c:scaling>
          <c:logBase val="10"/>
          <c:orientation val="minMax"/>
          <c:max val="2200000"/>
          <c:min val="10"/>
        </c:scaling>
        <c:delete val="0"/>
        <c:axPos val="b"/>
        <c:minorGridlines/>
        <c:title>
          <c:tx>
            <c:rich>
              <a:bodyPr/>
              <a:lstStyle/>
              <a:p>
                <a:pPr>
                  <a:defRPr/>
                </a:pPr>
                <a:r>
                  <a:rPr lang="en-US"/>
                  <a:t>Frequency</a:t>
                </a:r>
                <a:r>
                  <a:rPr lang="en-US" baseline="0"/>
                  <a:t> (Hz)</a:t>
                </a:r>
                <a:endParaRPr lang="en-US"/>
              </a:p>
            </c:rich>
          </c:tx>
          <c:overlay val="0"/>
        </c:title>
        <c:numFmt formatCode="0" sourceLinked="0"/>
        <c:majorTickMark val="out"/>
        <c:minorTickMark val="none"/>
        <c:tickLblPos val="low"/>
        <c:crossAx val="555530112"/>
        <c:crosses val="autoZero"/>
        <c:crossBetween val="midCat"/>
      </c:valAx>
      <c:valAx>
        <c:axId val="555530112"/>
        <c:scaling>
          <c:orientation val="minMax"/>
          <c:max val="40"/>
          <c:min val="-40"/>
        </c:scaling>
        <c:delete val="0"/>
        <c:axPos val="l"/>
        <c:majorGridlines/>
        <c:minorGridlines/>
        <c:title>
          <c:tx>
            <c:rich>
              <a:bodyPr rot="-5400000" vert="horz"/>
              <a:lstStyle/>
              <a:p>
                <a:pPr>
                  <a:defRPr/>
                </a:pPr>
                <a:r>
                  <a:rPr lang="en-US">
                    <a:solidFill>
                      <a:srgbClr val="FF0000"/>
                    </a:solidFill>
                  </a:rPr>
                  <a:t>Gain</a:t>
                </a:r>
                <a:r>
                  <a:rPr lang="en-US" baseline="0">
                    <a:solidFill>
                      <a:srgbClr val="FF0000"/>
                    </a:solidFill>
                  </a:rPr>
                  <a:t> (dB)</a:t>
                </a:r>
                <a:endParaRPr lang="en-US">
                  <a:solidFill>
                    <a:srgbClr val="FF0000"/>
                  </a:solidFill>
                </a:endParaRPr>
              </a:p>
            </c:rich>
          </c:tx>
          <c:overlay val="0"/>
        </c:title>
        <c:numFmt formatCode="General" sourceLinked="0"/>
        <c:majorTickMark val="out"/>
        <c:minorTickMark val="none"/>
        <c:tickLblPos val="nextTo"/>
        <c:txPr>
          <a:bodyPr/>
          <a:lstStyle/>
          <a:p>
            <a:pPr>
              <a:defRPr>
                <a:solidFill>
                  <a:srgbClr val="FF0000"/>
                </a:solidFill>
              </a:defRPr>
            </a:pPr>
            <a:endParaRPr lang="en-US"/>
          </a:p>
        </c:txPr>
        <c:crossAx val="555528192"/>
        <c:crosses val="autoZero"/>
        <c:crossBetween val="midCat"/>
        <c:majorUnit val="20"/>
        <c:minorUnit val="10"/>
      </c:valAx>
      <c:valAx>
        <c:axId val="555536384"/>
        <c:scaling>
          <c:orientation val="minMax"/>
          <c:max val="180"/>
          <c:min val="-180"/>
        </c:scaling>
        <c:delete val="0"/>
        <c:axPos val="r"/>
        <c:numFmt formatCode="General" sourceLinked="1"/>
        <c:majorTickMark val="out"/>
        <c:minorTickMark val="none"/>
        <c:tickLblPos val="nextTo"/>
        <c:txPr>
          <a:bodyPr/>
          <a:lstStyle/>
          <a:p>
            <a:pPr>
              <a:defRPr>
                <a:solidFill>
                  <a:schemeClr val="tx1">
                    <a:lumMod val="95000"/>
                    <a:lumOff val="5000"/>
                  </a:schemeClr>
                </a:solidFill>
              </a:defRPr>
            </a:pPr>
            <a:endParaRPr lang="en-US"/>
          </a:p>
        </c:txPr>
        <c:crossAx val="555537920"/>
        <c:crosses val="max"/>
        <c:crossBetween val="midCat"/>
        <c:majorUnit val="90"/>
        <c:minorUnit val="45"/>
      </c:valAx>
      <c:valAx>
        <c:axId val="555537920"/>
        <c:scaling>
          <c:logBase val="10"/>
          <c:orientation val="minMax"/>
        </c:scaling>
        <c:delete val="1"/>
        <c:axPos val="b"/>
        <c:numFmt formatCode="0.00" sourceLinked="1"/>
        <c:majorTickMark val="out"/>
        <c:minorTickMark val="none"/>
        <c:tickLblPos val="nextTo"/>
        <c:crossAx val="555536384"/>
        <c:crosses val="autoZero"/>
        <c:crossBetween val="midCat"/>
      </c:valAx>
    </c:plotArea>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l">
              <a:defRPr sz="2400"/>
            </a:pPr>
            <a:r>
              <a:rPr lang="el-GR" sz="2400"/>
              <a:t>η</a:t>
            </a:r>
            <a:endParaRPr lang="en-US" sz="2400"/>
          </a:p>
        </c:rich>
      </c:tx>
      <c:layout>
        <c:manualLayout>
          <c:xMode val="edge"/>
          <c:yMode val="edge"/>
          <c:x val="9.2321838295158831E-2"/>
          <c:y val="6.7069081153588199E-3"/>
        </c:manualLayout>
      </c:layout>
      <c:overlay val="1"/>
    </c:title>
    <c:autoTitleDeleted val="0"/>
    <c:plotArea>
      <c:layout>
        <c:manualLayout>
          <c:layoutTarget val="inner"/>
          <c:xMode val="edge"/>
          <c:yMode val="edge"/>
          <c:x val="9.4343575816580413E-2"/>
          <c:y val="0.12777504924560487"/>
          <c:w val="0.82170691922728745"/>
          <c:h val="0.74982770867653059"/>
        </c:manualLayout>
      </c:layout>
      <c:scatterChart>
        <c:scatterStyle val="smoothMarker"/>
        <c:varyColors val="0"/>
        <c:ser>
          <c:idx val="0"/>
          <c:order val="0"/>
          <c:tx>
            <c:v>Eff</c:v>
          </c:tx>
          <c:spPr>
            <a:ln>
              <a:solidFill>
                <a:srgbClr val="FF0000"/>
              </a:solidFill>
            </a:ln>
          </c:spPr>
          <c:marker>
            <c:symbol val="none"/>
          </c:marker>
          <c:xVal>
            <c:numRef>
              <c:f>Eff_vs_IOUT!$S$7:$S$157</c:f>
              <c:numCache>
                <c:formatCode>General</c:formatCode>
                <c:ptCount val="151"/>
                <c:pt idx="0">
                  <c:v>0</c:v>
                </c:pt>
                <c:pt idx="1">
                  <c:v>2.777777777777778E-2</c:v>
                </c:pt>
                <c:pt idx="2">
                  <c:v>5.5555555555555559E-2</c:v>
                </c:pt>
                <c:pt idx="3">
                  <c:v>8.3333333333333343E-2</c:v>
                </c:pt>
                <c:pt idx="4">
                  <c:v>0.11111111111111112</c:v>
                </c:pt>
                <c:pt idx="5">
                  <c:v>0.1388888888888889</c:v>
                </c:pt>
                <c:pt idx="6">
                  <c:v>0.16666666666666669</c:v>
                </c:pt>
                <c:pt idx="7">
                  <c:v>0.19444444444444445</c:v>
                </c:pt>
                <c:pt idx="8">
                  <c:v>0.22222222222222224</c:v>
                </c:pt>
                <c:pt idx="9">
                  <c:v>0.25</c:v>
                </c:pt>
                <c:pt idx="10">
                  <c:v>0.27777777777777779</c:v>
                </c:pt>
                <c:pt idx="11">
                  <c:v>0.30555555555555558</c:v>
                </c:pt>
                <c:pt idx="12">
                  <c:v>0.33333333333333337</c:v>
                </c:pt>
                <c:pt idx="13">
                  <c:v>0.36111111111111116</c:v>
                </c:pt>
                <c:pt idx="14">
                  <c:v>0.3888888888888889</c:v>
                </c:pt>
                <c:pt idx="15">
                  <c:v>0.41666666666666669</c:v>
                </c:pt>
                <c:pt idx="16">
                  <c:v>0.44444444444444448</c:v>
                </c:pt>
                <c:pt idx="17">
                  <c:v>0.47222222222222227</c:v>
                </c:pt>
                <c:pt idx="18">
                  <c:v>0.5</c:v>
                </c:pt>
                <c:pt idx="19">
                  <c:v>0.52777777777777779</c:v>
                </c:pt>
                <c:pt idx="20">
                  <c:v>0.55555555555555558</c:v>
                </c:pt>
                <c:pt idx="21">
                  <c:v>0.58333333333333337</c:v>
                </c:pt>
                <c:pt idx="22">
                  <c:v>0.61111111111111116</c:v>
                </c:pt>
                <c:pt idx="23">
                  <c:v>0.63888888888888895</c:v>
                </c:pt>
                <c:pt idx="24">
                  <c:v>0.66666666666666674</c:v>
                </c:pt>
                <c:pt idx="25">
                  <c:v>0.69444444444444453</c:v>
                </c:pt>
                <c:pt idx="26">
                  <c:v>0.72222222222222232</c:v>
                </c:pt>
                <c:pt idx="27">
                  <c:v>0.75</c:v>
                </c:pt>
                <c:pt idx="28">
                  <c:v>0.77777777777777779</c:v>
                </c:pt>
                <c:pt idx="29">
                  <c:v>0.80555555555555558</c:v>
                </c:pt>
                <c:pt idx="30">
                  <c:v>0.83333333333333337</c:v>
                </c:pt>
                <c:pt idx="31">
                  <c:v>0.86111111111111116</c:v>
                </c:pt>
                <c:pt idx="32">
                  <c:v>0.88888888888888895</c:v>
                </c:pt>
                <c:pt idx="33">
                  <c:v>0.91666666666666674</c:v>
                </c:pt>
                <c:pt idx="34">
                  <c:v>0.94444444444444453</c:v>
                </c:pt>
                <c:pt idx="35">
                  <c:v>0.97222222222222232</c:v>
                </c:pt>
                <c:pt idx="36">
                  <c:v>1</c:v>
                </c:pt>
                <c:pt idx="37">
                  <c:v>1.0277777777777779</c:v>
                </c:pt>
                <c:pt idx="38">
                  <c:v>1.0555555555555556</c:v>
                </c:pt>
                <c:pt idx="39">
                  <c:v>1.0833333333333335</c:v>
                </c:pt>
                <c:pt idx="40">
                  <c:v>1.1111111111111112</c:v>
                </c:pt>
                <c:pt idx="41">
                  <c:v>1.1388888888888891</c:v>
                </c:pt>
                <c:pt idx="42">
                  <c:v>1.1666666666666667</c:v>
                </c:pt>
                <c:pt idx="43">
                  <c:v>1.1944444444444444</c:v>
                </c:pt>
                <c:pt idx="44">
                  <c:v>1.2222222222222223</c:v>
                </c:pt>
                <c:pt idx="45">
                  <c:v>1.25</c:v>
                </c:pt>
                <c:pt idx="46">
                  <c:v>1.2777777777777779</c:v>
                </c:pt>
                <c:pt idx="47">
                  <c:v>1.3055555555555556</c:v>
                </c:pt>
                <c:pt idx="48">
                  <c:v>1.3333333333333335</c:v>
                </c:pt>
                <c:pt idx="49">
                  <c:v>1.3611111111111112</c:v>
                </c:pt>
                <c:pt idx="50">
                  <c:v>1.3888888888888891</c:v>
                </c:pt>
                <c:pt idx="51">
                  <c:v>1.4166666666666667</c:v>
                </c:pt>
                <c:pt idx="52">
                  <c:v>1.4444444444444446</c:v>
                </c:pt>
                <c:pt idx="53">
                  <c:v>1.4722222222222223</c:v>
                </c:pt>
                <c:pt idx="54">
                  <c:v>1.5</c:v>
                </c:pt>
                <c:pt idx="55">
                  <c:v>1.5277777777777779</c:v>
                </c:pt>
                <c:pt idx="56">
                  <c:v>1.5555555555555556</c:v>
                </c:pt>
                <c:pt idx="57">
                  <c:v>1.5833333333333335</c:v>
                </c:pt>
                <c:pt idx="58">
                  <c:v>1.6111111111111112</c:v>
                </c:pt>
                <c:pt idx="59">
                  <c:v>1.6388888888888891</c:v>
                </c:pt>
                <c:pt idx="60">
                  <c:v>1.6666666666666667</c:v>
                </c:pt>
                <c:pt idx="61">
                  <c:v>1.6944444444444446</c:v>
                </c:pt>
                <c:pt idx="62">
                  <c:v>1.7222222222222223</c:v>
                </c:pt>
                <c:pt idx="63">
                  <c:v>1.7500000000000002</c:v>
                </c:pt>
                <c:pt idx="64">
                  <c:v>1.7777777777777779</c:v>
                </c:pt>
                <c:pt idx="65">
                  <c:v>1.8055555555555556</c:v>
                </c:pt>
                <c:pt idx="66">
                  <c:v>1.8333333333333335</c:v>
                </c:pt>
                <c:pt idx="67">
                  <c:v>1.8611111111111112</c:v>
                </c:pt>
                <c:pt idx="68">
                  <c:v>1.8888888888888891</c:v>
                </c:pt>
                <c:pt idx="69">
                  <c:v>1.9166666666666667</c:v>
                </c:pt>
                <c:pt idx="70">
                  <c:v>1.9444444444444446</c:v>
                </c:pt>
                <c:pt idx="71">
                  <c:v>1.9722222222222223</c:v>
                </c:pt>
                <c:pt idx="72">
                  <c:v>2</c:v>
                </c:pt>
                <c:pt idx="73">
                  <c:v>2.0277777777777781</c:v>
                </c:pt>
                <c:pt idx="74">
                  <c:v>2.0555555555555558</c:v>
                </c:pt>
                <c:pt idx="75">
                  <c:v>2.0833333333333335</c:v>
                </c:pt>
                <c:pt idx="76">
                  <c:v>2.1111111111111112</c:v>
                </c:pt>
                <c:pt idx="77">
                  <c:v>2.1388888888888888</c:v>
                </c:pt>
                <c:pt idx="78">
                  <c:v>2.166666666666667</c:v>
                </c:pt>
                <c:pt idx="79">
                  <c:v>2.1944444444444446</c:v>
                </c:pt>
                <c:pt idx="80">
                  <c:v>2.2222222222222223</c:v>
                </c:pt>
                <c:pt idx="81">
                  <c:v>2.25</c:v>
                </c:pt>
                <c:pt idx="82">
                  <c:v>2.2777777777777781</c:v>
                </c:pt>
                <c:pt idx="83">
                  <c:v>2.3055555555555558</c:v>
                </c:pt>
                <c:pt idx="84">
                  <c:v>2.3333333333333335</c:v>
                </c:pt>
                <c:pt idx="85">
                  <c:v>2.3611111111111112</c:v>
                </c:pt>
                <c:pt idx="86">
                  <c:v>2.3888888888888888</c:v>
                </c:pt>
                <c:pt idx="87">
                  <c:v>2.416666666666667</c:v>
                </c:pt>
                <c:pt idx="88">
                  <c:v>2.4444444444444446</c:v>
                </c:pt>
                <c:pt idx="89">
                  <c:v>2.4722222222222223</c:v>
                </c:pt>
                <c:pt idx="90">
                  <c:v>2.5</c:v>
                </c:pt>
                <c:pt idx="91">
                  <c:v>2.5277777777777781</c:v>
                </c:pt>
                <c:pt idx="92">
                  <c:v>2.5555555555555558</c:v>
                </c:pt>
                <c:pt idx="93">
                  <c:v>2.5833333333333335</c:v>
                </c:pt>
                <c:pt idx="94">
                  <c:v>2.6111111111111112</c:v>
                </c:pt>
                <c:pt idx="95">
                  <c:v>2.6388888888888893</c:v>
                </c:pt>
                <c:pt idx="96">
                  <c:v>2.666666666666667</c:v>
                </c:pt>
                <c:pt idx="97">
                  <c:v>2.6944444444444446</c:v>
                </c:pt>
                <c:pt idx="98">
                  <c:v>2.7222222222222223</c:v>
                </c:pt>
                <c:pt idx="99">
                  <c:v>2.75</c:v>
                </c:pt>
                <c:pt idx="100">
                  <c:v>2.7777777777777781</c:v>
                </c:pt>
                <c:pt idx="101">
                  <c:v>2.8055555555555558</c:v>
                </c:pt>
                <c:pt idx="102">
                  <c:v>2.8333333333333335</c:v>
                </c:pt>
                <c:pt idx="103">
                  <c:v>2.8611111111111112</c:v>
                </c:pt>
                <c:pt idx="104">
                  <c:v>2.8888888888888893</c:v>
                </c:pt>
                <c:pt idx="105">
                  <c:v>2.916666666666667</c:v>
                </c:pt>
                <c:pt idx="106">
                  <c:v>2.9444444444444446</c:v>
                </c:pt>
                <c:pt idx="107">
                  <c:v>2.9722222222222223</c:v>
                </c:pt>
                <c:pt idx="108">
                  <c:v>3</c:v>
                </c:pt>
                <c:pt idx="109">
                  <c:v>3.0277777777777781</c:v>
                </c:pt>
                <c:pt idx="110">
                  <c:v>3.0555555555555558</c:v>
                </c:pt>
                <c:pt idx="111">
                  <c:v>3.0833333333333335</c:v>
                </c:pt>
                <c:pt idx="112">
                  <c:v>3.1111111111111112</c:v>
                </c:pt>
                <c:pt idx="113">
                  <c:v>3.1388888888888893</c:v>
                </c:pt>
                <c:pt idx="114">
                  <c:v>3.166666666666667</c:v>
                </c:pt>
                <c:pt idx="115">
                  <c:v>3.1944444444444446</c:v>
                </c:pt>
                <c:pt idx="116">
                  <c:v>3.2222222222222223</c:v>
                </c:pt>
                <c:pt idx="117">
                  <c:v>3.2500000000000004</c:v>
                </c:pt>
                <c:pt idx="118">
                  <c:v>3.2777777777777781</c:v>
                </c:pt>
                <c:pt idx="119">
                  <c:v>3.3055555555555558</c:v>
                </c:pt>
                <c:pt idx="120">
                  <c:v>3.3333333333333335</c:v>
                </c:pt>
                <c:pt idx="121">
                  <c:v>3.3611111111111112</c:v>
                </c:pt>
                <c:pt idx="122">
                  <c:v>3.3888888888888893</c:v>
                </c:pt>
                <c:pt idx="123">
                  <c:v>3.416666666666667</c:v>
                </c:pt>
                <c:pt idx="124">
                  <c:v>3.4444444444444446</c:v>
                </c:pt>
                <c:pt idx="125">
                  <c:v>3.4722222222222223</c:v>
                </c:pt>
                <c:pt idx="126">
                  <c:v>3.5000000000000004</c:v>
                </c:pt>
                <c:pt idx="127">
                  <c:v>3.5277777777777781</c:v>
                </c:pt>
                <c:pt idx="128">
                  <c:v>3.5555555555555558</c:v>
                </c:pt>
                <c:pt idx="129">
                  <c:v>3.5833333333333335</c:v>
                </c:pt>
                <c:pt idx="130">
                  <c:v>3.6111111111111112</c:v>
                </c:pt>
                <c:pt idx="131">
                  <c:v>3.6388888888888893</c:v>
                </c:pt>
                <c:pt idx="132">
                  <c:v>3.666666666666667</c:v>
                </c:pt>
                <c:pt idx="133">
                  <c:v>3.6944444444444446</c:v>
                </c:pt>
                <c:pt idx="134">
                  <c:v>3.7222222222222223</c:v>
                </c:pt>
                <c:pt idx="135">
                  <c:v>3.7500000000000004</c:v>
                </c:pt>
                <c:pt idx="136">
                  <c:v>3.7777777777777781</c:v>
                </c:pt>
                <c:pt idx="137">
                  <c:v>3.8055555555555558</c:v>
                </c:pt>
                <c:pt idx="138">
                  <c:v>3.8333333333333335</c:v>
                </c:pt>
                <c:pt idx="139">
                  <c:v>3.8611111111111112</c:v>
                </c:pt>
                <c:pt idx="140">
                  <c:v>3.8888888888888893</c:v>
                </c:pt>
                <c:pt idx="141">
                  <c:v>3.916666666666667</c:v>
                </c:pt>
                <c:pt idx="142">
                  <c:v>3.9444444444444446</c:v>
                </c:pt>
                <c:pt idx="143">
                  <c:v>3.9722222222222223</c:v>
                </c:pt>
                <c:pt idx="144">
                  <c:v>4</c:v>
                </c:pt>
                <c:pt idx="145">
                  <c:v>4.0277777777777777</c:v>
                </c:pt>
                <c:pt idx="146">
                  <c:v>4.0555555555555562</c:v>
                </c:pt>
                <c:pt idx="147">
                  <c:v>4.0833333333333339</c:v>
                </c:pt>
                <c:pt idx="148">
                  <c:v>4.1111111111111116</c:v>
                </c:pt>
                <c:pt idx="149">
                  <c:v>4.1388888888888893</c:v>
                </c:pt>
                <c:pt idx="150">
                  <c:v>4.166666666666667</c:v>
                </c:pt>
              </c:numCache>
            </c:numRef>
          </c:xVal>
          <c:yVal>
            <c:numRef>
              <c:f>Eff_vs_IOUT!$AW$7:$AW$157</c:f>
              <c:numCache>
                <c:formatCode>General</c:formatCode>
                <c:ptCount val="151"/>
                <c:pt idx="0">
                  <c:v>0</c:v>
                </c:pt>
                <c:pt idx="1">
                  <c:v>61.058151688352183</c:v>
                </c:pt>
                <c:pt idx="2">
                  <c:v>74.938068500487162</c:v>
                </c:pt>
                <c:pt idx="3">
                  <c:v>81.059509577819725</c:v>
                </c:pt>
                <c:pt idx="4">
                  <c:v>84.495640370405894</c:v>
                </c:pt>
                <c:pt idx="5">
                  <c:v>86.689469729115118</c:v>
                </c:pt>
                <c:pt idx="6">
                  <c:v>88.20779599690249</c:v>
                </c:pt>
                <c:pt idx="7">
                  <c:v>89.318471484699728</c:v>
                </c:pt>
                <c:pt idx="8">
                  <c:v>90.1644669995284</c:v>
                </c:pt>
                <c:pt idx="9">
                  <c:v>90.829019329548856</c:v>
                </c:pt>
                <c:pt idx="10">
                  <c:v>91.363857618109165</c:v>
                </c:pt>
                <c:pt idx="11">
                  <c:v>91.802810795783131</c:v>
                </c:pt>
                <c:pt idx="12">
                  <c:v>92.168926161066892</c:v>
                </c:pt>
                <c:pt idx="13">
                  <c:v>92.478442631953143</c:v>
                </c:pt>
                <c:pt idx="14">
                  <c:v>92.743128464822192</c:v>
                </c:pt>
                <c:pt idx="15">
                  <c:v>92.971718247893932</c:v>
                </c:pt>
                <c:pt idx="16">
                  <c:v>93.170829498734875</c:v>
                </c:pt>
                <c:pt idx="17">
                  <c:v>93.345566135872744</c:v>
                </c:pt>
                <c:pt idx="18">
                  <c:v>93.499926846656749</c:v>
                </c:pt>
                <c:pt idx="19">
                  <c:v>93.703981354685411</c:v>
                </c:pt>
                <c:pt idx="20">
                  <c:v>93.923165065262737</c:v>
                </c:pt>
                <c:pt idx="21">
                  <c:v>94.12126240014932</c:v>
                </c:pt>
                <c:pt idx="22">
                  <c:v>94.301026115879111</c:v>
                </c:pt>
                <c:pt idx="23">
                  <c:v>94.464749866153639</c:v>
                </c:pt>
                <c:pt idx="24">
                  <c:v>94.614360081942294</c:v>
                </c:pt>
                <c:pt idx="25">
                  <c:v>94.751486635264087</c:v>
                </c:pt>
                <c:pt idx="26">
                  <c:v>94.877517790480098</c:v>
                </c:pt>
                <c:pt idx="27">
                  <c:v>94.993643373492716</c:v>
                </c:pt>
                <c:pt idx="28">
                  <c:v>95.100889004394759</c:v>
                </c:pt>
                <c:pt idx="29">
                  <c:v>95.200143479889704</c:v>
                </c:pt>
                <c:pt idx="30">
                  <c:v>95.292180853118111</c:v>
                </c:pt>
                <c:pt idx="31">
                  <c:v>95.37767837141962</c:v>
                </c:pt>
                <c:pt idx="32">
                  <c:v>95.457231151082055</c:v>
                </c:pt>
                <c:pt idx="33">
                  <c:v>95.531364261194568</c:v>
                </c:pt>
                <c:pt idx="34">
                  <c:v>95.600542735023822</c:v>
                </c:pt>
                <c:pt idx="35">
                  <c:v>95.665179912076397</c:v>
                </c:pt>
                <c:pt idx="36">
                  <c:v>95.725644426801793</c:v>
                </c:pt>
                <c:pt idx="37">
                  <c:v>95.782266093345498</c:v>
                </c:pt>
                <c:pt idx="38">
                  <c:v>95.835340884579125</c:v>
                </c:pt>
                <c:pt idx="39">
                  <c:v>95.885135163973445</c:v>
                </c:pt>
                <c:pt idx="40">
                  <c:v>95.931889297928308</c:v>
                </c:pt>
                <c:pt idx="41">
                  <c:v>95.975820751856162</c:v>
                </c:pt>
                <c:pt idx="42">
                  <c:v>96.01712675409118</c:v>
                </c:pt>
                <c:pt idx="43">
                  <c:v>96.055986596404239</c:v>
                </c:pt>
                <c:pt idx="44">
                  <c:v>96.092563627672192</c:v>
                </c:pt>
                <c:pt idx="45">
                  <c:v>96.127006987411605</c:v>
                </c:pt>
                <c:pt idx="46">
                  <c:v>96.159453117934063</c:v>
                </c:pt>
                <c:pt idx="47">
                  <c:v>96.190027087418272</c:v>
                </c:pt>
                <c:pt idx="48">
                  <c:v>96.21884375091976</c:v>
                </c:pt>
                <c:pt idx="49">
                  <c:v>96.246008772014207</c:v>
                </c:pt>
                <c:pt idx="50">
                  <c:v>96.271619524209314</c:v>
                </c:pt>
                <c:pt idx="51">
                  <c:v>96.295765888315159</c:v>
                </c:pt>
                <c:pt idx="52">
                  <c:v>96.318530959518682</c:v>
                </c:pt>
                <c:pt idx="53">
                  <c:v>96.339991675870607</c:v>
                </c:pt>
                <c:pt idx="54">
                  <c:v>96.360219378190124</c:v>
                </c:pt>
                <c:pt idx="55">
                  <c:v>96.379280309962425</c:v>
                </c:pt>
                <c:pt idx="56">
                  <c:v>96.397236064600307</c:v>
                </c:pt>
                <c:pt idx="57">
                  <c:v>96.414143986424577</c:v>
                </c:pt>
                <c:pt idx="58">
                  <c:v>96.430057530855578</c:v>
                </c:pt>
                <c:pt idx="59">
                  <c:v>96.445026588575672</c:v>
                </c:pt>
                <c:pt idx="60">
                  <c:v>96.459097777798775</c:v>
                </c:pt>
                <c:pt idx="61">
                  <c:v>96.472314708247808</c:v>
                </c:pt>
                <c:pt idx="62">
                  <c:v>96.484718219985538</c:v>
                </c:pt>
                <c:pt idx="63">
                  <c:v>96.496346599849034</c:v>
                </c:pt>
                <c:pt idx="64">
                  <c:v>96.507235777900547</c:v>
                </c:pt>
                <c:pt idx="65">
                  <c:v>96.517419506015102</c:v>
                </c:pt>
                <c:pt idx="66">
                  <c:v>96.526929520471001</c:v>
                </c:pt>
                <c:pt idx="67">
                  <c:v>96.535795690190909</c:v>
                </c:pt>
                <c:pt idx="68">
                  <c:v>96.544046152089237</c:v>
                </c:pt>
                <c:pt idx="69">
                  <c:v>96.551707434815768</c:v>
                </c:pt>
                <c:pt idx="70">
                  <c:v>96.558804572039548</c:v>
                </c:pt>
                <c:pt idx="71">
                  <c:v>96.565361206290419</c:v>
                </c:pt>
                <c:pt idx="72">
                  <c:v>96.571399684263767</c:v>
                </c:pt>
                <c:pt idx="73">
                  <c:v>96.576941144396017</c:v>
                </c:pt>
                <c:pt idx="74">
                  <c:v>96.582005597432783</c:v>
                </c:pt>
                <c:pt idx="75">
                  <c:v>96.58661200063483</c:v>
                </c:pt>
                <c:pt idx="76">
                  <c:v>96.590778326200635</c:v>
                </c:pt>
                <c:pt idx="77">
                  <c:v>96.594521624424573</c:v>
                </c:pt>
                <c:pt idx="78">
                  <c:v>96.597858082057286</c:v>
                </c:pt>
                <c:pt idx="79">
                  <c:v>96.60080307628813</c:v>
                </c:pt>
                <c:pt idx="80">
                  <c:v>96.603371224728079</c:v>
                </c:pt>
                <c:pt idx="81">
                  <c:v>96.605576431734775</c:v>
                </c:pt>
                <c:pt idx="82">
                  <c:v>96.607431931387922</c:v>
                </c:pt>
                <c:pt idx="83">
                  <c:v>96.608950327394538</c:v>
                </c:pt>
                <c:pt idx="84">
                  <c:v>96.610143630176864</c:v>
                </c:pt>
                <c:pt idx="85">
                  <c:v>96.611023291372078</c:v>
                </c:pt>
                <c:pt idx="86">
                  <c:v>96.611600235952551</c:v>
                </c:pt>
                <c:pt idx="87">
                  <c:v>96.611884892155388</c:v>
                </c:pt>
                <c:pt idx="88">
                  <c:v>96.611887219394077</c:v>
                </c:pt>
                <c:pt idx="89">
                  <c:v>96.611616734308996</c:v>
                </c:pt>
                <c:pt idx="90">
                  <c:v>96.611082535099897</c:v>
                </c:pt>
                <c:pt idx="91">
                  <c:v>96.610293324271368</c:v>
                </c:pt>
                <c:pt idx="92">
                  <c:v>96.609257429910414</c:v>
                </c:pt>
                <c:pt idx="93">
                  <c:v>96.607982825605845</c:v>
                </c:pt>
                <c:pt idx="94">
                  <c:v>96.606477149109182</c:v>
                </c:pt>
                <c:pt idx="95">
                  <c:v>96.604747719829305</c:v>
                </c:pt>
                <c:pt idx="96">
                  <c:v>96.602801555244511</c:v>
                </c:pt>
                <c:pt idx="97">
                  <c:v>96.600645386309751</c:v>
                </c:pt>
                <c:pt idx="98">
                  <c:v>96.598285671929915</c:v>
                </c:pt>
                <c:pt idx="99">
                  <c:v>96.595728612564642</c:v>
                </c:pt>
                <c:pt idx="100">
                  <c:v>96.592980163024549</c:v>
                </c:pt>
                <c:pt idx="101">
                  <c:v>96.590046044514949</c:v>
                </c:pt>
                <c:pt idx="102">
                  <c:v>96.586931755977659</c:v>
                </c:pt>
                <c:pt idx="103">
                  <c:v>96.583642584778431</c:v>
                </c:pt>
                <c:pt idx="104">
                  <c:v>96.580183616783643</c:v>
                </c:pt>
                <c:pt idx="105">
                  <c:v>96.576559745866405</c:v>
                </c:pt>
                <c:pt idx="106">
                  <c:v>96.57277568287958</c:v>
                </c:pt>
                <c:pt idx="107">
                  <c:v>96.568835964130358</c:v>
                </c:pt>
                <c:pt idx="108">
                  <c:v>96.564744959388008</c:v>
                </c:pt>
                <c:pt idx="109">
                  <c:v>96.560506879455019</c:v>
                </c:pt>
                <c:pt idx="110">
                  <c:v>96.55612578332881</c:v>
                </c:pt>
                <c:pt idx="111">
                  <c:v>96.551605584979754</c:v>
                </c:pt>
                <c:pt idx="112">
                  <c:v>96.546950059769259</c:v>
                </c:pt>
                <c:pt idx="113">
                  <c:v>96.542162850529962</c:v>
                </c:pt>
                <c:pt idx="114">
                  <c:v>96.537247473328719</c:v>
                </c:pt>
                <c:pt idx="115">
                  <c:v>96.532207322931441</c:v>
                </c:pt>
                <c:pt idx="116">
                  <c:v>96.527045677987616</c:v>
                </c:pt>
                <c:pt idx="117">
                  <c:v>96.521765705951239</c:v>
                </c:pt>
                <c:pt idx="118">
                  <c:v>96.516370467753461</c:v>
                </c:pt>
                <c:pt idx="119">
                  <c:v>96.51086292224177</c:v>
                </c:pt>
                <c:pt idx="120">
                  <c:v>96.505245930398829</c:v>
                </c:pt>
                <c:pt idx="121">
                  <c:v>96.499522259353995</c:v>
                </c:pt>
                <c:pt idx="122">
                  <c:v>96.493694586198885</c:v>
                </c:pt>
                <c:pt idx="123">
                  <c:v>96.487765501618512</c:v>
                </c:pt>
                <c:pt idx="124">
                  <c:v>96.481737513348008</c:v>
                </c:pt>
                <c:pt idx="125">
                  <c:v>96.475613049464741</c:v>
                </c:pt>
                <c:pt idx="126">
                  <c:v>96.469394461524814</c:v>
                </c:pt>
                <c:pt idx="127">
                  <c:v>96.463084027552654</c:v>
                </c:pt>
                <c:pt idx="128">
                  <c:v>96.456683954891432</c:v>
                </c:pt>
                <c:pt idx="129">
                  <c:v>96.450196382921888</c:v>
                </c:pt>
                <c:pt idx="130">
                  <c:v>96.443623385656778</c:v>
                </c:pt>
                <c:pt idx="131">
                  <c:v>96.436966974217057</c:v>
                </c:pt>
                <c:pt idx="132">
                  <c:v>96.430229099196765</c:v>
                </c:pt>
                <c:pt idx="133">
                  <c:v>96.423411652921658</c:v>
                </c:pt>
                <c:pt idx="134">
                  <c:v>96.416516471607622</c:v>
                </c:pt>
                <c:pt idx="135">
                  <c:v>96.409545337423765</c:v>
                </c:pt>
                <c:pt idx="136">
                  <c:v>96.402499980465208</c:v>
                </c:pt>
                <c:pt idx="137">
                  <c:v>96.395382080640061</c:v>
                </c:pt>
                <c:pt idx="138">
                  <c:v>96.388193269474939</c:v>
                </c:pt>
                <c:pt idx="139">
                  <c:v>96.380935131843117</c:v>
                </c:pt>
                <c:pt idx="140">
                  <c:v>96.373609207619083</c:v>
                </c:pt>
                <c:pt idx="141">
                  <c:v>96.366216993263194</c:v>
                </c:pt>
                <c:pt idx="142">
                  <c:v>96.358759943339905</c:v>
                </c:pt>
                <c:pt idx="143">
                  <c:v>96.351239471972605</c:v>
                </c:pt>
                <c:pt idx="144">
                  <c:v>96.343656954238369</c:v>
                </c:pt>
                <c:pt idx="145">
                  <c:v>96.336013727505247</c:v>
                </c:pt>
                <c:pt idx="146">
                  <c:v>96.32831109271514</c:v>
                </c:pt>
                <c:pt idx="147">
                  <c:v>96.320550315614511</c:v>
                </c:pt>
                <c:pt idx="148">
                  <c:v>96.312732627935631</c:v>
                </c:pt>
                <c:pt idx="149">
                  <c:v>96.304859228530461</c:v>
                </c:pt>
                <c:pt idx="150">
                  <c:v>96.296931284459575</c:v>
                </c:pt>
              </c:numCache>
            </c:numRef>
          </c:yVal>
          <c:smooth val="0"/>
          <c:extLst>
            <c:ext xmlns:c16="http://schemas.microsoft.com/office/drawing/2014/chart" uri="{C3380CC4-5D6E-409C-BE32-E72D297353CC}">
              <c16:uniqueId val="{00000000-50A0-4BAE-A18F-D1A285C4A90E}"/>
            </c:ext>
          </c:extLst>
        </c:ser>
        <c:dLbls>
          <c:showLegendKey val="0"/>
          <c:showVal val="0"/>
          <c:showCatName val="0"/>
          <c:showSerName val="0"/>
          <c:showPercent val="0"/>
          <c:showBubbleSize val="0"/>
        </c:dLbls>
        <c:axId val="555642880"/>
        <c:axId val="555644416"/>
      </c:scatterChart>
      <c:scatterChart>
        <c:scatterStyle val="smoothMarker"/>
        <c:varyColors val="0"/>
        <c:ser>
          <c:idx val="1"/>
          <c:order val="1"/>
          <c:tx>
            <c:v>MOSFET</c:v>
          </c:tx>
          <c:spPr>
            <a:ln>
              <a:solidFill>
                <a:schemeClr val="tx2">
                  <a:lumMod val="75000"/>
                </a:schemeClr>
              </a:solidFill>
              <a:prstDash val="dashDot"/>
            </a:ln>
          </c:spPr>
          <c:marker>
            <c:symbol val="none"/>
          </c:marker>
          <c:xVal>
            <c:numRef>
              <c:f>Eff_vs_IOUT!$S$7:$S$157</c:f>
              <c:numCache>
                <c:formatCode>General</c:formatCode>
                <c:ptCount val="151"/>
                <c:pt idx="0">
                  <c:v>0</c:v>
                </c:pt>
                <c:pt idx="1">
                  <c:v>2.777777777777778E-2</c:v>
                </c:pt>
                <c:pt idx="2">
                  <c:v>5.5555555555555559E-2</c:v>
                </c:pt>
                <c:pt idx="3">
                  <c:v>8.3333333333333343E-2</c:v>
                </c:pt>
                <c:pt idx="4">
                  <c:v>0.11111111111111112</c:v>
                </c:pt>
                <c:pt idx="5">
                  <c:v>0.1388888888888889</c:v>
                </c:pt>
                <c:pt idx="6">
                  <c:v>0.16666666666666669</c:v>
                </c:pt>
                <c:pt idx="7">
                  <c:v>0.19444444444444445</c:v>
                </c:pt>
                <c:pt idx="8">
                  <c:v>0.22222222222222224</c:v>
                </c:pt>
                <c:pt idx="9">
                  <c:v>0.25</c:v>
                </c:pt>
                <c:pt idx="10">
                  <c:v>0.27777777777777779</c:v>
                </c:pt>
                <c:pt idx="11">
                  <c:v>0.30555555555555558</c:v>
                </c:pt>
                <c:pt idx="12">
                  <c:v>0.33333333333333337</c:v>
                </c:pt>
                <c:pt idx="13">
                  <c:v>0.36111111111111116</c:v>
                </c:pt>
                <c:pt idx="14">
                  <c:v>0.3888888888888889</c:v>
                </c:pt>
                <c:pt idx="15">
                  <c:v>0.41666666666666669</c:v>
                </c:pt>
                <c:pt idx="16">
                  <c:v>0.44444444444444448</c:v>
                </c:pt>
                <c:pt idx="17">
                  <c:v>0.47222222222222227</c:v>
                </c:pt>
                <c:pt idx="18">
                  <c:v>0.5</c:v>
                </c:pt>
                <c:pt idx="19">
                  <c:v>0.52777777777777779</c:v>
                </c:pt>
                <c:pt idx="20">
                  <c:v>0.55555555555555558</c:v>
                </c:pt>
                <c:pt idx="21">
                  <c:v>0.58333333333333337</c:v>
                </c:pt>
                <c:pt idx="22">
                  <c:v>0.61111111111111116</c:v>
                </c:pt>
                <c:pt idx="23">
                  <c:v>0.63888888888888895</c:v>
                </c:pt>
                <c:pt idx="24">
                  <c:v>0.66666666666666674</c:v>
                </c:pt>
                <c:pt idx="25">
                  <c:v>0.69444444444444453</c:v>
                </c:pt>
                <c:pt idx="26">
                  <c:v>0.72222222222222232</c:v>
                </c:pt>
                <c:pt idx="27">
                  <c:v>0.75</c:v>
                </c:pt>
                <c:pt idx="28">
                  <c:v>0.77777777777777779</c:v>
                </c:pt>
                <c:pt idx="29">
                  <c:v>0.80555555555555558</c:v>
                </c:pt>
                <c:pt idx="30">
                  <c:v>0.83333333333333337</c:v>
                </c:pt>
                <c:pt idx="31">
                  <c:v>0.86111111111111116</c:v>
                </c:pt>
                <c:pt idx="32">
                  <c:v>0.88888888888888895</c:v>
                </c:pt>
                <c:pt idx="33">
                  <c:v>0.91666666666666674</c:v>
                </c:pt>
                <c:pt idx="34">
                  <c:v>0.94444444444444453</c:v>
                </c:pt>
                <c:pt idx="35">
                  <c:v>0.97222222222222232</c:v>
                </c:pt>
                <c:pt idx="36">
                  <c:v>1</c:v>
                </c:pt>
                <c:pt idx="37">
                  <c:v>1.0277777777777779</c:v>
                </c:pt>
                <c:pt idx="38">
                  <c:v>1.0555555555555556</c:v>
                </c:pt>
                <c:pt idx="39">
                  <c:v>1.0833333333333335</c:v>
                </c:pt>
                <c:pt idx="40">
                  <c:v>1.1111111111111112</c:v>
                </c:pt>
                <c:pt idx="41">
                  <c:v>1.1388888888888891</c:v>
                </c:pt>
                <c:pt idx="42">
                  <c:v>1.1666666666666667</c:v>
                </c:pt>
                <c:pt idx="43">
                  <c:v>1.1944444444444444</c:v>
                </c:pt>
                <c:pt idx="44">
                  <c:v>1.2222222222222223</c:v>
                </c:pt>
                <c:pt idx="45">
                  <c:v>1.25</c:v>
                </c:pt>
                <c:pt idx="46">
                  <c:v>1.2777777777777779</c:v>
                </c:pt>
                <c:pt idx="47">
                  <c:v>1.3055555555555556</c:v>
                </c:pt>
                <c:pt idx="48">
                  <c:v>1.3333333333333335</c:v>
                </c:pt>
                <c:pt idx="49">
                  <c:v>1.3611111111111112</c:v>
                </c:pt>
                <c:pt idx="50">
                  <c:v>1.3888888888888891</c:v>
                </c:pt>
                <c:pt idx="51">
                  <c:v>1.4166666666666667</c:v>
                </c:pt>
                <c:pt idx="52">
                  <c:v>1.4444444444444446</c:v>
                </c:pt>
                <c:pt idx="53">
                  <c:v>1.4722222222222223</c:v>
                </c:pt>
                <c:pt idx="54">
                  <c:v>1.5</c:v>
                </c:pt>
                <c:pt idx="55">
                  <c:v>1.5277777777777779</c:v>
                </c:pt>
                <c:pt idx="56">
                  <c:v>1.5555555555555556</c:v>
                </c:pt>
                <c:pt idx="57">
                  <c:v>1.5833333333333335</c:v>
                </c:pt>
                <c:pt idx="58">
                  <c:v>1.6111111111111112</c:v>
                </c:pt>
                <c:pt idx="59">
                  <c:v>1.6388888888888891</c:v>
                </c:pt>
                <c:pt idx="60">
                  <c:v>1.6666666666666667</c:v>
                </c:pt>
                <c:pt idx="61">
                  <c:v>1.6944444444444446</c:v>
                </c:pt>
                <c:pt idx="62">
                  <c:v>1.7222222222222223</c:v>
                </c:pt>
                <c:pt idx="63">
                  <c:v>1.7500000000000002</c:v>
                </c:pt>
                <c:pt idx="64">
                  <c:v>1.7777777777777779</c:v>
                </c:pt>
                <c:pt idx="65">
                  <c:v>1.8055555555555556</c:v>
                </c:pt>
                <c:pt idx="66">
                  <c:v>1.8333333333333335</c:v>
                </c:pt>
                <c:pt idx="67">
                  <c:v>1.8611111111111112</c:v>
                </c:pt>
                <c:pt idx="68">
                  <c:v>1.8888888888888891</c:v>
                </c:pt>
                <c:pt idx="69">
                  <c:v>1.9166666666666667</c:v>
                </c:pt>
                <c:pt idx="70">
                  <c:v>1.9444444444444446</c:v>
                </c:pt>
                <c:pt idx="71">
                  <c:v>1.9722222222222223</c:v>
                </c:pt>
                <c:pt idx="72">
                  <c:v>2</c:v>
                </c:pt>
                <c:pt idx="73">
                  <c:v>2.0277777777777781</c:v>
                </c:pt>
                <c:pt idx="74">
                  <c:v>2.0555555555555558</c:v>
                </c:pt>
                <c:pt idx="75">
                  <c:v>2.0833333333333335</c:v>
                </c:pt>
                <c:pt idx="76">
                  <c:v>2.1111111111111112</c:v>
                </c:pt>
                <c:pt idx="77">
                  <c:v>2.1388888888888888</c:v>
                </c:pt>
                <c:pt idx="78">
                  <c:v>2.166666666666667</c:v>
                </c:pt>
                <c:pt idx="79">
                  <c:v>2.1944444444444446</c:v>
                </c:pt>
                <c:pt idx="80">
                  <c:v>2.2222222222222223</c:v>
                </c:pt>
                <c:pt idx="81">
                  <c:v>2.25</c:v>
                </c:pt>
                <c:pt idx="82">
                  <c:v>2.2777777777777781</c:v>
                </c:pt>
                <c:pt idx="83">
                  <c:v>2.3055555555555558</c:v>
                </c:pt>
                <c:pt idx="84">
                  <c:v>2.3333333333333335</c:v>
                </c:pt>
                <c:pt idx="85">
                  <c:v>2.3611111111111112</c:v>
                </c:pt>
                <c:pt idx="86">
                  <c:v>2.3888888888888888</c:v>
                </c:pt>
                <c:pt idx="87">
                  <c:v>2.416666666666667</c:v>
                </c:pt>
                <c:pt idx="88">
                  <c:v>2.4444444444444446</c:v>
                </c:pt>
                <c:pt idx="89">
                  <c:v>2.4722222222222223</c:v>
                </c:pt>
                <c:pt idx="90">
                  <c:v>2.5</c:v>
                </c:pt>
                <c:pt idx="91">
                  <c:v>2.5277777777777781</c:v>
                </c:pt>
                <c:pt idx="92">
                  <c:v>2.5555555555555558</c:v>
                </c:pt>
                <c:pt idx="93">
                  <c:v>2.5833333333333335</c:v>
                </c:pt>
                <c:pt idx="94">
                  <c:v>2.6111111111111112</c:v>
                </c:pt>
                <c:pt idx="95">
                  <c:v>2.6388888888888893</c:v>
                </c:pt>
                <c:pt idx="96">
                  <c:v>2.666666666666667</c:v>
                </c:pt>
                <c:pt idx="97">
                  <c:v>2.6944444444444446</c:v>
                </c:pt>
                <c:pt idx="98">
                  <c:v>2.7222222222222223</c:v>
                </c:pt>
                <c:pt idx="99">
                  <c:v>2.75</c:v>
                </c:pt>
                <c:pt idx="100">
                  <c:v>2.7777777777777781</c:v>
                </c:pt>
                <c:pt idx="101">
                  <c:v>2.8055555555555558</c:v>
                </c:pt>
                <c:pt idx="102">
                  <c:v>2.8333333333333335</c:v>
                </c:pt>
                <c:pt idx="103">
                  <c:v>2.8611111111111112</c:v>
                </c:pt>
                <c:pt idx="104">
                  <c:v>2.8888888888888893</c:v>
                </c:pt>
                <c:pt idx="105">
                  <c:v>2.916666666666667</c:v>
                </c:pt>
                <c:pt idx="106">
                  <c:v>2.9444444444444446</c:v>
                </c:pt>
                <c:pt idx="107">
                  <c:v>2.9722222222222223</c:v>
                </c:pt>
                <c:pt idx="108">
                  <c:v>3</c:v>
                </c:pt>
                <c:pt idx="109">
                  <c:v>3.0277777777777781</c:v>
                </c:pt>
                <c:pt idx="110">
                  <c:v>3.0555555555555558</c:v>
                </c:pt>
                <c:pt idx="111">
                  <c:v>3.0833333333333335</c:v>
                </c:pt>
                <c:pt idx="112">
                  <c:v>3.1111111111111112</c:v>
                </c:pt>
                <c:pt idx="113">
                  <c:v>3.1388888888888893</c:v>
                </c:pt>
                <c:pt idx="114">
                  <c:v>3.166666666666667</c:v>
                </c:pt>
                <c:pt idx="115">
                  <c:v>3.1944444444444446</c:v>
                </c:pt>
                <c:pt idx="116">
                  <c:v>3.2222222222222223</c:v>
                </c:pt>
                <c:pt idx="117">
                  <c:v>3.2500000000000004</c:v>
                </c:pt>
                <c:pt idx="118">
                  <c:v>3.2777777777777781</c:v>
                </c:pt>
                <c:pt idx="119">
                  <c:v>3.3055555555555558</c:v>
                </c:pt>
                <c:pt idx="120">
                  <c:v>3.3333333333333335</c:v>
                </c:pt>
                <c:pt idx="121">
                  <c:v>3.3611111111111112</c:v>
                </c:pt>
                <c:pt idx="122">
                  <c:v>3.3888888888888893</c:v>
                </c:pt>
                <c:pt idx="123">
                  <c:v>3.416666666666667</c:v>
                </c:pt>
                <c:pt idx="124">
                  <c:v>3.4444444444444446</c:v>
                </c:pt>
                <c:pt idx="125">
                  <c:v>3.4722222222222223</c:v>
                </c:pt>
                <c:pt idx="126">
                  <c:v>3.5000000000000004</c:v>
                </c:pt>
                <c:pt idx="127">
                  <c:v>3.5277777777777781</c:v>
                </c:pt>
                <c:pt idx="128">
                  <c:v>3.5555555555555558</c:v>
                </c:pt>
                <c:pt idx="129">
                  <c:v>3.5833333333333335</c:v>
                </c:pt>
                <c:pt idx="130">
                  <c:v>3.6111111111111112</c:v>
                </c:pt>
                <c:pt idx="131">
                  <c:v>3.6388888888888893</c:v>
                </c:pt>
                <c:pt idx="132">
                  <c:v>3.666666666666667</c:v>
                </c:pt>
                <c:pt idx="133">
                  <c:v>3.6944444444444446</c:v>
                </c:pt>
                <c:pt idx="134">
                  <c:v>3.7222222222222223</c:v>
                </c:pt>
                <c:pt idx="135">
                  <c:v>3.7500000000000004</c:v>
                </c:pt>
                <c:pt idx="136">
                  <c:v>3.7777777777777781</c:v>
                </c:pt>
                <c:pt idx="137">
                  <c:v>3.8055555555555558</c:v>
                </c:pt>
                <c:pt idx="138">
                  <c:v>3.8333333333333335</c:v>
                </c:pt>
                <c:pt idx="139">
                  <c:v>3.8611111111111112</c:v>
                </c:pt>
                <c:pt idx="140">
                  <c:v>3.8888888888888893</c:v>
                </c:pt>
                <c:pt idx="141">
                  <c:v>3.916666666666667</c:v>
                </c:pt>
                <c:pt idx="142">
                  <c:v>3.9444444444444446</c:v>
                </c:pt>
                <c:pt idx="143">
                  <c:v>3.9722222222222223</c:v>
                </c:pt>
                <c:pt idx="144">
                  <c:v>4</c:v>
                </c:pt>
                <c:pt idx="145">
                  <c:v>4.0277777777777777</c:v>
                </c:pt>
                <c:pt idx="146">
                  <c:v>4.0555555555555562</c:v>
                </c:pt>
                <c:pt idx="147">
                  <c:v>4.0833333333333339</c:v>
                </c:pt>
                <c:pt idx="148">
                  <c:v>4.1111111111111116</c:v>
                </c:pt>
                <c:pt idx="149">
                  <c:v>4.1388888888888893</c:v>
                </c:pt>
                <c:pt idx="150">
                  <c:v>4.166666666666667</c:v>
                </c:pt>
              </c:numCache>
            </c:numRef>
          </c:xVal>
          <c:yVal>
            <c:numRef>
              <c:f>Eff_vs_IOUT!$AI$7:$AI$157</c:f>
              <c:numCache>
                <c:formatCode>General</c:formatCode>
                <c:ptCount val="151"/>
                <c:pt idx="0">
                  <c:v>0</c:v>
                </c:pt>
                <c:pt idx="1">
                  <c:v>7.8575621734463044E-3</c:v>
                </c:pt>
                <c:pt idx="2">
                  <c:v>1.5857956532581666E-2</c:v>
                </c:pt>
                <c:pt idx="3">
                  <c:v>2.3951333285119343E-2</c:v>
                </c:pt>
                <c:pt idx="4">
                  <c:v>3.2119903493453034E-2</c:v>
                </c:pt>
                <c:pt idx="5">
                  <c:v>4.0353386133979541E-2</c:v>
                </c:pt>
                <c:pt idx="6">
                  <c:v>4.8644844377947347E-2</c:v>
                </c:pt>
                <c:pt idx="7">
                  <c:v>5.6989185722910889E-2</c:v>
                </c:pt>
                <c:pt idx="8">
                  <c:v>6.5382464472418494E-2</c:v>
                </c:pt>
                <c:pt idx="9">
                  <c:v>7.3821506159521891E-2</c:v>
                </c:pt>
                <c:pt idx="10">
                  <c:v>8.2303684650837067E-2</c:v>
                </c:pt>
                <c:pt idx="11">
                  <c:v>9.0826780273578975E-2</c:v>
                </c:pt>
                <c:pt idx="12">
                  <c:v>9.9388884598602525E-2</c:v>
                </c:pt>
                <c:pt idx="13">
                  <c:v>0.10798833381924104</c:v>
                </c:pt>
                <c:pt idx="14">
                  <c:v>0.11662366054366502</c:v>
                </c:pt>
                <c:pt idx="15">
                  <c:v>0.12529355792948571</c:v>
                </c:pt>
                <c:pt idx="16">
                  <c:v>0.13399685237115463</c:v>
                </c:pt>
                <c:pt idx="17">
                  <c:v>0.14273248228303842</c:v>
                </c:pt>
                <c:pt idx="18">
                  <c:v>0.15149948133264823</c:v>
                </c:pt>
                <c:pt idx="19">
                  <c:v>0.16030317841485167</c:v>
                </c:pt>
                <c:pt idx="20">
                  <c:v>0.16916528162089131</c:v>
                </c:pt>
                <c:pt idx="21">
                  <c:v>0.17808774147988021</c:v>
                </c:pt>
                <c:pt idx="22">
                  <c:v>0.18707055799181835</c:v>
                </c:pt>
                <c:pt idx="23">
                  <c:v>0.19611373115670569</c:v>
                </c:pt>
                <c:pt idx="24">
                  <c:v>0.20521726097454229</c:v>
                </c:pt>
                <c:pt idx="25">
                  <c:v>0.21438114744532821</c:v>
                </c:pt>
                <c:pt idx="26">
                  <c:v>0.22360539056906331</c:v>
                </c:pt>
                <c:pt idx="27">
                  <c:v>0.23288999034574764</c:v>
                </c:pt>
                <c:pt idx="28">
                  <c:v>0.24223494677538127</c:v>
                </c:pt>
                <c:pt idx="29">
                  <c:v>0.25164025985796407</c:v>
                </c:pt>
                <c:pt idx="30">
                  <c:v>0.26110592959349621</c:v>
                </c:pt>
                <c:pt idx="31">
                  <c:v>0.27063195598197753</c:v>
                </c:pt>
                <c:pt idx="32">
                  <c:v>0.28021833902340815</c:v>
                </c:pt>
                <c:pt idx="33">
                  <c:v>0.28986507871778799</c:v>
                </c:pt>
                <c:pt idx="34">
                  <c:v>0.29957217506511702</c:v>
                </c:pt>
                <c:pt idx="35">
                  <c:v>0.30933962806539539</c:v>
                </c:pt>
                <c:pt idx="36">
                  <c:v>0.31916743771862294</c:v>
                </c:pt>
                <c:pt idx="37">
                  <c:v>0.32905560402479983</c:v>
                </c:pt>
                <c:pt idx="38">
                  <c:v>0.33900412698392579</c:v>
                </c:pt>
                <c:pt idx="39">
                  <c:v>0.3490130065960011</c:v>
                </c:pt>
                <c:pt idx="40">
                  <c:v>0.35908224286102564</c:v>
                </c:pt>
                <c:pt idx="41">
                  <c:v>0.36921183577899941</c:v>
                </c:pt>
                <c:pt idx="42">
                  <c:v>0.37940178534992253</c:v>
                </c:pt>
                <c:pt idx="43">
                  <c:v>0.38965209157379477</c:v>
                </c:pt>
                <c:pt idx="44">
                  <c:v>0.39996275445061635</c:v>
                </c:pt>
                <c:pt idx="45">
                  <c:v>0.41033377398038706</c:v>
                </c:pt>
                <c:pt idx="46">
                  <c:v>0.42076515016310712</c:v>
                </c:pt>
                <c:pt idx="47">
                  <c:v>0.4312568829987764</c:v>
                </c:pt>
                <c:pt idx="48">
                  <c:v>0.44180897248739481</c:v>
                </c:pt>
                <c:pt idx="49">
                  <c:v>0.45242141862896273</c:v>
                </c:pt>
                <c:pt idx="50">
                  <c:v>0.46309422142347978</c:v>
                </c:pt>
                <c:pt idx="51">
                  <c:v>0.47382738087094584</c:v>
                </c:pt>
                <c:pt idx="52">
                  <c:v>0.48462089697136146</c:v>
                </c:pt>
                <c:pt idx="53">
                  <c:v>0.49547476972472626</c:v>
                </c:pt>
                <c:pt idx="54">
                  <c:v>0.50638899913104019</c:v>
                </c:pt>
                <c:pt idx="55">
                  <c:v>0.51736358519030334</c:v>
                </c:pt>
                <c:pt idx="56">
                  <c:v>0.52839852790251585</c:v>
                </c:pt>
                <c:pt idx="57">
                  <c:v>0.53949382726767758</c:v>
                </c:pt>
                <c:pt idx="58">
                  <c:v>0.55064948328578855</c:v>
                </c:pt>
                <c:pt idx="59">
                  <c:v>0.56186549595684876</c:v>
                </c:pt>
                <c:pt idx="60">
                  <c:v>0.5731418652808582</c:v>
                </c:pt>
                <c:pt idx="61">
                  <c:v>0.58447859125781698</c:v>
                </c:pt>
                <c:pt idx="62">
                  <c:v>0.59587567388772489</c:v>
                </c:pt>
                <c:pt idx="63">
                  <c:v>0.60733311317058225</c:v>
                </c:pt>
                <c:pt idx="64">
                  <c:v>0.61885090910638862</c:v>
                </c:pt>
                <c:pt idx="65">
                  <c:v>0.63042906169514423</c:v>
                </c:pt>
                <c:pt idx="66">
                  <c:v>0.64206757093684919</c:v>
                </c:pt>
                <c:pt idx="67">
                  <c:v>0.65376643683150337</c:v>
                </c:pt>
                <c:pt idx="68">
                  <c:v>0.66552565937910679</c:v>
                </c:pt>
                <c:pt idx="69">
                  <c:v>0.67734523857965934</c:v>
                </c:pt>
                <c:pt idx="70">
                  <c:v>0.68922517443316134</c:v>
                </c:pt>
                <c:pt idx="71">
                  <c:v>0.70116546693961257</c:v>
                </c:pt>
                <c:pt idx="72">
                  <c:v>0.71316611609901281</c:v>
                </c:pt>
                <c:pt idx="73">
                  <c:v>0.72522712191136263</c:v>
                </c:pt>
                <c:pt idx="74">
                  <c:v>0.73734848437666156</c:v>
                </c:pt>
                <c:pt idx="75">
                  <c:v>0.7495302034949094</c:v>
                </c:pt>
                <c:pt idx="76">
                  <c:v>0.76177227926610702</c:v>
                </c:pt>
                <c:pt idx="77">
                  <c:v>0.77407471169025355</c:v>
                </c:pt>
                <c:pt idx="78">
                  <c:v>0.78643750076734964</c:v>
                </c:pt>
                <c:pt idx="79">
                  <c:v>0.79886064649739463</c:v>
                </c:pt>
                <c:pt idx="80">
                  <c:v>0.81134414888038908</c:v>
                </c:pt>
                <c:pt idx="81">
                  <c:v>0.82388800791633265</c:v>
                </c:pt>
                <c:pt idx="82">
                  <c:v>0.83649222360522546</c:v>
                </c:pt>
                <c:pt idx="83">
                  <c:v>0.84915679594706761</c:v>
                </c:pt>
                <c:pt idx="84">
                  <c:v>0.861881724941859</c:v>
                </c:pt>
                <c:pt idx="85">
                  <c:v>0.87466701058959961</c:v>
                </c:pt>
                <c:pt idx="86">
                  <c:v>0.88751265289028936</c:v>
                </c:pt>
                <c:pt idx="87">
                  <c:v>0.90041865184392866</c:v>
                </c:pt>
                <c:pt idx="88">
                  <c:v>0.91338500745051709</c:v>
                </c:pt>
                <c:pt idx="89">
                  <c:v>0.92641171971005432</c:v>
                </c:pt>
                <c:pt idx="90">
                  <c:v>0.93949878862254121</c:v>
                </c:pt>
                <c:pt idx="91">
                  <c:v>0.95264621418797757</c:v>
                </c:pt>
                <c:pt idx="92">
                  <c:v>0.96585399640636271</c:v>
                </c:pt>
                <c:pt idx="93">
                  <c:v>0.97912213527769731</c:v>
                </c:pt>
                <c:pt idx="94">
                  <c:v>0.99245063080198104</c:v>
                </c:pt>
                <c:pt idx="95">
                  <c:v>1.0058394829792143</c:v>
                </c:pt>
                <c:pt idx="96">
                  <c:v>1.0192886918093964</c:v>
                </c:pt>
                <c:pt idx="97">
                  <c:v>1.0327982572925281</c:v>
                </c:pt>
                <c:pt idx="98">
                  <c:v>1.046368179428609</c:v>
                </c:pt>
                <c:pt idx="99">
                  <c:v>1.0599984582176387</c:v>
                </c:pt>
                <c:pt idx="100">
                  <c:v>1.0736890936596184</c:v>
                </c:pt>
                <c:pt idx="101">
                  <c:v>1.0874400857545468</c:v>
                </c:pt>
                <c:pt idx="102">
                  <c:v>1.1012514345024242</c:v>
                </c:pt>
                <c:pt idx="103">
                  <c:v>1.1151231399032515</c:v>
                </c:pt>
                <c:pt idx="104">
                  <c:v>1.1290552019570277</c:v>
                </c:pt>
                <c:pt idx="105">
                  <c:v>1.143047620663753</c:v>
                </c:pt>
                <c:pt idx="106">
                  <c:v>1.1571003960234281</c:v>
                </c:pt>
                <c:pt idx="107">
                  <c:v>1.1712135280360523</c:v>
                </c:pt>
                <c:pt idx="108">
                  <c:v>1.1853870167016252</c:v>
                </c:pt>
                <c:pt idx="109">
                  <c:v>1.1996208620201476</c:v>
                </c:pt>
                <c:pt idx="110">
                  <c:v>1.2139150639916196</c:v>
                </c:pt>
                <c:pt idx="111">
                  <c:v>1.2282696226160403</c:v>
                </c:pt>
                <c:pt idx="112">
                  <c:v>1.2426845378934108</c:v>
                </c:pt>
                <c:pt idx="113">
                  <c:v>1.2571598098237302</c:v>
                </c:pt>
                <c:pt idx="114">
                  <c:v>1.2716954384069987</c:v>
                </c:pt>
                <c:pt idx="115">
                  <c:v>1.286291423643217</c:v>
                </c:pt>
                <c:pt idx="116">
                  <c:v>1.3009477655323838</c:v>
                </c:pt>
                <c:pt idx="117">
                  <c:v>1.3156644640745006</c:v>
                </c:pt>
                <c:pt idx="118">
                  <c:v>1.330441519269566</c:v>
                </c:pt>
                <c:pt idx="119">
                  <c:v>1.3452789311175815</c:v>
                </c:pt>
                <c:pt idx="120">
                  <c:v>1.3601766996185456</c:v>
                </c:pt>
                <c:pt idx="121">
                  <c:v>1.3751348247724589</c:v>
                </c:pt>
                <c:pt idx="122">
                  <c:v>1.3901533065793217</c:v>
                </c:pt>
                <c:pt idx="123">
                  <c:v>1.4052321450391334</c:v>
                </c:pt>
                <c:pt idx="124">
                  <c:v>1.4203713401518945</c:v>
                </c:pt>
                <c:pt idx="125">
                  <c:v>1.4355708919176049</c:v>
                </c:pt>
                <c:pt idx="126">
                  <c:v>1.4508308003362651</c:v>
                </c:pt>
                <c:pt idx="127">
                  <c:v>1.466151065407874</c:v>
                </c:pt>
                <c:pt idx="128">
                  <c:v>1.4815316871324318</c:v>
                </c:pt>
                <c:pt idx="129">
                  <c:v>1.4969726655099387</c:v>
                </c:pt>
                <c:pt idx="130">
                  <c:v>1.5124740005403958</c:v>
                </c:pt>
                <c:pt idx="131">
                  <c:v>1.5280356922238016</c:v>
                </c:pt>
                <c:pt idx="132">
                  <c:v>1.5436577405601573</c:v>
                </c:pt>
                <c:pt idx="133">
                  <c:v>1.5593401455494613</c:v>
                </c:pt>
                <c:pt idx="134">
                  <c:v>1.575082907191715</c:v>
                </c:pt>
                <c:pt idx="135">
                  <c:v>1.5908860254869182</c:v>
                </c:pt>
                <c:pt idx="136">
                  <c:v>1.6067495004350696</c:v>
                </c:pt>
                <c:pt idx="137">
                  <c:v>1.6226733320361713</c:v>
                </c:pt>
                <c:pt idx="138">
                  <c:v>1.6386575202902214</c:v>
                </c:pt>
                <c:pt idx="139">
                  <c:v>1.6547020651972222</c:v>
                </c:pt>
                <c:pt idx="140">
                  <c:v>1.6708069667571708</c:v>
                </c:pt>
                <c:pt idx="141">
                  <c:v>1.6869722249700692</c:v>
                </c:pt>
                <c:pt idx="142">
                  <c:v>1.7031978398359167</c:v>
                </c:pt>
                <c:pt idx="143">
                  <c:v>1.7194838113547135</c:v>
                </c:pt>
                <c:pt idx="144">
                  <c:v>1.7358301395264593</c:v>
                </c:pt>
                <c:pt idx="145">
                  <c:v>1.7522368243511548</c:v>
                </c:pt>
                <c:pt idx="146">
                  <c:v>1.7687038658288001</c:v>
                </c:pt>
                <c:pt idx="147">
                  <c:v>1.7852312639593937</c:v>
                </c:pt>
                <c:pt idx="148">
                  <c:v>1.801819018742937</c:v>
                </c:pt>
                <c:pt idx="149">
                  <c:v>1.8184671301794291</c:v>
                </c:pt>
                <c:pt idx="150">
                  <c:v>1.83517559826887</c:v>
                </c:pt>
              </c:numCache>
            </c:numRef>
          </c:yVal>
          <c:smooth val="1"/>
          <c:extLst>
            <c:ext xmlns:c16="http://schemas.microsoft.com/office/drawing/2014/chart" uri="{C3380CC4-5D6E-409C-BE32-E72D297353CC}">
              <c16:uniqueId val="{00000001-50A0-4BAE-A18F-D1A285C4A90E}"/>
            </c:ext>
          </c:extLst>
        </c:ser>
        <c:ser>
          <c:idx val="2"/>
          <c:order val="2"/>
          <c:tx>
            <c:v>Diode</c:v>
          </c:tx>
          <c:spPr>
            <a:ln>
              <a:solidFill>
                <a:schemeClr val="bg2">
                  <a:lumMod val="50000"/>
                </a:schemeClr>
              </a:solidFill>
              <a:prstDash val="sysDash"/>
            </a:ln>
          </c:spPr>
          <c:marker>
            <c:symbol val="none"/>
          </c:marker>
          <c:xVal>
            <c:numRef>
              <c:f>Eff_vs_IOUT!$S$7:$S$157</c:f>
              <c:numCache>
                <c:formatCode>General</c:formatCode>
                <c:ptCount val="151"/>
                <c:pt idx="0">
                  <c:v>0</c:v>
                </c:pt>
                <c:pt idx="1">
                  <c:v>2.777777777777778E-2</c:v>
                </c:pt>
                <c:pt idx="2">
                  <c:v>5.5555555555555559E-2</c:v>
                </c:pt>
                <c:pt idx="3">
                  <c:v>8.3333333333333343E-2</c:v>
                </c:pt>
                <c:pt idx="4">
                  <c:v>0.11111111111111112</c:v>
                </c:pt>
                <c:pt idx="5">
                  <c:v>0.1388888888888889</c:v>
                </c:pt>
                <c:pt idx="6">
                  <c:v>0.16666666666666669</c:v>
                </c:pt>
                <c:pt idx="7">
                  <c:v>0.19444444444444445</c:v>
                </c:pt>
                <c:pt idx="8">
                  <c:v>0.22222222222222224</c:v>
                </c:pt>
                <c:pt idx="9">
                  <c:v>0.25</c:v>
                </c:pt>
                <c:pt idx="10">
                  <c:v>0.27777777777777779</c:v>
                </c:pt>
                <c:pt idx="11">
                  <c:v>0.30555555555555558</c:v>
                </c:pt>
                <c:pt idx="12">
                  <c:v>0.33333333333333337</c:v>
                </c:pt>
                <c:pt idx="13">
                  <c:v>0.36111111111111116</c:v>
                </c:pt>
                <c:pt idx="14">
                  <c:v>0.3888888888888889</c:v>
                </c:pt>
                <c:pt idx="15">
                  <c:v>0.41666666666666669</c:v>
                </c:pt>
                <c:pt idx="16">
                  <c:v>0.44444444444444448</c:v>
                </c:pt>
                <c:pt idx="17">
                  <c:v>0.47222222222222227</c:v>
                </c:pt>
                <c:pt idx="18">
                  <c:v>0.5</c:v>
                </c:pt>
                <c:pt idx="19">
                  <c:v>0.52777777777777779</c:v>
                </c:pt>
                <c:pt idx="20">
                  <c:v>0.55555555555555558</c:v>
                </c:pt>
                <c:pt idx="21">
                  <c:v>0.58333333333333337</c:v>
                </c:pt>
                <c:pt idx="22">
                  <c:v>0.61111111111111116</c:v>
                </c:pt>
                <c:pt idx="23">
                  <c:v>0.63888888888888895</c:v>
                </c:pt>
                <c:pt idx="24">
                  <c:v>0.66666666666666674</c:v>
                </c:pt>
                <c:pt idx="25">
                  <c:v>0.69444444444444453</c:v>
                </c:pt>
                <c:pt idx="26">
                  <c:v>0.72222222222222232</c:v>
                </c:pt>
                <c:pt idx="27">
                  <c:v>0.75</c:v>
                </c:pt>
                <c:pt idx="28">
                  <c:v>0.77777777777777779</c:v>
                </c:pt>
                <c:pt idx="29">
                  <c:v>0.80555555555555558</c:v>
                </c:pt>
                <c:pt idx="30">
                  <c:v>0.83333333333333337</c:v>
                </c:pt>
                <c:pt idx="31">
                  <c:v>0.86111111111111116</c:v>
                </c:pt>
                <c:pt idx="32">
                  <c:v>0.88888888888888895</c:v>
                </c:pt>
                <c:pt idx="33">
                  <c:v>0.91666666666666674</c:v>
                </c:pt>
                <c:pt idx="34">
                  <c:v>0.94444444444444453</c:v>
                </c:pt>
                <c:pt idx="35">
                  <c:v>0.97222222222222232</c:v>
                </c:pt>
                <c:pt idx="36">
                  <c:v>1</c:v>
                </c:pt>
                <c:pt idx="37">
                  <c:v>1.0277777777777779</c:v>
                </c:pt>
                <c:pt idx="38">
                  <c:v>1.0555555555555556</c:v>
                </c:pt>
                <c:pt idx="39">
                  <c:v>1.0833333333333335</c:v>
                </c:pt>
                <c:pt idx="40">
                  <c:v>1.1111111111111112</c:v>
                </c:pt>
                <c:pt idx="41">
                  <c:v>1.1388888888888891</c:v>
                </c:pt>
                <c:pt idx="42">
                  <c:v>1.1666666666666667</c:v>
                </c:pt>
                <c:pt idx="43">
                  <c:v>1.1944444444444444</c:v>
                </c:pt>
                <c:pt idx="44">
                  <c:v>1.2222222222222223</c:v>
                </c:pt>
                <c:pt idx="45">
                  <c:v>1.25</c:v>
                </c:pt>
                <c:pt idx="46">
                  <c:v>1.2777777777777779</c:v>
                </c:pt>
                <c:pt idx="47">
                  <c:v>1.3055555555555556</c:v>
                </c:pt>
                <c:pt idx="48">
                  <c:v>1.3333333333333335</c:v>
                </c:pt>
                <c:pt idx="49">
                  <c:v>1.3611111111111112</c:v>
                </c:pt>
                <c:pt idx="50">
                  <c:v>1.3888888888888891</c:v>
                </c:pt>
                <c:pt idx="51">
                  <c:v>1.4166666666666667</c:v>
                </c:pt>
                <c:pt idx="52">
                  <c:v>1.4444444444444446</c:v>
                </c:pt>
                <c:pt idx="53">
                  <c:v>1.4722222222222223</c:v>
                </c:pt>
                <c:pt idx="54">
                  <c:v>1.5</c:v>
                </c:pt>
                <c:pt idx="55">
                  <c:v>1.5277777777777779</c:v>
                </c:pt>
                <c:pt idx="56">
                  <c:v>1.5555555555555556</c:v>
                </c:pt>
                <c:pt idx="57">
                  <c:v>1.5833333333333335</c:v>
                </c:pt>
                <c:pt idx="58">
                  <c:v>1.6111111111111112</c:v>
                </c:pt>
                <c:pt idx="59">
                  <c:v>1.6388888888888891</c:v>
                </c:pt>
                <c:pt idx="60">
                  <c:v>1.6666666666666667</c:v>
                </c:pt>
                <c:pt idx="61">
                  <c:v>1.6944444444444446</c:v>
                </c:pt>
                <c:pt idx="62">
                  <c:v>1.7222222222222223</c:v>
                </c:pt>
                <c:pt idx="63">
                  <c:v>1.7500000000000002</c:v>
                </c:pt>
                <c:pt idx="64">
                  <c:v>1.7777777777777779</c:v>
                </c:pt>
                <c:pt idx="65">
                  <c:v>1.8055555555555556</c:v>
                </c:pt>
                <c:pt idx="66">
                  <c:v>1.8333333333333335</c:v>
                </c:pt>
                <c:pt idx="67">
                  <c:v>1.8611111111111112</c:v>
                </c:pt>
                <c:pt idx="68">
                  <c:v>1.8888888888888891</c:v>
                </c:pt>
                <c:pt idx="69">
                  <c:v>1.9166666666666667</c:v>
                </c:pt>
                <c:pt idx="70">
                  <c:v>1.9444444444444446</c:v>
                </c:pt>
                <c:pt idx="71">
                  <c:v>1.9722222222222223</c:v>
                </c:pt>
                <c:pt idx="72">
                  <c:v>2</c:v>
                </c:pt>
                <c:pt idx="73">
                  <c:v>2.0277777777777781</c:v>
                </c:pt>
                <c:pt idx="74">
                  <c:v>2.0555555555555558</c:v>
                </c:pt>
                <c:pt idx="75">
                  <c:v>2.0833333333333335</c:v>
                </c:pt>
                <c:pt idx="76">
                  <c:v>2.1111111111111112</c:v>
                </c:pt>
                <c:pt idx="77">
                  <c:v>2.1388888888888888</c:v>
                </c:pt>
                <c:pt idx="78">
                  <c:v>2.166666666666667</c:v>
                </c:pt>
                <c:pt idx="79">
                  <c:v>2.1944444444444446</c:v>
                </c:pt>
                <c:pt idx="80">
                  <c:v>2.2222222222222223</c:v>
                </c:pt>
                <c:pt idx="81">
                  <c:v>2.25</c:v>
                </c:pt>
                <c:pt idx="82">
                  <c:v>2.2777777777777781</c:v>
                </c:pt>
                <c:pt idx="83">
                  <c:v>2.3055555555555558</c:v>
                </c:pt>
                <c:pt idx="84">
                  <c:v>2.3333333333333335</c:v>
                </c:pt>
                <c:pt idx="85">
                  <c:v>2.3611111111111112</c:v>
                </c:pt>
                <c:pt idx="86">
                  <c:v>2.3888888888888888</c:v>
                </c:pt>
                <c:pt idx="87">
                  <c:v>2.416666666666667</c:v>
                </c:pt>
                <c:pt idx="88">
                  <c:v>2.4444444444444446</c:v>
                </c:pt>
                <c:pt idx="89">
                  <c:v>2.4722222222222223</c:v>
                </c:pt>
                <c:pt idx="90">
                  <c:v>2.5</c:v>
                </c:pt>
                <c:pt idx="91">
                  <c:v>2.5277777777777781</c:v>
                </c:pt>
                <c:pt idx="92">
                  <c:v>2.5555555555555558</c:v>
                </c:pt>
                <c:pt idx="93">
                  <c:v>2.5833333333333335</c:v>
                </c:pt>
                <c:pt idx="94">
                  <c:v>2.6111111111111112</c:v>
                </c:pt>
                <c:pt idx="95">
                  <c:v>2.6388888888888893</c:v>
                </c:pt>
                <c:pt idx="96">
                  <c:v>2.666666666666667</c:v>
                </c:pt>
                <c:pt idx="97">
                  <c:v>2.6944444444444446</c:v>
                </c:pt>
                <c:pt idx="98">
                  <c:v>2.7222222222222223</c:v>
                </c:pt>
                <c:pt idx="99">
                  <c:v>2.75</c:v>
                </c:pt>
                <c:pt idx="100">
                  <c:v>2.7777777777777781</c:v>
                </c:pt>
                <c:pt idx="101">
                  <c:v>2.8055555555555558</c:v>
                </c:pt>
                <c:pt idx="102">
                  <c:v>2.8333333333333335</c:v>
                </c:pt>
                <c:pt idx="103">
                  <c:v>2.8611111111111112</c:v>
                </c:pt>
                <c:pt idx="104">
                  <c:v>2.8888888888888893</c:v>
                </c:pt>
                <c:pt idx="105">
                  <c:v>2.916666666666667</c:v>
                </c:pt>
                <c:pt idx="106">
                  <c:v>2.9444444444444446</c:v>
                </c:pt>
                <c:pt idx="107">
                  <c:v>2.9722222222222223</c:v>
                </c:pt>
                <c:pt idx="108">
                  <c:v>3</c:v>
                </c:pt>
                <c:pt idx="109">
                  <c:v>3.0277777777777781</c:v>
                </c:pt>
                <c:pt idx="110">
                  <c:v>3.0555555555555558</c:v>
                </c:pt>
                <c:pt idx="111">
                  <c:v>3.0833333333333335</c:v>
                </c:pt>
                <c:pt idx="112">
                  <c:v>3.1111111111111112</c:v>
                </c:pt>
                <c:pt idx="113">
                  <c:v>3.1388888888888893</c:v>
                </c:pt>
                <c:pt idx="114">
                  <c:v>3.166666666666667</c:v>
                </c:pt>
                <c:pt idx="115">
                  <c:v>3.1944444444444446</c:v>
                </c:pt>
                <c:pt idx="116">
                  <c:v>3.2222222222222223</c:v>
                </c:pt>
                <c:pt idx="117">
                  <c:v>3.2500000000000004</c:v>
                </c:pt>
                <c:pt idx="118">
                  <c:v>3.2777777777777781</c:v>
                </c:pt>
                <c:pt idx="119">
                  <c:v>3.3055555555555558</c:v>
                </c:pt>
                <c:pt idx="120">
                  <c:v>3.3333333333333335</c:v>
                </c:pt>
                <c:pt idx="121">
                  <c:v>3.3611111111111112</c:v>
                </c:pt>
                <c:pt idx="122">
                  <c:v>3.3888888888888893</c:v>
                </c:pt>
                <c:pt idx="123">
                  <c:v>3.416666666666667</c:v>
                </c:pt>
                <c:pt idx="124">
                  <c:v>3.4444444444444446</c:v>
                </c:pt>
                <c:pt idx="125">
                  <c:v>3.4722222222222223</c:v>
                </c:pt>
                <c:pt idx="126">
                  <c:v>3.5000000000000004</c:v>
                </c:pt>
                <c:pt idx="127">
                  <c:v>3.5277777777777781</c:v>
                </c:pt>
                <c:pt idx="128">
                  <c:v>3.5555555555555558</c:v>
                </c:pt>
                <c:pt idx="129">
                  <c:v>3.5833333333333335</c:v>
                </c:pt>
                <c:pt idx="130">
                  <c:v>3.6111111111111112</c:v>
                </c:pt>
                <c:pt idx="131">
                  <c:v>3.6388888888888893</c:v>
                </c:pt>
                <c:pt idx="132">
                  <c:v>3.666666666666667</c:v>
                </c:pt>
                <c:pt idx="133">
                  <c:v>3.6944444444444446</c:v>
                </c:pt>
                <c:pt idx="134">
                  <c:v>3.7222222222222223</c:v>
                </c:pt>
                <c:pt idx="135">
                  <c:v>3.7500000000000004</c:v>
                </c:pt>
                <c:pt idx="136">
                  <c:v>3.7777777777777781</c:v>
                </c:pt>
                <c:pt idx="137">
                  <c:v>3.8055555555555558</c:v>
                </c:pt>
                <c:pt idx="138">
                  <c:v>3.8333333333333335</c:v>
                </c:pt>
                <c:pt idx="139">
                  <c:v>3.8611111111111112</c:v>
                </c:pt>
                <c:pt idx="140">
                  <c:v>3.8888888888888893</c:v>
                </c:pt>
                <c:pt idx="141">
                  <c:v>3.916666666666667</c:v>
                </c:pt>
                <c:pt idx="142">
                  <c:v>3.9444444444444446</c:v>
                </c:pt>
                <c:pt idx="143">
                  <c:v>3.9722222222222223</c:v>
                </c:pt>
                <c:pt idx="144">
                  <c:v>4</c:v>
                </c:pt>
                <c:pt idx="145">
                  <c:v>4.0277777777777777</c:v>
                </c:pt>
                <c:pt idx="146">
                  <c:v>4.0555555555555562</c:v>
                </c:pt>
                <c:pt idx="147">
                  <c:v>4.0833333333333339</c:v>
                </c:pt>
                <c:pt idx="148">
                  <c:v>4.1111111111111116</c:v>
                </c:pt>
                <c:pt idx="149">
                  <c:v>4.1388888888888893</c:v>
                </c:pt>
                <c:pt idx="150">
                  <c:v>4.166666666666667</c:v>
                </c:pt>
              </c:numCache>
            </c:numRef>
          </c:xVal>
          <c:yVal>
            <c:numRef>
              <c:f>Eff_vs_IOUT!$AO$7:$AO$157</c:f>
              <c:numCache>
                <c:formatCode>General</c:formatCode>
                <c:ptCount val="151"/>
                <c:pt idx="0">
                  <c:v>0</c:v>
                </c:pt>
                <c:pt idx="1">
                  <c:v>0.36466841132179767</c:v>
                </c:pt>
                <c:pt idx="2">
                  <c:v>0.36670866397969143</c:v>
                </c:pt>
                <c:pt idx="3">
                  <c:v>0.36837400386826918</c:v>
                </c:pt>
                <c:pt idx="4">
                  <c:v>0.36986151196329631</c:v>
                </c:pt>
                <c:pt idx="5">
                  <c:v>0.37124549154446895</c:v>
                </c:pt>
                <c:pt idx="6">
                  <c:v>0.37256305140091461</c:v>
                </c:pt>
                <c:pt idx="7">
                  <c:v>0.37383565283073544</c:v>
                </c:pt>
                <c:pt idx="8">
                  <c:v>0.37507690246726538</c:v>
                </c:pt>
                <c:pt idx="9">
                  <c:v>0.37629599124419699</c:v>
                </c:pt>
                <c:pt idx="10">
                  <c:v>0.3774994221304151</c:v>
                </c:pt>
                <c:pt idx="11">
                  <c:v>0.37869196204962446</c:v>
                </c:pt>
                <c:pt idx="12">
                  <c:v>0.37987720404885095</c:v>
                </c:pt>
                <c:pt idx="13">
                  <c:v>0.38105791780988324</c:v>
                </c:pt>
                <c:pt idx="14">
                  <c:v>0.38223627794980014</c:v>
                </c:pt>
                <c:pt idx="15">
                  <c:v>0.38341401816419785</c:v>
                </c:pt>
                <c:pt idx="16">
                  <c:v>0.38459253848420077</c:v>
                </c:pt>
                <c:pt idx="17">
                  <c:v>0.38577298184572861</c:v>
                </c:pt>
                <c:pt idx="18">
                  <c:v>0.38695628997060477</c:v>
                </c:pt>
                <c:pt idx="19">
                  <c:v>0.388149830683931</c:v>
                </c:pt>
                <c:pt idx="20">
                  <c:v>0.38937748500491864</c:v>
                </c:pt>
                <c:pt idx="21">
                  <c:v>0.39064135331767585</c:v>
                </c:pt>
                <c:pt idx="22">
                  <c:v>0.39194143562220257</c:v>
                </c:pt>
                <c:pt idx="23">
                  <c:v>0.39327773191849891</c:v>
                </c:pt>
                <c:pt idx="24">
                  <c:v>0.39465024220656475</c:v>
                </c:pt>
                <c:pt idx="25">
                  <c:v>0.39605896648640015</c:v>
                </c:pt>
                <c:pt idx="26">
                  <c:v>0.39750390475800507</c:v>
                </c:pt>
                <c:pt idx="27">
                  <c:v>0.3989850570213796</c:v>
                </c:pt>
                <c:pt idx="28">
                  <c:v>0.40050242327652358</c:v>
                </c:pt>
                <c:pt idx="29">
                  <c:v>0.40205600352343718</c:v>
                </c:pt>
                <c:pt idx="30">
                  <c:v>0.40364579776212028</c:v>
                </c:pt>
                <c:pt idx="31">
                  <c:v>0.40527180599257295</c:v>
                </c:pt>
                <c:pt idx="32">
                  <c:v>0.40693402821479524</c:v>
                </c:pt>
                <c:pt idx="33">
                  <c:v>0.40863246442878698</c:v>
                </c:pt>
                <c:pt idx="34">
                  <c:v>0.41036711463454828</c:v>
                </c:pt>
                <c:pt idx="35">
                  <c:v>0.41213797883207914</c:v>
                </c:pt>
                <c:pt idx="36">
                  <c:v>0.41394505702137957</c:v>
                </c:pt>
                <c:pt idx="37">
                  <c:v>0.4157883492024495</c:v>
                </c:pt>
                <c:pt idx="38">
                  <c:v>0.41766785537528905</c:v>
                </c:pt>
                <c:pt idx="39">
                  <c:v>0.41958357553989806</c:v>
                </c:pt>
                <c:pt idx="40">
                  <c:v>0.42153550969627673</c:v>
                </c:pt>
                <c:pt idx="41">
                  <c:v>0.42352365784442481</c:v>
                </c:pt>
                <c:pt idx="42">
                  <c:v>0.42554801998434255</c:v>
                </c:pt>
                <c:pt idx="43">
                  <c:v>0.42760859611602975</c:v>
                </c:pt>
                <c:pt idx="44">
                  <c:v>0.42970538623948656</c:v>
                </c:pt>
                <c:pt idx="45">
                  <c:v>0.43183839035471289</c:v>
                </c:pt>
                <c:pt idx="46">
                  <c:v>0.43400760846170877</c:v>
                </c:pt>
                <c:pt idx="47">
                  <c:v>0.43621304056047422</c:v>
                </c:pt>
                <c:pt idx="48">
                  <c:v>0.43845468665100917</c:v>
                </c:pt>
                <c:pt idx="49">
                  <c:v>0.44073254673331375</c:v>
                </c:pt>
                <c:pt idx="50">
                  <c:v>0.44304662080738783</c:v>
                </c:pt>
                <c:pt idx="51">
                  <c:v>0.44539690887323136</c:v>
                </c:pt>
                <c:pt idx="52">
                  <c:v>0.44778341093084456</c:v>
                </c:pt>
                <c:pt idx="53">
                  <c:v>0.45020612698022733</c:v>
                </c:pt>
                <c:pt idx="54">
                  <c:v>0.4526650570213796</c:v>
                </c:pt>
                <c:pt idx="55">
                  <c:v>0.45516020105430133</c:v>
                </c:pt>
                <c:pt idx="56">
                  <c:v>0.45769155907899278</c:v>
                </c:pt>
                <c:pt idx="57">
                  <c:v>0.46025913109545363</c:v>
                </c:pt>
                <c:pt idx="58">
                  <c:v>0.4628629171036841</c:v>
                </c:pt>
                <c:pt idx="59">
                  <c:v>0.46550291710368408</c:v>
                </c:pt>
                <c:pt idx="60">
                  <c:v>0.46817913109545367</c:v>
                </c:pt>
                <c:pt idx="61">
                  <c:v>0.47089155907899277</c:v>
                </c:pt>
                <c:pt idx="62">
                  <c:v>0.47364020105430138</c:v>
                </c:pt>
                <c:pt idx="63">
                  <c:v>0.47642505702137961</c:v>
                </c:pt>
                <c:pt idx="64">
                  <c:v>0.47924612698022734</c:v>
                </c:pt>
                <c:pt idx="65">
                  <c:v>0.48210341093084458</c:v>
                </c:pt>
                <c:pt idx="66">
                  <c:v>0.48499690887323144</c:v>
                </c:pt>
                <c:pt idx="67">
                  <c:v>0.4879266208073878</c:v>
                </c:pt>
                <c:pt idx="68">
                  <c:v>0.49089254673331373</c:v>
                </c:pt>
                <c:pt idx="69">
                  <c:v>0.49389468665100922</c:v>
                </c:pt>
                <c:pt idx="70">
                  <c:v>0.49693304056047422</c:v>
                </c:pt>
                <c:pt idx="71">
                  <c:v>0.50000760846170877</c:v>
                </c:pt>
                <c:pt idx="72">
                  <c:v>0.50311839035471284</c:v>
                </c:pt>
                <c:pt idx="73">
                  <c:v>0.50626538623948658</c:v>
                </c:pt>
                <c:pt idx="74">
                  <c:v>0.50944859611602988</c:v>
                </c:pt>
                <c:pt idx="75">
                  <c:v>0.51266801998434253</c:v>
                </c:pt>
                <c:pt idx="76">
                  <c:v>0.51592365784442484</c:v>
                </c:pt>
                <c:pt idx="77">
                  <c:v>0.51921550969627672</c:v>
                </c:pt>
                <c:pt idx="78">
                  <c:v>0.52254357553989816</c:v>
                </c:pt>
                <c:pt idx="79">
                  <c:v>0.52590785537528906</c:v>
                </c:pt>
                <c:pt idx="80">
                  <c:v>0.52930834920244951</c:v>
                </c:pt>
                <c:pt idx="81">
                  <c:v>0.53274505702137953</c:v>
                </c:pt>
                <c:pt idx="82">
                  <c:v>0.53621797883207911</c:v>
                </c:pt>
                <c:pt idx="83">
                  <c:v>0.53972711463454837</c:v>
                </c:pt>
                <c:pt idx="84">
                  <c:v>0.54327246442878696</c:v>
                </c:pt>
                <c:pt idx="85">
                  <c:v>0.54685402821479523</c:v>
                </c:pt>
                <c:pt idx="86">
                  <c:v>0.55047180599257295</c:v>
                </c:pt>
                <c:pt idx="87">
                  <c:v>0.55412579776212045</c:v>
                </c:pt>
                <c:pt idx="88">
                  <c:v>0.5578160035234373</c:v>
                </c:pt>
                <c:pt idx="89">
                  <c:v>0.56154242327652359</c:v>
                </c:pt>
                <c:pt idx="90">
                  <c:v>0.56530505702137956</c:v>
                </c:pt>
                <c:pt idx="91">
                  <c:v>0.5691039047580051</c:v>
                </c:pt>
                <c:pt idx="92">
                  <c:v>0.5729389664864003</c:v>
                </c:pt>
                <c:pt idx="93">
                  <c:v>0.57681024220656485</c:v>
                </c:pt>
                <c:pt idx="94">
                  <c:v>0.58071773191849896</c:v>
                </c:pt>
                <c:pt idx="95">
                  <c:v>0.58466143562220274</c:v>
                </c:pt>
                <c:pt idx="96">
                  <c:v>0.58864135331767597</c:v>
                </c:pt>
                <c:pt idx="97">
                  <c:v>0.59265748500491877</c:v>
                </c:pt>
                <c:pt idx="98">
                  <c:v>0.59670983068393113</c:v>
                </c:pt>
                <c:pt idx="99">
                  <c:v>0.60079839035471294</c:v>
                </c:pt>
                <c:pt idx="100">
                  <c:v>0.60492316401726454</c:v>
                </c:pt>
                <c:pt idx="101">
                  <c:v>0.60908415167158536</c:v>
                </c:pt>
                <c:pt idx="102">
                  <c:v>0.61328135331767586</c:v>
                </c:pt>
                <c:pt idx="103">
                  <c:v>0.61751476895553603</c:v>
                </c:pt>
                <c:pt idx="104">
                  <c:v>0.62178439858516565</c:v>
                </c:pt>
                <c:pt idx="105">
                  <c:v>0.62609024220656473</c:v>
                </c:pt>
                <c:pt idx="106">
                  <c:v>0.63043229981973359</c:v>
                </c:pt>
                <c:pt idx="107">
                  <c:v>0.6348105714246719</c:v>
                </c:pt>
                <c:pt idx="108">
                  <c:v>0.63922505702137955</c:v>
                </c:pt>
                <c:pt idx="109">
                  <c:v>0.64367575660985699</c:v>
                </c:pt>
                <c:pt idx="110">
                  <c:v>0.64816267019010387</c:v>
                </c:pt>
                <c:pt idx="111">
                  <c:v>0.65268579776212032</c:v>
                </c:pt>
                <c:pt idx="112">
                  <c:v>0.65724513932590645</c:v>
                </c:pt>
                <c:pt idx="113">
                  <c:v>0.66184069488146191</c:v>
                </c:pt>
                <c:pt idx="114">
                  <c:v>0.66647246442878694</c:v>
                </c:pt>
                <c:pt idx="115">
                  <c:v>0.67114044796788175</c:v>
                </c:pt>
                <c:pt idx="116">
                  <c:v>0.6758446454987459</c:v>
                </c:pt>
                <c:pt idx="117">
                  <c:v>0.68058505702137961</c:v>
                </c:pt>
                <c:pt idx="118">
                  <c:v>0.685361682535783</c:v>
                </c:pt>
                <c:pt idx="119">
                  <c:v>0.69017452204195595</c:v>
                </c:pt>
                <c:pt idx="120">
                  <c:v>0.69502357553989824</c:v>
                </c:pt>
                <c:pt idx="121">
                  <c:v>0.69990884302960998</c:v>
                </c:pt>
                <c:pt idx="122">
                  <c:v>0.70483032451109162</c:v>
                </c:pt>
                <c:pt idx="123">
                  <c:v>0.7097880199843426</c:v>
                </c:pt>
                <c:pt idx="124">
                  <c:v>0.71478192944936303</c:v>
                </c:pt>
                <c:pt idx="125">
                  <c:v>0.71981205290615324</c:v>
                </c:pt>
                <c:pt idx="126">
                  <c:v>0.72487839035471324</c:v>
                </c:pt>
                <c:pt idx="127">
                  <c:v>0.72998094179504236</c:v>
                </c:pt>
                <c:pt idx="128">
                  <c:v>0.73511970722714082</c:v>
                </c:pt>
                <c:pt idx="129">
                  <c:v>0.74029468665100917</c:v>
                </c:pt>
                <c:pt idx="130">
                  <c:v>0.74550588006664709</c:v>
                </c:pt>
                <c:pt idx="131">
                  <c:v>0.75075328747405434</c:v>
                </c:pt>
                <c:pt idx="132">
                  <c:v>0.75603690887323161</c:v>
                </c:pt>
                <c:pt idx="133">
                  <c:v>0.7613567442641781</c:v>
                </c:pt>
                <c:pt idx="134">
                  <c:v>0.76671279364689404</c:v>
                </c:pt>
                <c:pt idx="135">
                  <c:v>0.77210505702137966</c:v>
                </c:pt>
                <c:pt idx="136">
                  <c:v>0.77753353438763473</c:v>
                </c:pt>
                <c:pt idx="137">
                  <c:v>0.78299822574565958</c:v>
                </c:pt>
                <c:pt idx="138">
                  <c:v>0.78849913109545366</c:v>
                </c:pt>
                <c:pt idx="139">
                  <c:v>0.79403625043701775</c:v>
                </c:pt>
                <c:pt idx="140">
                  <c:v>0.79960958377035074</c:v>
                </c:pt>
                <c:pt idx="141">
                  <c:v>0.80521913109545373</c:v>
                </c:pt>
                <c:pt idx="142">
                  <c:v>0.81086489241232618</c:v>
                </c:pt>
                <c:pt idx="143">
                  <c:v>0.81654686772096807</c:v>
                </c:pt>
                <c:pt idx="144">
                  <c:v>0.82226505702137942</c:v>
                </c:pt>
                <c:pt idx="145">
                  <c:v>0.82801946031356066</c:v>
                </c:pt>
                <c:pt idx="146">
                  <c:v>0.83381007759751158</c:v>
                </c:pt>
                <c:pt idx="147">
                  <c:v>0.83963690887323161</c:v>
                </c:pt>
                <c:pt idx="148">
                  <c:v>0.84549995414072154</c:v>
                </c:pt>
                <c:pt idx="149">
                  <c:v>0.85139921339998048</c:v>
                </c:pt>
                <c:pt idx="150">
                  <c:v>0.85733468665100943</c:v>
                </c:pt>
              </c:numCache>
            </c:numRef>
          </c:yVal>
          <c:smooth val="1"/>
          <c:extLst>
            <c:ext xmlns:c16="http://schemas.microsoft.com/office/drawing/2014/chart" uri="{C3380CC4-5D6E-409C-BE32-E72D297353CC}">
              <c16:uniqueId val="{00000002-50A0-4BAE-A18F-D1A285C4A90E}"/>
            </c:ext>
          </c:extLst>
        </c:ser>
        <c:ser>
          <c:idx val="3"/>
          <c:order val="3"/>
          <c:tx>
            <c:v>RCS</c:v>
          </c:tx>
          <c:spPr>
            <a:ln>
              <a:solidFill>
                <a:schemeClr val="accent5">
                  <a:lumMod val="75000"/>
                </a:schemeClr>
              </a:solidFill>
              <a:prstDash val="lgDashDotDot"/>
            </a:ln>
          </c:spPr>
          <c:marker>
            <c:symbol val="none"/>
          </c:marker>
          <c:xVal>
            <c:numRef>
              <c:f>Eff_vs_IOUT!$S$7:$S$157</c:f>
              <c:numCache>
                <c:formatCode>General</c:formatCode>
                <c:ptCount val="151"/>
                <c:pt idx="0">
                  <c:v>0</c:v>
                </c:pt>
                <c:pt idx="1">
                  <c:v>2.777777777777778E-2</c:v>
                </c:pt>
                <c:pt idx="2">
                  <c:v>5.5555555555555559E-2</c:v>
                </c:pt>
                <c:pt idx="3">
                  <c:v>8.3333333333333343E-2</c:v>
                </c:pt>
                <c:pt idx="4">
                  <c:v>0.11111111111111112</c:v>
                </c:pt>
                <c:pt idx="5">
                  <c:v>0.1388888888888889</c:v>
                </c:pt>
                <c:pt idx="6">
                  <c:v>0.16666666666666669</c:v>
                </c:pt>
                <c:pt idx="7">
                  <c:v>0.19444444444444445</c:v>
                </c:pt>
                <c:pt idx="8">
                  <c:v>0.22222222222222224</c:v>
                </c:pt>
                <c:pt idx="9">
                  <c:v>0.25</c:v>
                </c:pt>
                <c:pt idx="10">
                  <c:v>0.27777777777777779</c:v>
                </c:pt>
                <c:pt idx="11">
                  <c:v>0.30555555555555558</c:v>
                </c:pt>
                <c:pt idx="12">
                  <c:v>0.33333333333333337</c:v>
                </c:pt>
                <c:pt idx="13">
                  <c:v>0.36111111111111116</c:v>
                </c:pt>
                <c:pt idx="14">
                  <c:v>0.3888888888888889</c:v>
                </c:pt>
                <c:pt idx="15">
                  <c:v>0.41666666666666669</c:v>
                </c:pt>
                <c:pt idx="16">
                  <c:v>0.44444444444444448</c:v>
                </c:pt>
                <c:pt idx="17">
                  <c:v>0.47222222222222227</c:v>
                </c:pt>
                <c:pt idx="18">
                  <c:v>0.5</c:v>
                </c:pt>
                <c:pt idx="19">
                  <c:v>0.52777777777777779</c:v>
                </c:pt>
                <c:pt idx="20">
                  <c:v>0.55555555555555558</c:v>
                </c:pt>
                <c:pt idx="21">
                  <c:v>0.58333333333333337</c:v>
                </c:pt>
                <c:pt idx="22">
                  <c:v>0.61111111111111116</c:v>
                </c:pt>
                <c:pt idx="23">
                  <c:v>0.63888888888888895</c:v>
                </c:pt>
                <c:pt idx="24">
                  <c:v>0.66666666666666674</c:v>
                </c:pt>
                <c:pt idx="25">
                  <c:v>0.69444444444444453</c:v>
                </c:pt>
                <c:pt idx="26">
                  <c:v>0.72222222222222232</c:v>
                </c:pt>
                <c:pt idx="27">
                  <c:v>0.75</c:v>
                </c:pt>
                <c:pt idx="28">
                  <c:v>0.77777777777777779</c:v>
                </c:pt>
                <c:pt idx="29">
                  <c:v>0.80555555555555558</c:v>
                </c:pt>
                <c:pt idx="30">
                  <c:v>0.83333333333333337</c:v>
                </c:pt>
                <c:pt idx="31">
                  <c:v>0.86111111111111116</c:v>
                </c:pt>
                <c:pt idx="32">
                  <c:v>0.88888888888888895</c:v>
                </c:pt>
                <c:pt idx="33">
                  <c:v>0.91666666666666674</c:v>
                </c:pt>
                <c:pt idx="34">
                  <c:v>0.94444444444444453</c:v>
                </c:pt>
                <c:pt idx="35">
                  <c:v>0.97222222222222232</c:v>
                </c:pt>
                <c:pt idx="36">
                  <c:v>1</c:v>
                </c:pt>
                <c:pt idx="37">
                  <c:v>1.0277777777777779</c:v>
                </c:pt>
                <c:pt idx="38">
                  <c:v>1.0555555555555556</c:v>
                </c:pt>
                <c:pt idx="39">
                  <c:v>1.0833333333333335</c:v>
                </c:pt>
                <c:pt idx="40">
                  <c:v>1.1111111111111112</c:v>
                </c:pt>
                <c:pt idx="41">
                  <c:v>1.1388888888888891</c:v>
                </c:pt>
                <c:pt idx="42">
                  <c:v>1.1666666666666667</c:v>
                </c:pt>
                <c:pt idx="43">
                  <c:v>1.1944444444444444</c:v>
                </c:pt>
                <c:pt idx="44">
                  <c:v>1.2222222222222223</c:v>
                </c:pt>
                <c:pt idx="45">
                  <c:v>1.25</c:v>
                </c:pt>
                <c:pt idx="46">
                  <c:v>1.2777777777777779</c:v>
                </c:pt>
                <c:pt idx="47">
                  <c:v>1.3055555555555556</c:v>
                </c:pt>
                <c:pt idx="48">
                  <c:v>1.3333333333333335</c:v>
                </c:pt>
                <c:pt idx="49">
                  <c:v>1.3611111111111112</c:v>
                </c:pt>
                <c:pt idx="50">
                  <c:v>1.3888888888888891</c:v>
                </c:pt>
                <c:pt idx="51">
                  <c:v>1.4166666666666667</c:v>
                </c:pt>
                <c:pt idx="52">
                  <c:v>1.4444444444444446</c:v>
                </c:pt>
                <c:pt idx="53">
                  <c:v>1.4722222222222223</c:v>
                </c:pt>
                <c:pt idx="54">
                  <c:v>1.5</c:v>
                </c:pt>
                <c:pt idx="55">
                  <c:v>1.5277777777777779</c:v>
                </c:pt>
                <c:pt idx="56">
                  <c:v>1.5555555555555556</c:v>
                </c:pt>
                <c:pt idx="57">
                  <c:v>1.5833333333333335</c:v>
                </c:pt>
                <c:pt idx="58">
                  <c:v>1.6111111111111112</c:v>
                </c:pt>
                <c:pt idx="59">
                  <c:v>1.6388888888888891</c:v>
                </c:pt>
                <c:pt idx="60">
                  <c:v>1.6666666666666667</c:v>
                </c:pt>
                <c:pt idx="61">
                  <c:v>1.6944444444444446</c:v>
                </c:pt>
                <c:pt idx="62">
                  <c:v>1.7222222222222223</c:v>
                </c:pt>
                <c:pt idx="63">
                  <c:v>1.7500000000000002</c:v>
                </c:pt>
                <c:pt idx="64">
                  <c:v>1.7777777777777779</c:v>
                </c:pt>
                <c:pt idx="65">
                  <c:v>1.8055555555555556</c:v>
                </c:pt>
                <c:pt idx="66">
                  <c:v>1.8333333333333335</c:v>
                </c:pt>
                <c:pt idx="67">
                  <c:v>1.8611111111111112</c:v>
                </c:pt>
                <c:pt idx="68">
                  <c:v>1.8888888888888891</c:v>
                </c:pt>
                <c:pt idx="69">
                  <c:v>1.9166666666666667</c:v>
                </c:pt>
                <c:pt idx="70">
                  <c:v>1.9444444444444446</c:v>
                </c:pt>
                <c:pt idx="71">
                  <c:v>1.9722222222222223</c:v>
                </c:pt>
                <c:pt idx="72">
                  <c:v>2</c:v>
                </c:pt>
                <c:pt idx="73">
                  <c:v>2.0277777777777781</c:v>
                </c:pt>
                <c:pt idx="74">
                  <c:v>2.0555555555555558</c:v>
                </c:pt>
                <c:pt idx="75">
                  <c:v>2.0833333333333335</c:v>
                </c:pt>
                <c:pt idx="76">
                  <c:v>2.1111111111111112</c:v>
                </c:pt>
                <c:pt idx="77">
                  <c:v>2.1388888888888888</c:v>
                </c:pt>
                <c:pt idx="78">
                  <c:v>2.166666666666667</c:v>
                </c:pt>
                <c:pt idx="79">
                  <c:v>2.1944444444444446</c:v>
                </c:pt>
                <c:pt idx="80">
                  <c:v>2.2222222222222223</c:v>
                </c:pt>
                <c:pt idx="81">
                  <c:v>2.25</c:v>
                </c:pt>
                <c:pt idx="82">
                  <c:v>2.2777777777777781</c:v>
                </c:pt>
                <c:pt idx="83">
                  <c:v>2.3055555555555558</c:v>
                </c:pt>
                <c:pt idx="84">
                  <c:v>2.3333333333333335</c:v>
                </c:pt>
                <c:pt idx="85">
                  <c:v>2.3611111111111112</c:v>
                </c:pt>
                <c:pt idx="86">
                  <c:v>2.3888888888888888</c:v>
                </c:pt>
                <c:pt idx="87">
                  <c:v>2.416666666666667</c:v>
                </c:pt>
                <c:pt idx="88">
                  <c:v>2.4444444444444446</c:v>
                </c:pt>
                <c:pt idx="89">
                  <c:v>2.4722222222222223</c:v>
                </c:pt>
                <c:pt idx="90">
                  <c:v>2.5</c:v>
                </c:pt>
                <c:pt idx="91">
                  <c:v>2.5277777777777781</c:v>
                </c:pt>
                <c:pt idx="92">
                  <c:v>2.5555555555555558</c:v>
                </c:pt>
                <c:pt idx="93">
                  <c:v>2.5833333333333335</c:v>
                </c:pt>
                <c:pt idx="94">
                  <c:v>2.6111111111111112</c:v>
                </c:pt>
                <c:pt idx="95">
                  <c:v>2.6388888888888893</c:v>
                </c:pt>
                <c:pt idx="96">
                  <c:v>2.666666666666667</c:v>
                </c:pt>
                <c:pt idx="97">
                  <c:v>2.6944444444444446</c:v>
                </c:pt>
                <c:pt idx="98">
                  <c:v>2.7222222222222223</c:v>
                </c:pt>
                <c:pt idx="99">
                  <c:v>2.75</c:v>
                </c:pt>
                <c:pt idx="100">
                  <c:v>2.7777777777777781</c:v>
                </c:pt>
                <c:pt idx="101">
                  <c:v>2.8055555555555558</c:v>
                </c:pt>
                <c:pt idx="102">
                  <c:v>2.8333333333333335</c:v>
                </c:pt>
                <c:pt idx="103">
                  <c:v>2.8611111111111112</c:v>
                </c:pt>
                <c:pt idx="104">
                  <c:v>2.8888888888888893</c:v>
                </c:pt>
                <c:pt idx="105">
                  <c:v>2.916666666666667</c:v>
                </c:pt>
                <c:pt idx="106">
                  <c:v>2.9444444444444446</c:v>
                </c:pt>
                <c:pt idx="107">
                  <c:v>2.9722222222222223</c:v>
                </c:pt>
                <c:pt idx="108">
                  <c:v>3</c:v>
                </c:pt>
                <c:pt idx="109">
                  <c:v>3.0277777777777781</c:v>
                </c:pt>
                <c:pt idx="110">
                  <c:v>3.0555555555555558</c:v>
                </c:pt>
                <c:pt idx="111">
                  <c:v>3.0833333333333335</c:v>
                </c:pt>
                <c:pt idx="112">
                  <c:v>3.1111111111111112</c:v>
                </c:pt>
                <c:pt idx="113">
                  <c:v>3.1388888888888893</c:v>
                </c:pt>
                <c:pt idx="114">
                  <c:v>3.166666666666667</c:v>
                </c:pt>
                <c:pt idx="115">
                  <c:v>3.1944444444444446</c:v>
                </c:pt>
                <c:pt idx="116">
                  <c:v>3.2222222222222223</c:v>
                </c:pt>
                <c:pt idx="117">
                  <c:v>3.2500000000000004</c:v>
                </c:pt>
                <c:pt idx="118">
                  <c:v>3.2777777777777781</c:v>
                </c:pt>
                <c:pt idx="119">
                  <c:v>3.3055555555555558</c:v>
                </c:pt>
                <c:pt idx="120">
                  <c:v>3.3333333333333335</c:v>
                </c:pt>
                <c:pt idx="121">
                  <c:v>3.3611111111111112</c:v>
                </c:pt>
                <c:pt idx="122">
                  <c:v>3.3888888888888893</c:v>
                </c:pt>
                <c:pt idx="123">
                  <c:v>3.416666666666667</c:v>
                </c:pt>
                <c:pt idx="124">
                  <c:v>3.4444444444444446</c:v>
                </c:pt>
                <c:pt idx="125">
                  <c:v>3.4722222222222223</c:v>
                </c:pt>
                <c:pt idx="126">
                  <c:v>3.5000000000000004</c:v>
                </c:pt>
                <c:pt idx="127">
                  <c:v>3.5277777777777781</c:v>
                </c:pt>
                <c:pt idx="128">
                  <c:v>3.5555555555555558</c:v>
                </c:pt>
                <c:pt idx="129">
                  <c:v>3.5833333333333335</c:v>
                </c:pt>
                <c:pt idx="130">
                  <c:v>3.6111111111111112</c:v>
                </c:pt>
                <c:pt idx="131">
                  <c:v>3.6388888888888893</c:v>
                </c:pt>
                <c:pt idx="132">
                  <c:v>3.666666666666667</c:v>
                </c:pt>
                <c:pt idx="133">
                  <c:v>3.6944444444444446</c:v>
                </c:pt>
                <c:pt idx="134">
                  <c:v>3.7222222222222223</c:v>
                </c:pt>
                <c:pt idx="135">
                  <c:v>3.7500000000000004</c:v>
                </c:pt>
                <c:pt idx="136">
                  <c:v>3.7777777777777781</c:v>
                </c:pt>
                <c:pt idx="137">
                  <c:v>3.8055555555555558</c:v>
                </c:pt>
                <c:pt idx="138">
                  <c:v>3.8333333333333335</c:v>
                </c:pt>
                <c:pt idx="139">
                  <c:v>3.8611111111111112</c:v>
                </c:pt>
                <c:pt idx="140">
                  <c:v>3.8888888888888893</c:v>
                </c:pt>
                <c:pt idx="141">
                  <c:v>3.916666666666667</c:v>
                </c:pt>
                <c:pt idx="142">
                  <c:v>3.9444444444444446</c:v>
                </c:pt>
                <c:pt idx="143">
                  <c:v>3.9722222222222223</c:v>
                </c:pt>
                <c:pt idx="144">
                  <c:v>4</c:v>
                </c:pt>
                <c:pt idx="145">
                  <c:v>4.0277777777777777</c:v>
                </c:pt>
                <c:pt idx="146">
                  <c:v>4.0555555555555562</c:v>
                </c:pt>
                <c:pt idx="147">
                  <c:v>4.0833333333333339</c:v>
                </c:pt>
                <c:pt idx="148">
                  <c:v>4.1111111111111116</c:v>
                </c:pt>
                <c:pt idx="149">
                  <c:v>4.1388888888888893</c:v>
                </c:pt>
                <c:pt idx="150">
                  <c:v>4.166666666666667</c:v>
                </c:pt>
              </c:numCache>
            </c:numRef>
          </c:xVal>
          <c:yVal>
            <c:numRef>
              <c:f>Eff_vs_IOUT!$AP$7:$AP$157</c:f>
              <c:numCache>
                <c:formatCode>General</c:formatCode>
                <c:ptCount val="151"/>
                <c:pt idx="0">
                  <c:v>0</c:v>
                </c:pt>
                <c:pt idx="1">
                  <c:v>9.404383631833809E-5</c:v>
                </c:pt>
                <c:pt idx="2">
                  <c:v>2.659961375579782E-4</c:v>
                </c:pt>
                <c:pt idx="3">
                  <c:v>4.8866610792615793E-4</c:v>
                </c:pt>
                <c:pt idx="4">
                  <c:v>7.5235069054670472E-4</c:v>
                </c:pt>
                <c:pt idx="5">
                  <c:v>1.0514420543633375E-3</c:v>
                </c:pt>
                <c:pt idx="6">
                  <c:v>1.3821564746024952E-3</c:v>
                </c:pt>
                <c:pt idx="7">
                  <c:v>1.7417162226575074E-3</c:v>
                </c:pt>
                <c:pt idx="8">
                  <c:v>2.127969100463826E-3</c:v>
                </c:pt>
                <c:pt idx="9">
                  <c:v>2.5391835805951279E-3</c:v>
                </c:pt>
                <c:pt idx="10">
                  <c:v>2.9739272266601216E-3</c:v>
                </c:pt>
                <c:pt idx="11">
                  <c:v>3.4309893080487789E-3</c:v>
                </c:pt>
                <c:pt idx="12">
                  <c:v>3.9093288634092643E-3</c:v>
                </c:pt>
                <c:pt idx="13">
                  <c:v>4.4080383618324368E-3</c:v>
                </c:pt>
                <c:pt idx="14">
                  <c:v>4.9263174077749643E-3</c:v>
                </c:pt>
                <c:pt idx="15">
                  <c:v>5.4634531781156907E-3</c:v>
                </c:pt>
                <c:pt idx="16">
                  <c:v>6.0188055243736377E-3</c:v>
                </c:pt>
                <c:pt idx="17">
                  <c:v>6.5917953998397005E-3</c:v>
                </c:pt>
                <c:pt idx="18">
                  <c:v>7.1818957140654125E-3</c:v>
                </c:pt>
                <c:pt idx="19">
                  <c:v>7.7920131369785357E-3</c:v>
                </c:pt>
                <c:pt idx="20">
                  <c:v>8.4339884456205126E-3</c:v>
                </c:pt>
                <c:pt idx="21">
                  <c:v>9.108885564962076E-3</c:v>
                </c:pt>
                <c:pt idx="22">
                  <c:v>9.8167044950032301E-3</c:v>
                </c:pt>
                <c:pt idx="23">
                  <c:v>1.0557445235743972E-2</c:v>
                </c:pt>
                <c:pt idx="24">
                  <c:v>1.1331107787184297E-2</c:v>
                </c:pt>
                <c:pt idx="25">
                  <c:v>1.2137692149324215E-2</c:v>
                </c:pt>
                <c:pt idx="26">
                  <c:v>1.2977198322163722E-2</c:v>
                </c:pt>
                <c:pt idx="27">
                  <c:v>1.3849626305702818E-2</c:v>
                </c:pt>
                <c:pt idx="28">
                  <c:v>1.4754976099941502E-2</c:v>
                </c:pt>
                <c:pt idx="29">
                  <c:v>1.569324770487977E-2</c:v>
                </c:pt>
                <c:pt idx="30">
                  <c:v>1.6664441120517636E-2</c:v>
                </c:pt>
                <c:pt idx="31">
                  <c:v>1.7668556346855074E-2</c:v>
                </c:pt>
                <c:pt idx="32">
                  <c:v>1.8705593383892116E-2</c:v>
                </c:pt>
                <c:pt idx="33">
                  <c:v>1.9775552231628742E-2</c:v>
                </c:pt>
                <c:pt idx="34">
                  <c:v>2.0878432890064962E-2</c:v>
                </c:pt>
                <c:pt idx="35">
                  <c:v>2.2014235359200766E-2</c:v>
                </c:pt>
                <c:pt idx="36">
                  <c:v>2.318295963903615E-2</c:v>
                </c:pt>
                <c:pt idx="37">
                  <c:v>2.4384605729571147E-2</c:v>
                </c:pt>
                <c:pt idx="38">
                  <c:v>2.5619173630805698E-2</c:v>
                </c:pt>
                <c:pt idx="39">
                  <c:v>2.6886663342739862E-2</c:v>
                </c:pt>
                <c:pt idx="40">
                  <c:v>2.8187074865373602E-2</c:v>
                </c:pt>
                <c:pt idx="41">
                  <c:v>2.9520408198706938E-2</c:v>
                </c:pt>
                <c:pt idx="42">
                  <c:v>3.0886663342739852E-2</c:v>
                </c:pt>
                <c:pt idx="43">
                  <c:v>3.2285840297472362E-2</c:v>
                </c:pt>
                <c:pt idx="44">
                  <c:v>3.3717939062904469E-2</c:v>
                </c:pt>
                <c:pt idx="45">
                  <c:v>3.518295963903615E-2</c:v>
                </c:pt>
                <c:pt idx="46">
                  <c:v>3.6680902025867428E-2</c:v>
                </c:pt>
                <c:pt idx="47">
                  <c:v>3.8211766223398301E-2</c:v>
                </c:pt>
                <c:pt idx="48">
                  <c:v>3.9775552231628743E-2</c:v>
                </c:pt>
                <c:pt idx="49">
                  <c:v>4.1372260050558794E-2</c:v>
                </c:pt>
                <c:pt idx="50">
                  <c:v>4.3001889680188414E-2</c:v>
                </c:pt>
                <c:pt idx="51">
                  <c:v>4.4664441120517623E-2</c:v>
                </c:pt>
                <c:pt idx="52">
                  <c:v>4.6359914371546448E-2</c:v>
                </c:pt>
                <c:pt idx="53">
                  <c:v>4.8088309433274835E-2</c:v>
                </c:pt>
                <c:pt idx="54">
                  <c:v>4.9849626305702818E-2</c:v>
                </c:pt>
                <c:pt idx="55">
                  <c:v>5.1643864988830404E-2</c:v>
                </c:pt>
                <c:pt idx="56">
                  <c:v>5.3471025482657579E-2</c:v>
                </c:pt>
                <c:pt idx="57">
                  <c:v>5.5331107787184294E-2</c:v>
                </c:pt>
                <c:pt idx="58">
                  <c:v>5.7224111902410654E-2</c:v>
                </c:pt>
                <c:pt idx="59">
                  <c:v>5.9150037828336569E-2</c:v>
                </c:pt>
                <c:pt idx="60">
                  <c:v>6.1108885564962086E-2</c:v>
                </c:pt>
                <c:pt idx="61">
                  <c:v>6.3100655112287185E-2</c:v>
                </c:pt>
                <c:pt idx="62">
                  <c:v>6.5125346470311887E-2</c:v>
                </c:pt>
                <c:pt idx="63">
                  <c:v>6.7182959639036199E-2</c:v>
                </c:pt>
                <c:pt idx="64">
                  <c:v>6.9273494618460024E-2</c:v>
                </c:pt>
                <c:pt idx="65">
                  <c:v>7.1396951408583487E-2</c:v>
                </c:pt>
                <c:pt idx="66">
                  <c:v>7.3553330009406517E-2</c:v>
                </c:pt>
                <c:pt idx="67">
                  <c:v>7.5742630420929186E-2</c:v>
                </c:pt>
                <c:pt idx="68">
                  <c:v>7.7964852643151394E-2</c:v>
                </c:pt>
                <c:pt idx="69">
                  <c:v>8.0219996676073185E-2</c:v>
                </c:pt>
                <c:pt idx="70">
                  <c:v>8.2508062519694614E-2</c:v>
                </c:pt>
                <c:pt idx="71">
                  <c:v>8.4829050174015597E-2</c:v>
                </c:pt>
                <c:pt idx="72">
                  <c:v>8.7182959639036134E-2</c:v>
                </c:pt>
                <c:pt idx="73">
                  <c:v>8.956979091475635E-2</c:v>
                </c:pt>
                <c:pt idx="74">
                  <c:v>9.1989544001176107E-2</c:v>
                </c:pt>
                <c:pt idx="75">
                  <c:v>9.4442218898295405E-2</c:v>
                </c:pt>
                <c:pt idx="76">
                  <c:v>9.6927815606114354E-2</c:v>
                </c:pt>
                <c:pt idx="77">
                  <c:v>9.9446334124632871E-2</c:v>
                </c:pt>
                <c:pt idx="78">
                  <c:v>0.10199777445385098</c:v>
                </c:pt>
                <c:pt idx="79">
                  <c:v>0.10458213659376868</c:v>
                </c:pt>
                <c:pt idx="80">
                  <c:v>0.10719942054438597</c:v>
                </c:pt>
                <c:pt idx="81">
                  <c:v>0.10984962630570282</c:v>
                </c:pt>
                <c:pt idx="82">
                  <c:v>0.11253275387771929</c:v>
                </c:pt>
                <c:pt idx="83">
                  <c:v>0.11524880326043538</c:v>
                </c:pt>
                <c:pt idx="84">
                  <c:v>0.11799777445385096</c:v>
                </c:pt>
                <c:pt idx="85">
                  <c:v>0.12077966745796621</c:v>
                </c:pt>
                <c:pt idx="86">
                  <c:v>0.12359448227278098</c:v>
                </c:pt>
                <c:pt idx="87">
                  <c:v>0.12644221889829543</c:v>
                </c:pt>
                <c:pt idx="88">
                  <c:v>0.12932287733450945</c:v>
                </c:pt>
                <c:pt idx="89">
                  <c:v>0.13223645758142299</c:v>
                </c:pt>
                <c:pt idx="90">
                  <c:v>0.1351829596390362</c:v>
                </c:pt>
                <c:pt idx="91">
                  <c:v>0.13816238350734891</c:v>
                </c:pt>
                <c:pt idx="92">
                  <c:v>0.14117472918636129</c:v>
                </c:pt>
                <c:pt idx="93">
                  <c:v>0.14421999667607321</c:v>
                </c:pt>
                <c:pt idx="94">
                  <c:v>0.14729818597648475</c:v>
                </c:pt>
                <c:pt idx="95">
                  <c:v>0.15040929708759584</c:v>
                </c:pt>
                <c:pt idx="96">
                  <c:v>0.15355333000940652</c:v>
                </c:pt>
                <c:pt idx="97">
                  <c:v>0.15673028474191686</c:v>
                </c:pt>
                <c:pt idx="98">
                  <c:v>0.15994016128512673</c:v>
                </c:pt>
                <c:pt idx="99">
                  <c:v>0.16318295963903615</c:v>
                </c:pt>
                <c:pt idx="100">
                  <c:v>0.16645867980364523</c:v>
                </c:pt>
                <c:pt idx="101">
                  <c:v>0.1697673217789539</c:v>
                </c:pt>
                <c:pt idx="102">
                  <c:v>0.17310888556496207</c:v>
                </c:pt>
                <c:pt idx="103">
                  <c:v>0.17648337116166993</c:v>
                </c:pt>
                <c:pt idx="104">
                  <c:v>0.17989077856907737</c:v>
                </c:pt>
                <c:pt idx="105">
                  <c:v>0.18333110778718428</c:v>
                </c:pt>
                <c:pt idx="106">
                  <c:v>0.18680435881599089</c:v>
                </c:pt>
                <c:pt idx="107">
                  <c:v>0.19031053165549713</c:v>
                </c:pt>
                <c:pt idx="108">
                  <c:v>0.19384962630570279</c:v>
                </c:pt>
                <c:pt idx="109">
                  <c:v>0.1974216427666082</c:v>
                </c:pt>
                <c:pt idx="110">
                  <c:v>0.20102658103821319</c:v>
                </c:pt>
                <c:pt idx="111">
                  <c:v>0.20466444112051757</c:v>
                </c:pt>
                <c:pt idx="112">
                  <c:v>0.20833522301352184</c:v>
                </c:pt>
                <c:pt idx="113">
                  <c:v>0.21203892671722549</c:v>
                </c:pt>
                <c:pt idx="114">
                  <c:v>0.2157755522316287</c:v>
                </c:pt>
                <c:pt idx="115">
                  <c:v>0.21954509955673165</c:v>
                </c:pt>
                <c:pt idx="116">
                  <c:v>0.22334756869253414</c:v>
                </c:pt>
                <c:pt idx="117">
                  <c:v>0.22718295963903623</c:v>
                </c:pt>
                <c:pt idx="118">
                  <c:v>0.23105127239623782</c:v>
                </c:pt>
                <c:pt idx="119">
                  <c:v>0.23495250696413914</c:v>
                </c:pt>
                <c:pt idx="120">
                  <c:v>0.23888666334273992</c:v>
                </c:pt>
                <c:pt idx="121">
                  <c:v>0.24285374153204028</c:v>
                </c:pt>
                <c:pt idx="122">
                  <c:v>0.24685374153204032</c:v>
                </c:pt>
                <c:pt idx="123">
                  <c:v>0.25088666334273985</c:v>
                </c:pt>
                <c:pt idx="124">
                  <c:v>0.25495250696413896</c:v>
                </c:pt>
                <c:pt idx="125">
                  <c:v>0.25905127239623787</c:v>
                </c:pt>
                <c:pt idx="126">
                  <c:v>0.26318295963903632</c:v>
                </c:pt>
                <c:pt idx="127">
                  <c:v>0.26734756869253412</c:v>
                </c:pt>
                <c:pt idx="128">
                  <c:v>0.27154509955673162</c:v>
                </c:pt>
                <c:pt idx="129">
                  <c:v>0.27577555223162864</c:v>
                </c:pt>
                <c:pt idx="130">
                  <c:v>0.28003892671722541</c:v>
                </c:pt>
                <c:pt idx="131">
                  <c:v>0.28433522301352177</c:v>
                </c:pt>
                <c:pt idx="132">
                  <c:v>0.2886644411205177</c:v>
                </c:pt>
                <c:pt idx="133">
                  <c:v>0.29302658103821316</c:v>
                </c:pt>
                <c:pt idx="134">
                  <c:v>0.29742164276660826</c:v>
                </c:pt>
                <c:pt idx="135">
                  <c:v>0.30184962630570283</c:v>
                </c:pt>
                <c:pt idx="136">
                  <c:v>0.3063105316554971</c:v>
                </c:pt>
                <c:pt idx="137">
                  <c:v>0.310804358815991</c:v>
                </c:pt>
                <c:pt idx="138">
                  <c:v>0.31533110778718421</c:v>
                </c:pt>
                <c:pt idx="139">
                  <c:v>0.31989077856907738</c:v>
                </c:pt>
                <c:pt idx="140">
                  <c:v>0.32448337116166992</c:v>
                </c:pt>
                <c:pt idx="141">
                  <c:v>0.32910888556496204</c:v>
                </c:pt>
                <c:pt idx="142">
                  <c:v>0.33376732177895385</c:v>
                </c:pt>
                <c:pt idx="143">
                  <c:v>0.33845867980364525</c:v>
                </c:pt>
                <c:pt idx="144">
                  <c:v>0.34318295963903611</c:v>
                </c:pt>
                <c:pt idx="145">
                  <c:v>0.34794016128512667</c:v>
                </c:pt>
                <c:pt idx="146">
                  <c:v>0.35273028474191692</c:v>
                </c:pt>
                <c:pt idx="147">
                  <c:v>0.3575533300094067</c:v>
                </c:pt>
                <c:pt idx="148">
                  <c:v>0.36240929708759601</c:v>
                </c:pt>
                <c:pt idx="149">
                  <c:v>0.36729818597648484</c:v>
                </c:pt>
                <c:pt idx="150">
                  <c:v>0.37221999667607319</c:v>
                </c:pt>
              </c:numCache>
            </c:numRef>
          </c:yVal>
          <c:smooth val="1"/>
          <c:extLst>
            <c:ext xmlns:c16="http://schemas.microsoft.com/office/drawing/2014/chart" uri="{C3380CC4-5D6E-409C-BE32-E72D297353CC}">
              <c16:uniqueId val="{00000003-50A0-4BAE-A18F-D1A285C4A90E}"/>
            </c:ext>
          </c:extLst>
        </c:ser>
        <c:dLbls>
          <c:showLegendKey val="0"/>
          <c:showVal val="0"/>
          <c:showCatName val="0"/>
          <c:showSerName val="0"/>
          <c:showPercent val="0"/>
          <c:showBubbleSize val="0"/>
        </c:dLbls>
        <c:axId val="555656704"/>
        <c:axId val="555646336"/>
      </c:scatterChart>
      <c:valAx>
        <c:axId val="555642880"/>
        <c:scaling>
          <c:orientation val="minMax"/>
        </c:scaling>
        <c:delete val="0"/>
        <c:axPos val="b"/>
        <c:majorGridlines/>
        <c:numFmt formatCode="General" sourceLinked="1"/>
        <c:majorTickMark val="out"/>
        <c:minorTickMark val="none"/>
        <c:tickLblPos val="nextTo"/>
        <c:crossAx val="555644416"/>
        <c:crosses val="autoZero"/>
        <c:crossBetween val="midCat"/>
      </c:valAx>
      <c:valAx>
        <c:axId val="555644416"/>
        <c:scaling>
          <c:orientation val="minMax"/>
          <c:max val="100"/>
          <c:min val="60"/>
        </c:scaling>
        <c:delete val="0"/>
        <c:axPos val="l"/>
        <c:majorGridlines/>
        <c:title>
          <c:tx>
            <c:rich>
              <a:bodyPr rot="-5400000" vert="horz"/>
              <a:lstStyle/>
              <a:p>
                <a:pPr>
                  <a:defRPr sz="1400"/>
                </a:pPr>
                <a:r>
                  <a:rPr lang="en-US" sz="1400"/>
                  <a:t>Efficiency</a:t>
                </a:r>
                <a:r>
                  <a:rPr lang="en-US" sz="1400" baseline="0"/>
                  <a:t> (%)</a:t>
                </a:r>
                <a:endParaRPr lang="en-US" sz="1400"/>
              </a:p>
            </c:rich>
          </c:tx>
          <c:overlay val="0"/>
        </c:title>
        <c:numFmt formatCode="General" sourceLinked="1"/>
        <c:majorTickMark val="out"/>
        <c:minorTickMark val="none"/>
        <c:tickLblPos val="nextTo"/>
        <c:crossAx val="555642880"/>
        <c:crosses val="autoZero"/>
        <c:crossBetween val="midCat"/>
      </c:valAx>
      <c:valAx>
        <c:axId val="555646336"/>
        <c:scaling>
          <c:orientation val="minMax"/>
        </c:scaling>
        <c:delete val="0"/>
        <c:axPos val="r"/>
        <c:title>
          <c:tx>
            <c:rich>
              <a:bodyPr rot="-5400000" vert="horz"/>
              <a:lstStyle/>
              <a:p>
                <a:pPr>
                  <a:defRPr sz="1400"/>
                </a:pPr>
                <a:r>
                  <a:rPr lang="en-US" sz="1400"/>
                  <a:t>Losses</a:t>
                </a:r>
                <a:r>
                  <a:rPr lang="en-US" sz="1400" baseline="0"/>
                  <a:t> (W)</a:t>
                </a:r>
                <a:endParaRPr lang="en-US" sz="1400"/>
              </a:p>
            </c:rich>
          </c:tx>
          <c:overlay val="0"/>
        </c:title>
        <c:numFmt formatCode="General" sourceLinked="1"/>
        <c:majorTickMark val="out"/>
        <c:minorTickMark val="none"/>
        <c:tickLblPos val="nextTo"/>
        <c:crossAx val="555656704"/>
        <c:crosses val="max"/>
        <c:crossBetween val="midCat"/>
      </c:valAx>
      <c:valAx>
        <c:axId val="555656704"/>
        <c:scaling>
          <c:orientation val="minMax"/>
        </c:scaling>
        <c:delete val="1"/>
        <c:axPos val="b"/>
        <c:title>
          <c:tx>
            <c:rich>
              <a:bodyPr/>
              <a:lstStyle/>
              <a:p>
                <a:pPr>
                  <a:defRPr/>
                </a:pPr>
                <a:r>
                  <a:rPr lang="en-US"/>
                  <a:t>Loac</a:t>
                </a:r>
                <a:r>
                  <a:rPr lang="en-US" baseline="0"/>
                  <a:t> Current (A)</a:t>
                </a:r>
                <a:endParaRPr lang="en-US"/>
              </a:p>
            </c:rich>
          </c:tx>
          <c:overlay val="0"/>
        </c:title>
        <c:numFmt formatCode="General" sourceLinked="1"/>
        <c:majorTickMark val="out"/>
        <c:minorTickMark val="none"/>
        <c:tickLblPos val="nextTo"/>
        <c:crossAx val="555646336"/>
        <c:crosses val="autoZero"/>
        <c:crossBetween val="midCat"/>
      </c:valAx>
    </c:plotArea>
    <c:legend>
      <c:legendPos val="r"/>
      <c:layout>
        <c:manualLayout>
          <c:xMode val="edge"/>
          <c:yMode val="edge"/>
          <c:x val="0.51894403926190358"/>
          <c:y val="6.4862204724409449E-3"/>
          <c:w val="0.39609572935704079"/>
          <c:h val="0.12183653099700564"/>
        </c:manualLayout>
      </c:layout>
      <c:overlay val="1"/>
    </c:legend>
    <c:plotVisOnly val="1"/>
    <c:dispBlanksAs val="gap"/>
    <c:showDLblsOverMax val="0"/>
  </c:chart>
  <c:spPr>
    <a:ln>
      <a:noFill/>
    </a:ln>
  </c:spPr>
  <c:printSettings>
    <c:headerFooter/>
    <c:pageMargins b="0.75" l="0.7" r="0.7" t="0.75" header="0.3" footer="0.3"/>
    <c:pageSetup/>
  </c:printSettings>
</c:chartSpace>
</file>

<file path=xl/ctrlProps/ctrlProp1.xml><?xml version="1.0" encoding="utf-8"?>
<formControlPr xmlns="http://schemas.microsoft.com/office/spreadsheetml/2009/9/main" objectType="Spin" dx="20" fmlaLink="$H$8" max="45" noThreeD="1" page="10" val="9"/>
</file>

<file path=xl/drawings/_rels/drawing1.xml.rels><?xml version="1.0" encoding="UTF-8" standalone="yes"?>
<Relationships xmlns="http://schemas.openxmlformats.org/package/2006/relationships"><Relationship Id="rId3" Type="http://schemas.openxmlformats.org/officeDocument/2006/relationships/image" Target="../media/image1.emf"/><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8" Type="http://schemas.openxmlformats.org/officeDocument/2006/relationships/chart" Target="../charts/chart10.xml"/><Relationship Id="rId3" Type="http://schemas.openxmlformats.org/officeDocument/2006/relationships/image" Target="../media/image5.png"/><Relationship Id="rId7" Type="http://schemas.openxmlformats.org/officeDocument/2006/relationships/chart" Target="../charts/chart9.xml"/><Relationship Id="rId2" Type="http://schemas.openxmlformats.org/officeDocument/2006/relationships/image" Target="../media/image4.png"/><Relationship Id="rId1" Type="http://schemas.openxmlformats.org/officeDocument/2006/relationships/chart" Target="../charts/chart5.xml"/><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_rels/drawing5.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5.vml.rels><?xml version="1.0" encoding="UTF-8" standalone="yes"?>
<Relationships xmlns="http://schemas.openxmlformats.org/package/2006/relationships"><Relationship Id="rId3" Type="http://schemas.openxmlformats.org/officeDocument/2006/relationships/image" Target="../media/image10.emf"/><Relationship Id="rId2" Type="http://schemas.openxmlformats.org/officeDocument/2006/relationships/image" Target="../media/image9.emf"/><Relationship Id="rId1" Type="http://schemas.openxmlformats.org/officeDocument/2006/relationships/image" Target="../media/image8.emf"/></Relationships>
</file>

<file path=xl/drawings/drawing1.xml><?xml version="1.0" encoding="utf-8"?>
<xdr:wsDr xmlns:xdr="http://schemas.openxmlformats.org/drawingml/2006/spreadsheetDrawing" xmlns:a="http://schemas.openxmlformats.org/drawingml/2006/main">
  <xdr:twoCellAnchor>
    <xdr:from>
      <xdr:col>9</xdr:col>
      <xdr:colOff>75154</xdr:colOff>
      <xdr:row>45</xdr:row>
      <xdr:rowOff>164353</xdr:rowOff>
    </xdr:from>
    <xdr:to>
      <xdr:col>25</xdr:col>
      <xdr:colOff>478118</xdr:colOff>
      <xdr:row>69</xdr:row>
      <xdr:rowOff>182732</xdr:rowOff>
    </xdr:to>
    <xdr:graphicFrame macro="">
      <xdr:nvGraphicFramePr>
        <xdr:cNvPr id="2" name="Chart 1">
          <a:extLst>
            <a:ext uri="{FF2B5EF4-FFF2-40B4-BE49-F238E27FC236}">
              <a16:creationId xmlns:a16="http://schemas.microsoft.com/office/drawing/2014/main" id="{00000000-0008-0000-0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xdr:from>
          <xdr:col>7</xdr:col>
          <xdr:colOff>563880</xdr:colOff>
          <xdr:row>53</xdr:row>
          <xdr:rowOff>0</xdr:rowOff>
        </xdr:from>
        <xdr:to>
          <xdr:col>8</xdr:col>
          <xdr:colOff>7620</xdr:colOff>
          <xdr:row>55</xdr:row>
          <xdr:rowOff>0</xdr:rowOff>
        </xdr:to>
        <xdr:sp macro="" textlink="">
          <xdr:nvSpPr>
            <xdr:cNvPr id="1060" name="Spinner 36" hidden="1">
              <a:extLst>
                <a:ext uri="{63B3BB69-23CF-44E3-9099-C40C66FF867C}">
                  <a14:compatExt spid="_x0000_s1060"/>
                </a:ext>
                <a:ext uri="{FF2B5EF4-FFF2-40B4-BE49-F238E27FC236}">
                  <a16:creationId xmlns:a16="http://schemas.microsoft.com/office/drawing/2014/main" id="{00000000-0008-0000-0000-000024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14</xdr:col>
      <xdr:colOff>508019</xdr:colOff>
      <xdr:row>45</xdr:row>
      <xdr:rowOff>55281</xdr:rowOff>
    </xdr:from>
    <xdr:to>
      <xdr:col>16</xdr:col>
      <xdr:colOff>237584</xdr:colOff>
      <xdr:row>47</xdr:row>
      <xdr:rowOff>124011</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8710725" y="9453281"/>
          <a:ext cx="954741" cy="48708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t>V</a:t>
          </a:r>
          <a:r>
            <a:rPr lang="en-US" sz="2400" baseline="-25000"/>
            <a:t>IN</a:t>
          </a:r>
          <a:r>
            <a:rPr lang="en-US" sz="2400"/>
            <a:t> =</a:t>
          </a:r>
        </a:p>
      </xdr:txBody>
    </xdr:sp>
    <xdr:clientData/>
  </xdr:twoCellAnchor>
  <xdr:twoCellAnchor>
    <xdr:from>
      <xdr:col>16</xdr:col>
      <xdr:colOff>77712</xdr:colOff>
      <xdr:row>45</xdr:row>
      <xdr:rowOff>64247</xdr:rowOff>
    </xdr:from>
    <xdr:to>
      <xdr:col>17</xdr:col>
      <xdr:colOff>409405</xdr:colOff>
      <xdr:row>47</xdr:row>
      <xdr:rowOff>132978</xdr:rowOff>
    </xdr:to>
    <xdr:sp macro="" textlink="VIN_nom">
      <xdr:nvSpPr>
        <xdr:cNvPr id="3" name="TextBox 2">
          <a:extLst>
            <a:ext uri="{FF2B5EF4-FFF2-40B4-BE49-F238E27FC236}">
              <a16:creationId xmlns:a16="http://schemas.microsoft.com/office/drawing/2014/main" id="{00000000-0008-0000-0000-000003000000}"/>
            </a:ext>
          </a:extLst>
        </xdr:cNvPr>
        <xdr:cNvSpPr txBox="1"/>
      </xdr:nvSpPr>
      <xdr:spPr>
        <a:xfrm>
          <a:off x="9505594" y="9462247"/>
          <a:ext cx="944282" cy="48708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B6E0D9B-34B5-4A81-8CB9-A88F658AFD78}" type="TxLink">
            <a:rPr lang="en-US" sz="2400" b="0" i="0" u="none" strike="noStrike">
              <a:solidFill>
                <a:srgbClr val="000000"/>
              </a:solidFill>
              <a:latin typeface="Calibri"/>
            </a:rPr>
            <a:pPr/>
            <a:t>9</a:t>
          </a:fld>
          <a:endParaRPr lang="en-US" sz="2400"/>
        </a:p>
      </xdr:txBody>
    </xdr:sp>
    <xdr:clientData/>
  </xdr:twoCellAnchor>
  <xdr:twoCellAnchor>
    <xdr:from>
      <xdr:col>17</xdr:col>
      <xdr:colOff>152439</xdr:colOff>
      <xdr:row>45</xdr:row>
      <xdr:rowOff>55281</xdr:rowOff>
    </xdr:from>
    <xdr:to>
      <xdr:col>18</xdr:col>
      <xdr:colOff>505051</xdr:colOff>
      <xdr:row>47</xdr:row>
      <xdr:rowOff>124011</xdr:rowOff>
    </xdr:to>
    <xdr:sp macro="" textlink="">
      <xdr:nvSpPr>
        <xdr:cNvPr id="12" name="TextBox 11">
          <a:extLst>
            <a:ext uri="{FF2B5EF4-FFF2-40B4-BE49-F238E27FC236}">
              <a16:creationId xmlns:a16="http://schemas.microsoft.com/office/drawing/2014/main" id="{00000000-0008-0000-0000-00000C000000}"/>
            </a:ext>
          </a:extLst>
        </xdr:cNvPr>
        <xdr:cNvSpPr txBox="1"/>
      </xdr:nvSpPr>
      <xdr:spPr>
        <a:xfrm>
          <a:off x="10192910" y="9453281"/>
          <a:ext cx="965200" cy="48708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t>V</a:t>
          </a:r>
        </a:p>
      </xdr:txBody>
    </xdr:sp>
    <xdr:clientData/>
  </xdr:twoCellAnchor>
  <xdr:twoCellAnchor>
    <xdr:from>
      <xdr:col>9</xdr:col>
      <xdr:colOff>49696</xdr:colOff>
      <xdr:row>71</xdr:row>
      <xdr:rowOff>55217</xdr:rowOff>
    </xdr:from>
    <xdr:to>
      <xdr:col>25</xdr:col>
      <xdr:colOff>480392</xdr:colOff>
      <xdr:row>93</xdr:row>
      <xdr:rowOff>82826</xdr:rowOff>
    </xdr:to>
    <xdr:graphicFrame macro="">
      <xdr:nvGraphicFramePr>
        <xdr:cNvPr id="7" name="Chart 6">
          <a:extLst>
            <a:ext uri="{FF2B5EF4-FFF2-40B4-BE49-F238E27FC236}">
              <a16:creationId xmlns:a16="http://schemas.microsoft.com/office/drawing/2014/main" id="{00000000-0008-0000-00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118899</xdr:colOff>
      <xdr:row>71</xdr:row>
      <xdr:rowOff>71846</xdr:rowOff>
    </xdr:from>
    <xdr:to>
      <xdr:col>15</xdr:col>
      <xdr:colOff>466899</xdr:colOff>
      <xdr:row>73</xdr:row>
      <xdr:rowOff>79838</xdr:rowOff>
    </xdr:to>
    <xdr:sp macro="" textlink="">
      <xdr:nvSpPr>
        <xdr:cNvPr id="8" name="TextBox 7">
          <a:extLst>
            <a:ext uri="{FF2B5EF4-FFF2-40B4-BE49-F238E27FC236}">
              <a16:creationId xmlns:a16="http://schemas.microsoft.com/office/drawing/2014/main" id="{00000000-0008-0000-0000-000008000000}"/>
            </a:ext>
          </a:extLst>
        </xdr:cNvPr>
        <xdr:cNvSpPr txBox="1"/>
      </xdr:nvSpPr>
      <xdr:spPr>
        <a:xfrm>
          <a:off x="8390464" y="14621629"/>
          <a:ext cx="966435" cy="48838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t>V</a:t>
          </a:r>
          <a:r>
            <a:rPr lang="en-US" sz="2400" baseline="-25000"/>
            <a:t>IN</a:t>
          </a:r>
          <a:r>
            <a:rPr lang="en-US" sz="2400"/>
            <a:t> =</a:t>
          </a:r>
        </a:p>
      </xdr:txBody>
    </xdr:sp>
    <xdr:clientData/>
  </xdr:twoCellAnchor>
  <xdr:twoCellAnchor>
    <xdr:from>
      <xdr:col>15</xdr:col>
      <xdr:colOff>307027</xdr:colOff>
      <xdr:row>71</xdr:row>
      <xdr:rowOff>80812</xdr:rowOff>
    </xdr:from>
    <xdr:to>
      <xdr:col>17</xdr:col>
      <xdr:colOff>20285</xdr:colOff>
      <xdr:row>73</xdr:row>
      <xdr:rowOff>88805</xdr:rowOff>
    </xdr:to>
    <xdr:sp macro="" textlink="VIN_nom">
      <xdr:nvSpPr>
        <xdr:cNvPr id="9" name="TextBox 8">
          <a:extLst>
            <a:ext uri="{FF2B5EF4-FFF2-40B4-BE49-F238E27FC236}">
              <a16:creationId xmlns:a16="http://schemas.microsoft.com/office/drawing/2014/main" id="{00000000-0008-0000-0000-000009000000}"/>
            </a:ext>
          </a:extLst>
        </xdr:cNvPr>
        <xdr:cNvSpPr txBox="1"/>
      </xdr:nvSpPr>
      <xdr:spPr>
        <a:xfrm>
          <a:off x="9197027" y="14630595"/>
          <a:ext cx="950128" cy="48838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B6E0D9B-34B5-4A81-8CB9-A88F658AFD78}" type="TxLink">
            <a:rPr lang="en-US" sz="2400" b="0" i="0" u="none" strike="noStrike">
              <a:solidFill>
                <a:srgbClr val="000000"/>
              </a:solidFill>
              <a:latin typeface="Calibri"/>
              <a:cs typeface="Calibri"/>
            </a:rPr>
            <a:pPr/>
            <a:t>9</a:t>
          </a:fld>
          <a:endParaRPr lang="en-US" sz="2400"/>
        </a:p>
      </xdr:txBody>
    </xdr:sp>
    <xdr:clientData/>
  </xdr:twoCellAnchor>
  <xdr:twoCellAnchor>
    <xdr:from>
      <xdr:col>16</xdr:col>
      <xdr:colOff>80660</xdr:colOff>
      <xdr:row>71</xdr:row>
      <xdr:rowOff>88411</xdr:rowOff>
    </xdr:from>
    <xdr:to>
      <xdr:col>17</xdr:col>
      <xdr:colOff>433271</xdr:colOff>
      <xdr:row>73</xdr:row>
      <xdr:rowOff>96403</xdr:rowOff>
    </xdr:to>
    <xdr:sp macro="" textlink="">
      <xdr:nvSpPr>
        <xdr:cNvPr id="10" name="TextBox 9">
          <a:extLst>
            <a:ext uri="{FF2B5EF4-FFF2-40B4-BE49-F238E27FC236}">
              <a16:creationId xmlns:a16="http://schemas.microsoft.com/office/drawing/2014/main" id="{00000000-0008-0000-0000-00000A000000}"/>
            </a:ext>
          </a:extLst>
        </xdr:cNvPr>
        <xdr:cNvSpPr txBox="1"/>
      </xdr:nvSpPr>
      <xdr:spPr>
        <a:xfrm>
          <a:off x="9589095" y="14638194"/>
          <a:ext cx="971046" cy="48838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t>V</a:t>
          </a:r>
        </a:p>
      </xdr:txBody>
    </xdr:sp>
    <xdr:clientData/>
  </xdr:twoCellAnchor>
  <mc:AlternateContent xmlns:mc="http://schemas.openxmlformats.org/markup-compatibility/2006">
    <mc:Choice xmlns:a14="http://schemas.microsoft.com/office/drawing/2010/main" Requires="a14">
      <xdr:twoCellAnchor editAs="oneCell">
        <xdr:from>
          <xdr:col>10</xdr:col>
          <xdr:colOff>397695</xdr:colOff>
          <xdr:row>12</xdr:row>
          <xdr:rowOff>58159</xdr:rowOff>
        </xdr:from>
        <xdr:to>
          <xdr:col>25</xdr:col>
          <xdr:colOff>209669</xdr:colOff>
          <xdr:row>35</xdr:row>
          <xdr:rowOff>134695</xdr:rowOff>
        </xdr:to>
        <xdr:pic>
          <xdr:nvPicPr>
            <xdr:cNvPr id="6" name="Picture 5">
              <a:extLst>
                <a:ext uri="{FF2B5EF4-FFF2-40B4-BE49-F238E27FC236}">
                  <a16:creationId xmlns:a16="http://schemas.microsoft.com/office/drawing/2014/main" id="{534AD5BD-EF99-4BC9-8F71-72077514D072}"/>
                </a:ext>
              </a:extLst>
            </xdr:cNvPr>
            <xdr:cNvPicPr>
              <a:picLocks noChangeAspect="1"/>
              <a:extLst>
                <a:ext uri="{84589F7E-364E-4C9E-8A38-B11213B215E9}">
                  <a14:cameraTool cellRange="SCH" spid="_x0000_s1091"/>
                </a:ext>
              </a:extLst>
            </xdr:cNvPicPr>
          </xdr:nvPicPr>
          <xdr:blipFill>
            <a:blip xmlns:r="http://schemas.openxmlformats.org/officeDocument/2006/relationships" r:embed="rId3"/>
            <a:stretch>
              <a:fillRect/>
            </a:stretch>
          </xdr:blipFill>
          <xdr:spPr>
            <a:xfrm>
              <a:off x="6348019" y="2691541"/>
              <a:ext cx="8750234" cy="4469018"/>
            </a:xfrm>
            <a:prstGeom prst="rect">
              <a:avLst/>
            </a:prstGeom>
          </xdr:spPr>
        </xdr:pic>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10</xdr:col>
      <xdr:colOff>451597</xdr:colOff>
      <xdr:row>179</xdr:row>
      <xdr:rowOff>177800</xdr:rowOff>
    </xdr:from>
    <xdr:to>
      <xdr:col>16</xdr:col>
      <xdr:colOff>350744</xdr:colOff>
      <xdr:row>182</xdr:row>
      <xdr:rowOff>0</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11037047" y="33204150"/>
          <a:ext cx="3810747" cy="4400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Need to explain the placement of the Zero</a:t>
          </a:r>
          <a:r>
            <a:rPr lang="en-US" sz="1100" baseline="0"/>
            <a:t> a little bit better. The pole location should also be based on the location of the zero</a:t>
          </a:r>
          <a:endParaRPr lang="en-US" sz="1100"/>
        </a:p>
      </xdr:txBody>
    </xdr:sp>
    <xdr:clientData/>
  </xdr:twoCellAnchor>
  <mc:AlternateContent xmlns:mc="http://schemas.openxmlformats.org/markup-compatibility/2006">
    <mc:Choice xmlns:a14="http://schemas.microsoft.com/office/drawing/2010/main" Requires="a14">
      <xdr:twoCellAnchor editAs="oneCell">
        <xdr:from>
          <xdr:col>8</xdr:col>
          <xdr:colOff>60960</xdr:colOff>
          <xdr:row>110</xdr:row>
          <xdr:rowOff>0</xdr:rowOff>
        </xdr:from>
        <xdr:to>
          <xdr:col>13</xdr:col>
          <xdr:colOff>22860</xdr:colOff>
          <xdr:row>112</xdr:row>
          <xdr:rowOff>30480</xdr:rowOff>
        </xdr:to>
        <xdr:sp macro="" textlink="">
          <xdr:nvSpPr>
            <xdr:cNvPr id="2053" name="Object 5" hidden="1">
              <a:extLst>
                <a:ext uri="{63B3BB69-23CF-44E3-9099-C40C66FF867C}">
                  <a14:compatExt spid="_x0000_s2053"/>
                </a:ext>
                <a:ext uri="{FF2B5EF4-FFF2-40B4-BE49-F238E27FC236}">
                  <a16:creationId xmlns:a16="http://schemas.microsoft.com/office/drawing/2014/main" id="{00000000-0008-0000-0100-000005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xdr:from>
      <xdr:col>9</xdr:col>
      <xdr:colOff>19051</xdr:colOff>
      <xdr:row>149</xdr:row>
      <xdr:rowOff>17931</xdr:rowOff>
    </xdr:from>
    <xdr:to>
      <xdr:col>14</xdr:col>
      <xdr:colOff>583081</xdr:colOff>
      <xdr:row>157</xdr:row>
      <xdr:rowOff>107951</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9994901" y="27335631"/>
          <a:ext cx="3866030" cy="15632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Loop</a:t>
          </a:r>
          <a:r>
            <a:rPr lang="en-US" sz="1100" baseline="0"/>
            <a:t> compensation is calculated for the minimum input voltage. This ensure stability over the input votlage range</a:t>
          </a:r>
        </a:p>
        <a:p>
          <a:endParaRPr lang="en-US" sz="1100" baseline="0"/>
        </a:p>
        <a:p>
          <a:r>
            <a:rPr lang="en-US" sz="1100" b="1" baseline="0"/>
            <a:t>Includes the effect of slope compensation. To help with the calculations the applicaiton note detailing component selection does not include loop compensation</a:t>
          </a:r>
          <a:endParaRPr lang="en-US" sz="1100" b="1"/>
        </a:p>
      </xdr:txBody>
    </xdr:sp>
    <xdr:clientData/>
  </xdr:twoCellAnchor>
  <xdr:twoCellAnchor>
    <xdr:from>
      <xdr:col>3</xdr:col>
      <xdr:colOff>660400</xdr:colOff>
      <xdr:row>182</xdr:row>
      <xdr:rowOff>165100</xdr:rowOff>
    </xdr:from>
    <xdr:to>
      <xdr:col>9</xdr:col>
      <xdr:colOff>311150</xdr:colOff>
      <xdr:row>186</xdr:row>
      <xdr:rowOff>88900</xdr:rowOff>
    </xdr:to>
    <xdr:sp macro="" textlink="">
      <xdr:nvSpPr>
        <xdr:cNvPr id="6" name="TextBox 5">
          <a:extLst>
            <a:ext uri="{FF2B5EF4-FFF2-40B4-BE49-F238E27FC236}">
              <a16:creationId xmlns:a16="http://schemas.microsoft.com/office/drawing/2014/main" id="{00000000-0008-0000-0100-000006000000}"/>
            </a:ext>
          </a:extLst>
        </xdr:cNvPr>
        <xdr:cNvSpPr txBox="1"/>
      </xdr:nvSpPr>
      <xdr:spPr>
        <a:xfrm>
          <a:off x="4794250" y="33928050"/>
          <a:ext cx="5492750" cy="660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Flexible</a:t>
          </a:r>
          <a:r>
            <a:rPr lang="en-US" sz="1100" baseline="0"/>
            <a:t> equations see the MathCad file for these</a:t>
          </a:r>
        </a:p>
        <a:p>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76</xdr:col>
      <xdr:colOff>197810</xdr:colOff>
      <xdr:row>6</xdr:row>
      <xdr:rowOff>107149</xdr:rowOff>
    </xdr:from>
    <xdr:to>
      <xdr:col>85</xdr:col>
      <xdr:colOff>2406</xdr:colOff>
      <xdr:row>25</xdr:row>
      <xdr:rowOff>110908</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49</xdr:col>
      <xdr:colOff>228022</xdr:colOff>
      <xdr:row>12</xdr:row>
      <xdr:rowOff>102466</xdr:rowOff>
    </xdr:from>
    <xdr:to>
      <xdr:col>66</xdr:col>
      <xdr:colOff>96573</xdr:colOff>
      <xdr:row>37</xdr:row>
      <xdr:rowOff>156894</xdr:rowOff>
    </xdr:to>
    <xdr:graphicFrame macro="">
      <xdr:nvGraphicFramePr>
        <xdr:cNvPr id="3" name="Chart 2">
          <a:extLst>
            <a:ext uri="{FF2B5EF4-FFF2-40B4-BE49-F238E27FC236}">
              <a16:creationId xmlns:a16="http://schemas.microsoft.com/office/drawing/2014/main" id="{00000000-0008-0000-02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14</xdr:col>
      <xdr:colOff>1051560</xdr:colOff>
      <xdr:row>49</xdr:row>
      <xdr:rowOff>45720</xdr:rowOff>
    </xdr:from>
    <xdr:to>
      <xdr:col>25</xdr:col>
      <xdr:colOff>563880</xdr:colOff>
      <xdr:row>73</xdr:row>
      <xdr:rowOff>19050</xdr:rowOff>
    </xdr:to>
    <xdr:graphicFrame macro="">
      <xdr:nvGraphicFramePr>
        <xdr:cNvPr id="4" name="Chart 3">
          <a:extLst>
            <a:ext uri="{FF2B5EF4-FFF2-40B4-BE49-F238E27FC236}">
              <a16:creationId xmlns:a16="http://schemas.microsoft.com/office/drawing/2014/main" id="{00000000-0008-0000-03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45</xdr:col>
      <xdr:colOff>186690</xdr:colOff>
      <xdr:row>39</xdr:row>
      <xdr:rowOff>167640</xdr:rowOff>
    </xdr:from>
    <xdr:to>
      <xdr:col>47</xdr:col>
      <xdr:colOff>515248</xdr:colOff>
      <xdr:row>45</xdr:row>
      <xdr:rowOff>69931</xdr:rowOff>
    </xdr:to>
    <xdr:pic>
      <xdr:nvPicPr>
        <xdr:cNvPr id="7" name="Picture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2"/>
        <a:stretch>
          <a:fillRect/>
        </a:stretch>
      </xdr:blipFill>
      <xdr:spPr>
        <a:xfrm>
          <a:off x="21541740" y="5482590"/>
          <a:ext cx="1840230" cy="1045293"/>
        </a:xfrm>
        <a:prstGeom prst="rect">
          <a:avLst/>
        </a:prstGeom>
      </xdr:spPr>
    </xdr:pic>
    <xdr:clientData/>
  </xdr:twoCellAnchor>
  <xdr:twoCellAnchor editAs="oneCell">
    <xdr:from>
      <xdr:col>47</xdr:col>
      <xdr:colOff>247650</xdr:colOff>
      <xdr:row>40</xdr:row>
      <xdr:rowOff>60960</xdr:rowOff>
    </xdr:from>
    <xdr:to>
      <xdr:col>51</xdr:col>
      <xdr:colOff>567929</xdr:colOff>
      <xdr:row>44</xdr:row>
      <xdr:rowOff>129611</xdr:rowOff>
    </xdr:to>
    <xdr:pic>
      <xdr:nvPicPr>
        <xdr:cNvPr id="8" name="Picture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3"/>
        <a:stretch>
          <a:fillRect/>
        </a:stretch>
      </xdr:blipFill>
      <xdr:spPr>
        <a:xfrm>
          <a:off x="23888700" y="5566410"/>
          <a:ext cx="2758679" cy="830649"/>
        </a:xfrm>
        <a:prstGeom prst="rect">
          <a:avLst/>
        </a:prstGeom>
      </xdr:spPr>
    </xdr:pic>
    <xdr:clientData/>
  </xdr:twoCellAnchor>
  <xdr:twoCellAnchor>
    <xdr:from>
      <xdr:col>44</xdr:col>
      <xdr:colOff>30480</xdr:colOff>
      <xdr:row>49</xdr:row>
      <xdr:rowOff>64770</xdr:rowOff>
    </xdr:from>
    <xdr:to>
      <xdr:col>55</xdr:col>
      <xdr:colOff>144780</xdr:colOff>
      <xdr:row>73</xdr:row>
      <xdr:rowOff>38100</xdr:rowOff>
    </xdr:to>
    <xdr:graphicFrame macro="">
      <xdr:nvGraphicFramePr>
        <xdr:cNvPr id="9" name="Chart 8">
          <a:extLst>
            <a:ext uri="{FF2B5EF4-FFF2-40B4-BE49-F238E27FC236}">
              <a16:creationId xmlns:a16="http://schemas.microsoft.com/office/drawing/2014/main" id="{00000000-0008-0000-03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7620</xdr:colOff>
      <xdr:row>21</xdr:row>
      <xdr:rowOff>121920</xdr:rowOff>
    </xdr:from>
    <xdr:to>
      <xdr:col>26</xdr:col>
      <xdr:colOff>45720</xdr:colOff>
      <xdr:row>45</xdr:row>
      <xdr:rowOff>80010</xdr:rowOff>
    </xdr:to>
    <xdr:graphicFrame macro="">
      <xdr:nvGraphicFramePr>
        <xdr:cNvPr id="10" name="Chart 9">
          <a:extLst>
            <a:ext uri="{FF2B5EF4-FFF2-40B4-BE49-F238E27FC236}">
              <a16:creationId xmlns:a16="http://schemas.microsoft.com/office/drawing/2014/main" id="{00000000-0008-0000-03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8325</xdr:colOff>
      <xdr:row>36</xdr:row>
      <xdr:rowOff>8964</xdr:rowOff>
    </xdr:from>
    <xdr:to>
      <xdr:col>11</xdr:col>
      <xdr:colOff>591031</xdr:colOff>
      <xdr:row>44</xdr:row>
      <xdr:rowOff>131269</xdr:rowOff>
    </xdr:to>
    <xdr:sp macro="" textlink="">
      <xdr:nvSpPr>
        <xdr:cNvPr id="11" name="TextBox 10">
          <a:extLst>
            <a:ext uri="{FF2B5EF4-FFF2-40B4-BE49-F238E27FC236}">
              <a16:creationId xmlns:a16="http://schemas.microsoft.com/office/drawing/2014/main" id="{00000000-0008-0000-0300-00000B000000}"/>
            </a:ext>
          </a:extLst>
        </xdr:cNvPr>
        <xdr:cNvSpPr txBox="1"/>
      </xdr:nvSpPr>
      <xdr:spPr>
        <a:xfrm>
          <a:off x="6289382" y="5952564"/>
          <a:ext cx="2411506" cy="16027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8</xdr:col>
      <xdr:colOff>0</xdr:colOff>
      <xdr:row>53</xdr:row>
      <xdr:rowOff>13855</xdr:rowOff>
    </xdr:from>
    <xdr:to>
      <xdr:col>12</xdr:col>
      <xdr:colOff>83127</xdr:colOff>
      <xdr:row>64</xdr:row>
      <xdr:rowOff>13855</xdr:rowOff>
    </xdr:to>
    <xdr:sp macro="" textlink="">
      <xdr:nvSpPr>
        <xdr:cNvPr id="12" name="TextBox 11">
          <a:extLst>
            <a:ext uri="{FF2B5EF4-FFF2-40B4-BE49-F238E27FC236}">
              <a16:creationId xmlns:a16="http://schemas.microsoft.com/office/drawing/2014/main" id="{00000000-0008-0000-0300-00000C000000}"/>
            </a:ext>
          </a:extLst>
        </xdr:cNvPr>
        <xdr:cNvSpPr txBox="1"/>
      </xdr:nvSpPr>
      <xdr:spPr>
        <a:xfrm>
          <a:off x="6276109" y="8936182"/>
          <a:ext cx="2521527" cy="1981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a:t>
          </a:r>
          <a:r>
            <a:rPr lang="en-US" sz="1100" baseline="0"/>
            <a:t> error amplifier is the same regardless of the mode of operation</a:t>
          </a:r>
        </a:p>
      </xdr:txBody>
    </xdr:sp>
    <xdr:clientData/>
  </xdr:twoCellAnchor>
  <xdr:twoCellAnchor>
    <xdr:from>
      <xdr:col>31</xdr:col>
      <xdr:colOff>313764</xdr:colOff>
      <xdr:row>48</xdr:row>
      <xdr:rowOff>179295</xdr:rowOff>
    </xdr:from>
    <xdr:to>
      <xdr:col>42</xdr:col>
      <xdr:colOff>438673</xdr:colOff>
      <xdr:row>72</xdr:row>
      <xdr:rowOff>152625</xdr:rowOff>
    </xdr:to>
    <xdr:graphicFrame macro="">
      <xdr:nvGraphicFramePr>
        <xdr:cNvPr id="14" name="Chart 13">
          <a:extLst>
            <a:ext uri="{FF2B5EF4-FFF2-40B4-BE49-F238E27FC236}">
              <a16:creationId xmlns:a16="http://schemas.microsoft.com/office/drawing/2014/main" id="{00000000-0008-0000-03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31</xdr:col>
      <xdr:colOff>0</xdr:colOff>
      <xdr:row>22</xdr:row>
      <xdr:rowOff>0</xdr:rowOff>
    </xdr:from>
    <xdr:to>
      <xdr:col>42</xdr:col>
      <xdr:colOff>97865</xdr:colOff>
      <xdr:row>45</xdr:row>
      <xdr:rowOff>144855</xdr:rowOff>
    </xdr:to>
    <xdr:graphicFrame macro="">
      <xdr:nvGraphicFramePr>
        <xdr:cNvPr id="15" name="Chart 14">
          <a:extLst>
            <a:ext uri="{FF2B5EF4-FFF2-40B4-BE49-F238E27FC236}">
              <a16:creationId xmlns:a16="http://schemas.microsoft.com/office/drawing/2014/main" id="{00000000-0008-0000-03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44</xdr:col>
      <xdr:colOff>0</xdr:colOff>
      <xdr:row>22</xdr:row>
      <xdr:rowOff>0</xdr:rowOff>
    </xdr:from>
    <xdr:to>
      <xdr:col>55</xdr:col>
      <xdr:colOff>269688</xdr:colOff>
      <xdr:row>45</xdr:row>
      <xdr:rowOff>144855</xdr:rowOff>
    </xdr:to>
    <xdr:graphicFrame macro="">
      <xdr:nvGraphicFramePr>
        <xdr:cNvPr id="16" name="Chart 15">
          <a:extLst>
            <a:ext uri="{FF2B5EF4-FFF2-40B4-BE49-F238E27FC236}">
              <a16:creationId xmlns:a16="http://schemas.microsoft.com/office/drawing/2014/main" id="{00000000-0008-0000-03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7</xdr:col>
      <xdr:colOff>548640</xdr:colOff>
      <xdr:row>8</xdr:row>
      <xdr:rowOff>0</xdr:rowOff>
    </xdr:from>
    <xdr:to>
      <xdr:col>12</xdr:col>
      <xdr:colOff>449580</xdr:colOff>
      <xdr:row>10</xdr:row>
      <xdr:rowOff>123546</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7269480" y="1638300"/>
          <a:ext cx="2948940" cy="489306"/>
        </a:xfrm>
        <a:prstGeom prst="rect">
          <a:avLst/>
        </a:prstGeom>
      </xdr:spPr>
    </xdr:pic>
    <xdr:clientData/>
  </xdr:twoCellAnchor>
  <xdr:twoCellAnchor editAs="oneCell">
    <xdr:from>
      <xdr:col>8</xdr:col>
      <xdr:colOff>7620</xdr:colOff>
      <xdr:row>12</xdr:row>
      <xdr:rowOff>132742</xdr:rowOff>
    </xdr:from>
    <xdr:to>
      <xdr:col>13</xdr:col>
      <xdr:colOff>350520</xdr:colOff>
      <xdr:row>16</xdr:row>
      <xdr:rowOff>76286</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7338060" y="2502562"/>
          <a:ext cx="3390900" cy="675064"/>
        </a:xfrm>
        <a:prstGeom prst="rect">
          <a:avLst/>
        </a:prstGeom>
      </xdr:spPr>
    </xdr:pic>
    <xdr:clientData/>
  </xdr:twoCellAnchor>
  <xdr:twoCellAnchor>
    <xdr:from>
      <xdr:col>6</xdr:col>
      <xdr:colOff>507999</xdr:colOff>
      <xdr:row>37</xdr:row>
      <xdr:rowOff>44824</xdr:rowOff>
    </xdr:from>
    <xdr:to>
      <xdr:col>12</xdr:col>
      <xdr:colOff>530411</xdr:colOff>
      <xdr:row>43</xdr:row>
      <xdr:rowOff>164354</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6716058" y="6940177"/>
          <a:ext cx="3697941" cy="12401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Specific</a:t>
          </a:r>
          <a:r>
            <a:rPr lang="en-US" sz="1100" baseline="0"/>
            <a:t> to the LM5123 and LM5152. See datasheet for details</a:t>
          </a:r>
        </a:p>
        <a:p>
          <a:endParaRPr lang="en-US" sz="1100" baseline="0"/>
        </a:p>
        <a:p>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0</xdr:colOff>
      <xdr:row>2</xdr:row>
      <xdr:rowOff>0</xdr:rowOff>
    </xdr:from>
    <xdr:to>
      <xdr:col>3</xdr:col>
      <xdr:colOff>9157</xdr:colOff>
      <xdr:row>3</xdr:row>
      <xdr:rowOff>0</xdr:rowOff>
    </xdr:to>
    <xdr:graphicFrame macro="">
      <xdr:nvGraphicFramePr>
        <xdr:cNvPr id="3" name="Chart 2">
          <a:extLst>
            <a:ext uri="{FF2B5EF4-FFF2-40B4-BE49-F238E27FC236}">
              <a16:creationId xmlns:a16="http://schemas.microsoft.com/office/drawing/2014/main" id="{00000000-0008-0000-05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1</xdr:row>
          <xdr:rowOff>0</xdr:rowOff>
        </xdr:from>
        <xdr:to>
          <xdr:col>2</xdr:col>
          <xdr:colOff>28575</xdr:colOff>
          <xdr:row>2</xdr:row>
          <xdr:rowOff>0</xdr:rowOff>
        </xdr:to>
        <xdr:sp macro="" textlink="">
          <xdr:nvSpPr>
            <xdr:cNvPr id="10242" name="Object 2" hidden="1">
              <a:extLst>
                <a:ext uri="{63B3BB69-23CF-44E3-9099-C40C66FF867C}">
                  <a14:compatExt spid="_x0000_s10242"/>
                </a:ext>
                <a:ext uri="{FF2B5EF4-FFF2-40B4-BE49-F238E27FC236}">
                  <a16:creationId xmlns:a16="http://schemas.microsoft.com/office/drawing/2014/main" id="{74A6D3F0-B182-414E-B8F5-4E187F70735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xdr:row>
          <xdr:rowOff>0</xdr:rowOff>
        </xdr:from>
        <xdr:to>
          <xdr:col>2</xdr:col>
          <xdr:colOff>28575</xdr:colOff>
          <xdr:row>5</xdr:row>
          <xdr:rowOff>0</xdr:rowOff>
        </xdr:to>
        <xdr:sp macro="" textlink="">
          <xdr:nvSpPr>
            <xdr:cNvPr id="10243" name="Object 3" hidden="1">
              <a:extLst>
                <a:ext uri="{63B3BB69-23CF-44E3-9099-C40C66FF867C}">
                  <a14:compatExt spid="_x0000_s10243"/>
                </a:ext>
                <a:ext uri="{FF2B5EF4-FFF2-40B4-BE49-F238E27FC236}">
                  <a16:creationId xmlns:a16="http://schemas.microsoft.com/office/drawing/2014/main" id="{68EDC847-4929-438B-81D2-67F57786273F}"/>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6</xdr:row>
          <xdr:rowOff>0</xdr:rowOff>
        </xdr:from>
        <xdr:to>
          <xdr:col>2</xdr:col>
          <xdr:colOff>30480</xdr:colOff>
          <xdr:row>7</xdr:row>
          <xdr:rowOff>7620</xdr:rowOff>
        </xdr:to>
        <xdr:sp macro="" textlink="">
          <xdr:nvSpPr>
            <xdr:cNvPr id="10246" name="Object 6" hidden="1">
              <a:extLst>
                <a:ext uri="{63B3BB69-23CF-44E3-9099-C40C66FF867C}">
                  <a14:compatExt spid="_x0000_s10246"/>
                </a:ext>
                <a:ext uri="{FF2B5EF4-FFF2-40B4-BE49-F238E27FC236}">
                  <a16:creationId xmlns:a16="http://schemas.microsoft.com/office/drawing/2014/main" id="{812EE9C1-0EC3-4108-A2EA-F12C05C042E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comments" Target="../comments1.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openxmlformats.org/officeDocument/2006/relationships/comments" Target="../comments2.xml"/><Relationship Id="rId5" Type="http://schemas.openxmlformats.org/officeDocument/2006/relationships/image" Target="../media/image3.emf"/><Relationship Id="rId4" Type="http://schemas.openxmlformats.org/officeDocument/2006/relationships/oleObject" Target="../embeddings/oleObject1.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8" Type="http://schemas.openxmlformats.org/officeDocument/2006/relationships/package" Target="../embeddings/Microsoft_Visio_Drawing2.vsdx"/><Relationship Id="rId3" Type="http://schemas.openxmlformats.org/officeDocument/2006/relationships/vmlDrawing" Target="../drawings/vmlDrawing5.vml"/><Relationship Id="rId7" Type="http://schemas.openxmlformats.org/officeDocument/2006/relationships/image" Target="../media/image9.emf"/><Relationship Id="rId2" Type="http://schemas.openxmlformats.org/officeDocument/2006/relationships/drawing" Target="../drawings/drawing7.xml"/><Relationship Id="rId1" Type="http://schemas.openxmlformats.org/officeDocument/2006/relationships/printerSettings" Target="../printerSettings/printerSettings6.bin"/><Relationship Id="rId6" Type="http://schemas.openxmlformats.org/officeDocument/2006/relationships/package" Target="../embeddings/Microsoft_Visio_Drawing1.vsdx"/><Relationship Id="rId5" Type="http://schemas.openxmlformats.org/officeDocument/2006/relationships/image" Target="../media/image8.emf"/><Relationship Id="rId4" Type="http://schemas.openxmlformats.org/officeDocument/2006/relationships/package" Target="../embeddings/Microsoft_Visio_Drawing.vsdx"/><Relationship Id="rId9" Type="http://schemas.openxmlformats.org/officeDocument/2006/relationships/image" Target="../media/image10.emf"/></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pageSetUpPr fitToPage="1"/>
  </sheetPr>
  <dimension ref="A1:AA98"/>
  <sheetViews>
    <sheetView tabSelected="1" zoomScale="85" zoomScaleNormal="85" workbookViewId="0">
      <selection activeCell="P6" sqref="P6"/>
    </sheetView>
  </sheetViews>
  <sheetFormatPr defaultColWidth="8.88671875" defaultRowHeight="14.4" x14ac:dyDescent="0.3"/>
  <cols>
    <col min="1" max="6" width="8.88671875" style="119" customWidth="1"/>
    <col min="7" max="7" width="8.88671875" style="164" customWidth="1"/>
    <col min="8" max="8" width="12" style="119" bestFit="1" customWidth="1"/>
    <col min="9" max="9" width="8.21875" style="119" bestFit="1" customWidth="1"/>
    <col min="10" max="10" width="4.88671875" style="119" customWidth="1"/>
    <col min="11" max="20" width="8.88671875" style="119" customWidth="1"/>
    <col min="21" max="21" width="8.88671875" style="123" customWidth="1"/>
    <col min="22" max="22" width="7.109375" style="119" customWidth="1"/>
    <col min="23" max="26" width="8.88671875" style="119" customWidth="1"/>
    <col min="27" max="27" width="1.88671875" style="165" customWidth="1"/>
    <col min="28" max="16384" width="8.88671875" style="119"/>
  </cols>
  <sheetData>
    <row r="1" spans="1:27" ht="46.65" customHeight="1" x14ac:dyDescent="0.3">
      <c r="A1" s="114"/>
      <c r="B1" s="114"/>
      <c r="C1" s="114"/>
      <c r="D1" s="114"/>
      <c r="E1" s="115" t="s">
        <v>517</v>
      </c>
      <c r="F1" s="114"/>
      <c r="G1" s="116"/>
      <c r="H1" s="114"/>
      <c r="I1" s="114"/>
      <c r="J1" s="114"/>
      <c r="K1" s="114"/>
      <c r="L1" s="114"/>
      <c r="M1" s="114"/>
      <c r="N1" s="114"/>
      <c r="O1" s="114"/>
      <c r="P1" s="114"/>
      <c r="Q1" s="114"/>
      <c r="R1" s="114"/>
      <c r="S1" s="114"/>
      <c r="T1" s="114"/>
      <c r="U1" s="117"/>
      <c r="V1" s="114"/>
      <c r="W1" s="114"/>
      <c r="X1" s="114"/>
      <c r="Y1" s="114"/>
      <c r="Z1" s="114"/>
      <c r="AA1" s="118"/>
    </row>
    <row r="2" spans="1:27" s="123" customFormat="1" x14ac:dyDescent="0.3">
      <c r="A2" s="120"/>
      <c r="B2" s="120"/>
      <c r="C2" s="120"/>
      <c r="D2" s="120"/>
      <c r="E2" s="120"/>
      <c r="F2" s="120"/>
      <c r="G2" s="121"/>
      <c r="H2" s="120"/>
      <c r="I2" s="120"/>
      <c r="J2" s="120"/>
      <c r="K2" s="120"/>
      <c r="L2" s="120"/>
      <c r="M2" s="120"/>
      <c r="N2" s="120"/>
      <c r="O2" s="120"/>
      <c r="P2" s="120"/>
      <c r="Q2" s="120"/>
      <c r="R2" s="120"/>
      <c r="S2" s="120"/>
      <c r="T2" s="120"/>
      <c r="U2" s="120"/>
      <c r="V2" s="120"/>
      <c r="W2" s="120"/>
      <c r="X2" s="120"/>
      <c r="Y2" s="120"/>
      <c r="Z2" s="120"/>
      <c r="AA2" s="122"/>
    </row>
    <row r="3" spans="1:27" s="123" customFormat="1" x14ac:dyDescent="0.3">
      <c r="A3" s="124" t="s">
        <v>1</v>
      </c>
      <c r="B3" s="120"/>
      <c r="C3" s="120"/>
      <c r="D3" s="120"/>
      <c r="E3" s="125"/>
      <c r="F3" s="126" t="s">
        <v>2</v>
      </c>
      <c r="G3" s="121"/>
      <c r="H3" s="120"/>
      <c r="I3" s="120"/>
      <c r="J3" s="120"/>
      <c r="K3" s="120"/>
      <c r="L3" s="120"/>
      <c r="M3" s="120"/>
      <c r="N3" s="120"/>
      <c r="O3" s="127" t="s">
        <v>0</v>
      </c>
      <c r="P3" s="120"/>
      <c r="Q3" s="120"/>
      <c r="R3" s="120"/>
      <c r="S3" s="120"/>
      <c r="T3" s="120"/>
      <c r="U3" s="120"/>
      <c r="V3" s="120"/>
      <c r="W3" s="120"/>
      <c r="X3" s="120"/>
      <c r="Y3" s="120"/>
      <c r="Z3" s="120"/>
      <c r="AA3" s="122"/>
    </row>
    <row r="4" spans="1:27" s="131" customFormat="1" x14ac:dyDescent="0.3">
      <c r="A4" s="128"/>
      <c r="B4" s="128"/>
      <c r="C4" s="128"/>
      <c r="D4" s="128"/>
      <c r="E4" s="128"/>
      <c r="F4" s="128"/>
      <c r="G4" s="129"/>
      <c r="H4" s="128"/>
      <c r="I4" s="128"/>
      <c r="J4" s="128"/>
      <c r="K4" s="128"/>
      <c r="L4" s="128"/>
      <c r="M4" s="128"/>
      <c r="N4" s="128"/>
      <c r="O4" s="128"/>
      <c r="P4" s="128"/>
      <c r="Q4" s="128"/>
      <c r="R4" s="128"/>
      <c r="S4" s="128"/>
      <c r="T4" s="128"/>
      <c r="U4" s="128"/>
      <c r="V4" s="128"/>
      <c r="W4" s="128"/>
      <c r="X4" s="128"/>
      <c r="Y4" s="128"/>
      <c r="Z4" s="128"/>
      <c r="AA4" s="130"/>
    </row>
    <row r="5" spans="1:27" x14ac:dyDescent="0.3">
      <c r="A5" s="132"/>
      <c r="B5" s="132"/>
      <c r="C5" s="132"/>
      <c r="D5" s="132"/>
      <c r="E5" s="132"/>
      <c r="F5" s="132"/>
      <c r="G5" s="133"/>
      <c r="H5" s="132"/>
      <c r="I5" s="132"/>
      <c r="J5" s="132"/>
      <c r="K5" s="132"/>
      <c r="L5" s="132"/>
      <c r="M5" s="132"/>
      <c r="N5" s="132"/>
      <c r="O5" s="132" t="s">
        <v>608</v>
      </c>
      <c r="P5" s="134" t="s">
        <v>609</v>
      </c>
      <c r="Q5" s="132"/>
      <c r="R5" s="132"/>
      <c r="S5" s="132"/>
      <c r="T5" s="132"/>
      <c r="U5" s="135"/>
      <c r="V5" s="132"/>
      <c r="W5" s="132"/>
      <c r="X5" s="132"/>
      <c r="Y5" s="132"/>
      <c r="Z5" s="132"/>
      <c r="AA5" s="118"/>
    </row>
    <row r="6" spans="1:27" ht="15" thickBot="1" x14ac:dyDescent="0.35">
      <c r="A6" s="149" t="s">
        <v>3</v>
      </c>
      <c r="B6" s="135"/>
      <c r="C6" s="135"/>
      <c r="D6" s="135"/>
      <c r="E6" s="135"/>
      <c r="F6" s="135"/>
      <c r="G6" s="153"/>
      <c r="H6" s="135"/>
      <c r="I6" s="135"/>
      <c r="J6" s="132"/>
      <c r="K6" s="132"/>
      <c r="L6" s="132"/>
      <c r="M6" s="132"/>
      <c r="N6" s="132"/>
      <c r="O6" s="132"/>
      <c r="P6" s="132"/>
      <c r="Q6" s="132"/>
      <c r="R6" s="132"/>
      <c r="S6" s="132"/>
      <c r="T6" s="132"/>
      <c r="U6" s="135"/>
      <c r="V6" s="132"/>
      <c r="W6" s="132"/>
      <c r="X6" s="132"/>
      <c r="Y6" s="132"/>
      <c r="Z6" s="132"/>
      <c r="AA6" s="118"/>
    </row>
    <row r="7" spans="1:27" ht="15" x14ac:dyDescent="0.35">
      <c r="A7" s="136"/>
      <c r="B7" s="137"/>
      <c r="C7" s="137"/>
      <c r="D7" s="137"/>
      <c r="E7" s="137"/>
      <c r="F7" s="137"/>
      <c r="G7" s="138" t="s">
        <v>4</v>
      </c>
      <c r="H7" s="166">
        <v>9</v>
      </c>
      <c r="I7" s="139" t="s">
        <v>10</v>
      </c>
      <c r="J7" s="132"/>
      <c r="K7" s="132"/>
      <c r="L7" s="132"/>
      <c r="M7" s="132"/>
      <c r="N7" s="132"/>
      <c r="O7" s="132"/>
      <c r="P7" s="132"/>
      <c r="Q7" s="132"/>
      <c r="R7" s="132"/>
      <c r="S7" s="132"/>
      <c r="T7" s="132"/>
      <c r="U7" s="135"/>
      <c r="V7" s="132"/>
      <c r="W7" s="132"/>
      <c r="X7" s="132"/>
      <c r="Y7" s="132"/>
      <c r="Z7" s="132"/>
      <c r="AA7" s="118"/>
    </row>
    <row r="8" spans="1:27" ht="15" x14ac:dyDescent="0.35">
      <c r="A8" s="140"/>
      <c r="B8" s="135"/>
      <c r="C8" s="135"/>
      <c r="D8" s="135"/>
      <c r="E8" s="135"/>
      <c r="F8" s="135"/>
      <c r="G8" s="141" t="s">
        <v>5</v>
      </c>
      <c r="H8" s="167">
        <v>9</v>
      </c>
      <c r="I8" s="142" t="s">
        <v>10</v>
      </c>
      <c r="J8" s="132"/>
      <c r="K8" s="132"/>
      <c r="L8" s="132"/>
      <c r="M8" s="132"/>
      <c r="N8" s="132"/>
      <c r="O8" s="132"/>
      <c r="P8" s="132"/>
      <c r="Q8" s="132"/>
      <c r="R8" s="132"/>
      <c r="S8" s="132"/>
      <c r="T8" s="132"/>
      <c r="U8" s="135"/>
      <c r="V8" s="132"/>
      <c r="W8" s="132"/>
      <c r="X8" s="132"/>
      <c r="Y8" s="132"/>
      <c r="Z8" s="132"/>
      <c r="AA8" s="118"/>
    </row>
    <row r="9" spans="1:27" ht="15" x14ac:dyDescent="0.35">
      <c r="A9" s="140"/>
      <c r="B9" s="135"/>
      <c r="C9" s="135"/>
      <c r="D9" s="135"/>
      <c r="E9" s="135"/>
      <c r="F9" s="135"/>
      <c r="G9" s="141" t="s">
        <v>6</v>
      </c>
      <c r="H9" s="167">
        <v>18</v>
      </c>
      <c r="I9" s="142" t="s">
        <v>10</v>
      </c>
      <c r="J9" s="132"/>
      <c r="K9" s="132"/>
      <c r="L9" s="132"/>
      <c r="M9" s="132"/>
      <c r="N9" s="132"/>
      <c r="O9" s="132"/>
      <c r="P9" s="132"/>
      <c r="Q9" s="132"/>
      <c r="R9" s="132"/>
      <c r="S9" s="132"/>
      <c r="T9" s="132"/>
      <c r="U9" s="135"/>
      <c r="V9" s="132"/>
      <c r="W9" s="132"/>
      <c r="X9" s="132"/>
      <c r="Y9" s="132"/>
      <c r="Z9" s="132"/>
      <c r="AA9" s="118"/>
    </row>
    <row r="10" spans="1:27" ht="15" x14ac:dyDescent="0.35">
      <c r="A10" s="140"/>
      <c r="B10" s="135"/>
      <c r="C10" s="135"/>
      <c r="D10" s="135"/>
      <c r="E10" s="135"/>
      <c r="F10" s="135"/>
      <c r="G10" s="141" t="s">
        <v>7</v>
      </c>
      <c r="H10" s="167">
        <v>24</v>
      </c>
      <c r="I10" s="142" t="s">
        <v>10</v>
      </c>
      <c r="J10" s="132"/>
      <c r="K10" s="132"/>
      <c r="L10" s="132"/>
      <c r="M10" s="132"/>
      <c r="N10" s="132"/>
      <c r="O10" s="132"/>
      <c r="P10" s="132"/>
      <c r="Q10" s="132"/>
      <c r="R10" s="132"/>
      <c r="S10" s="132"/>
      <c r="T10" s="132"/>
      <c r="U10" s="135"/>
      <c r="V10" s="132"/>
      <c r="W10" s="132"/>
      <c r="X10" s="132"/>
      <c r="Y10" s="132"/>
      <c r="Z10" s="132"/>
      <c r="AA10" s="118"/>
    </row>
    <row r="11" spans="1:27" ht="15" x14ac:dyDescent="0.35">
      <c r="A11" s="140"/>
      <c r="B11" s="135"/>
      <c r="C11" s="135"/>
      <c r="D11" s="135"/>
      <c r="E11" s="135"/>
      <c r="F11" s="135"/>
      <c r="G11" s="141" t="s">
        <v>8</v>
      </c>
      <c r="H11" s="261">
        <f>100/H10</f>
        <v>4.166666666666667</v>
      </c>
      <c r="I11" s="142" t="s">
        <v>11</v>
      </c>
      <c r="J11" s="132"/>
      <c r="K11" s="132"/>
      <c r="L11" s="132"/>
      <c r="M11" s="132"/>
      <c r="N11" s="132"/>
      <c r="O11" s="132"/>
      <c r="P11" s="132"/>
      <c r="Q11" s="132"/>
      <c r="R11" s="132"/>
      <c r="S11" s="132"/>
      <c r="T11" s="132"/>
      <c r="U11" s="135"/>
      <c r="V11" s="132"/>
      <c r="W11" s="132"/>
      <c r="X11" s="132"/>
      <c r="Y11" s="132"/>
      <c r="Z11" s="132"/>
      <c r="AA11" s="118"/>
    </row>
    <row r="12" spans="1:27" x14ac:dyDescent="0.3">
      <c r="A12" s="140"/>
      <c r="B12" s="135"/>
      <c r="C12" s="135"/>
      <c r="D12" s="135"/>
      <c r="E12" s="135"/>
      <c r="F12" s="135"/>
      <c r="G12" s="141" t="s">
        <v>521</v>
      </c>
      <c r="H12" s="284" t="s">
        <v>607</v>
      </c>
      <c r="I12" s="285"/>
      <c r="J12" s="132"/>
      <c r="K12" s="132"/>
      <c r="L12" s="132"/>
      <c r="M12" s="132"/>
      <c r="N12" s="132"/>
      <c r="O12" s="132"/>
      <c r="P12" s="132"/>
      <c r="Q12" s="132"/>
      <c r="R12" s="132"/>
      <c r="S12" s="132"/>
      <c r="T12" s="132"/>
      <c r="U12" s="135"/>
      <c r="V12" s="132"/>
      <c r="W12" s="132"/>
      <c r="X12" s="132"/>
      <c r="Y12" s="132"/>
      <c r="Z12" s="132"/>
      <c r="AA12" s="118"/>
    </row>
    <row r="13" spans="1:27" ht="15" x14ac:dyDescent="0.35">
      <c r="A13" s="140"/>
      <c r="B13" s="135"/>
      <c r="C13" s="135"/>
      <c r="D13" s="135"/>
      <c r="E13" s="135"/>
      <c r="F13" s="135"/>
      <c r="G13" s="141" t="s">
        <v>9</v>
      </c>
      <c r="H13" s="167">
        <v>440</v>
      </c>
      <c r="I13" s="142" t="s">
        <v>12</v>
      </c>
      <c r="J13" s="132"/>
      <c r="K13" s="132"/>
      <c r="L13" s="132"/>
      <c r="M13" s="132"/>
      <c r="N13" s="132"/>
      <c r="O13" s="132"/>
      <c r="P13" s="132"/>
      <c r="Q13" s="132"/>
      <c r="R13" s="132"/>
      <c r="S13" s="132"/>
      <c r="T13" s="132"/>
      <c r="U13" s="135"/>
      <c r="V13" s="132"/>
      <c r="W13" s="132"/>
      <c r="X13" s="132"/>
      <c r="Y13" s="132"/>
      <c r="Z13" s="132"/>
      <c r="AA13" s="118"/>
    </row>
    <row r="14" spans="1:27" ht="15" x14ac:dyDescent="0.35">
      <c r="A14" s="140"/>
      <c r="B14" s="135"/>
      <c r="C14" s="135"/>
      <c r="D14" s="135"/>
      <c r="E14" s="135"/>
      <c r="F14" s="135"/>
      <c r="G14" s="141" t="s">
        <v>70</v>
      </c>
      <c r="H14" s="168">
        <f>RT/1000</f>
        <v>49.272272727272728</v>
      </c>
      <c r="I14" s="142" t="s">
        <v>71</v>
      </c>
      <c r="J14" s="132"/>
      <c r="K14" s="132"/>
      <c r="L14" s="132"/>
      <c r="M14" s="132"/>
      <c r="N14" s="132"/>
      <c r="O14" s="132"/>
      <c r="P14" s="132"/>
      <c r="Q14" s="132"/>
      <c r="R14" s="132"/>
      <c r="S14" s="132"/>
      <c r="T14" s="132"/>
      <c r="U14" s="135"/>
      <c r="V14" s="132"/>
      <c r="W14" s="132"/>
      <c r="X14" s="132"/>
      <c r="Y14" s="132"/>
      <c r="Z14" s="132"/>
      <c r="AA14" s="118"/>
    </row>
    <row r="15" spans="1:27" ht="15" x14ac:dyDescent="0.35">
      <c r="A15" s="140"/>
      <c r="B15" s="135"/>
      <c r="C15" s="135"/>
      <c r="D15" s="135"/>
      <c r="E15" s="135"/>
      <c r="F15" s="135"/>
      <c r="G15" s="141" t="s">
        <v>14</v>
      </c>
      <c r="H15" s="201">
        <f>POUT</f>
        <v>100</v>
      </c>
      <c r="I15" s="142" t="s">
        <v>38</v>
      </c>
      <c r="J15" s="132"/>
      <c r="K15" s="132"/>
      <c r="L15" s="132"/>
      <c r="M15" s="132"/>
      <c r="N15" s="132"/>
      <c r="O15" s="132"/>
      <c r="P15" s="132"/>
      <c r="Q15" s="132"/>
      <c r="R15" s="132"/>
      <c r="S15" s="132"/>
      <c r="T15" s="132"/>
      <c r="U15" s="135"/>
      <c r="V15" s="132"/>
      <c r="W15" s="132"/>
      <c r="X15" s="132"/>
      <c r="Y15" s="132"/>
      <c r="Z15" s="132"/>
      <c r="AA15" s="118"/>
    </row>
    <row r="16" spans="1:27" ht="15" x14ac:dyDescent="0.35">
      <c r="A16" s="143"/>
      <c r="B16" s="144"/>
      <c r="C16" s="144"/>
      <c r="D16" s="144"/>
      <c r="E16" s="144"/>
      <c r="F16" s="135"/>
      <c r="G16" s="145" t="s">
        <v>516</v>
      </c>
      <c r="H16" s="201">
        <f>Dc_max_IC*100</f>
        <v>88</v>
      </c>
      <c r="I16" s="142" t="s">
        <v>13</v>
      </c>
      <c r="J16" s="132"/>
      <c r="K16" s="132"/>
      <c r="L16" s="132"/>
      <c r="M16" s="132"/>
      <c r="N16" s="132"/>
      <c r="O16" s="132"/>
      <c r="P16" s="132"/>
      <c r="Q16" s="132"/>
      <c r="R16" s="132"/>
      <c r="S16" s="132"/>
      <c r="T16" s="132"/>
      <c r="U16" s="135"/>
      <c r="V16" s="132"/>
      <c r="W16" s="132"/>
      <c r="X16" s="132"/>
      <c r="Y16" s="132"/>
      <c r="Z16" s="132"/>
      <c r="AA16" s="118"/>
    </row>
    <row r="17" spans="1:27" ht="15.6" thickBot="1" x14ac:dyDescent="0.4">
      <c r="A17" s="199"/>
      <c r="B17" s="200"/>
      <c r="C17" s="200"/>
      <c r="D17" s="200"/>
      <c r="E17" s="200"/>
      <c r="F17" s="146"/>
      <c r="G17" s="254" t="s">
        <v>414</v>
      </c>
      <c r="H17" s="255">
        <f>Variable_Management!B22*100</f>
        <v>62.5</v>
      </c>
      <c r="I17" s="147" t="s">
        <v>13</v>
      </c>
      <c r="J17" s="132"/>
      <c r="K17" s="132"/>
      <c r="L17" s="132"/>
      <c r="M17" s="132"/>
      <c r="N17" s="132"/>
      <c r="O17" s="132"/>
      <c r="P17" s="132"/>
      <c r="Q17" s="132"/>
      <c r="R17" s="132"/>
      <c r="S17" s="132"/>
      <c r="T17" s="132"/>
      <c r="U17" s="135"/>
      <c r="V17" s="132"/>
      <c r="W17" s="132"/>
      <c r="X17" s="132"/>
      <c r="Y17" s="132"/>
      <c r="Z17" s="132"/>
      <c r="AA17" s="118"/>
    </row>
    <row r="18" spans="1:27" x14ac:dyDescent="0.3">
      <c r="A18" s="144"/>
      <c r="B18" s="148"/>
      <c r="C18" s="148"/>
      <c r="D18" s="148"/>
      <c r="E18" s="144"/>
      <c r="F18" s="132"/>
      <c r="G18" s="133"/>
      <c r="H18" s="132"/>
      <c r="I18" s="132"/>
      <c r="J18" s="132"/>
      <c r="K18" s="132"/>
      <c r="L18" s="132"/>
      <c r="M18" s="132"/>
      <c r="N18" s="132"/>
      <c r="O18" s="132"/>
      <c r="P18" s="132"/>
      <c r="Q18" s="132"/>
      <c r="R18" s="132"/>
      <c r="S18" s="132"/>
      <c r="T18" s="132"/>
      <c r="U18" s="135"/>
      <c r="V18" s="132"/>
      <c r="W18" s="132"/>
      <c r="X18" s="132"/>
      <c r="Y18" s="132"/>
      <c r="Z18" s="132"/>
      <c r="AA18" s="118"/>
    </row>
    <row r="19" spans="1:27" ht="15" thickBot="1" x14ac:dyDescent="0.35">
      <c r="A19" s="149" t="s">
        <v>72</v>
      </c>
      <c r="B19" s="148"/>
      <c r="C19" s="148"/>
      <c r="D19" s="148"/>
      <c r="E19" s="144"/>
      <c r="F19" s="132"/>
      <c r="G19" s="133"/>
      <c r="H19" s="132"/>
      <c r="I19" s="132"/>
      <c r="J19" s="132"/>
      <c r="K19" s="132"/>
      <c r="L19" s="132"/>
      <c r="M19" s="132"/>
      <c r="N19" s="132"/>
      <c r="O19" s="132"/>
      <c r="P19" s="132"/>
      <c r="Q19" s="132"/>
      <c r="R19" s="132"/>
      <c r="S19" s="132"/>
      <c r="T19" s="132"/>
      <c r="U19" s="135"/>
      <c r="V19" s="132"/>
      <c r="W19" s="132"/>
      <c r="X19" s="132"/>
      <c r="Y19" s="132"/>
      <c r="Z19" s="132"/>
      <c r="AA19" s="118"/>
    </row>
    <row r="20" spans="1:27" ht="15.6" x14ac:dyDescent="0.35">
      <c r="A20" s="158"/>
      <c r="B20" s="150"/>
      <c r="C20" s="150"/>
      <c r="D20" s="150"/>
      <c r="E20" s="150"/>
      <c r="F20" s="137"/>
      <c r="G20" s="157" t="s">
        <v>524</v>
      </c>
      <c r="H20" s="191" t="str">
        <f>CHOOSE(Variable_Management!B25, "DCM","CCM")</f>
        <v>CCM</v>
      </c>
      <c r="I20" s="139"/>
      <c r="J20" s="132"/>
      <c r="K20" s="132"/>
      <c r="L20" s="132"/>
      <c r="M20" s="132"/>
      <c r="N20" s="132"/>
      <c r="O20" s="132"/>
      <c r="P20" s="132"/>
      <c r="Q20" s="132"/>
      <c r="R20" s="132"/>
      <c r="S20" s="132"/>
      <c r="T20" s="132"/>
      <c r="U20" s="135"/>
      <c r="V20" s="132"/>
      <c r="W20" s="132"/>
      <c r="X20" s="132"/>
      <c r="Y20" s="132"/>
      <c r="Z20" s="132"/>
      <c r="AA20" s="118"/>
    </row>
    <row r="21" spans="1:27" x14ac:dyDescent="0.3">
      <c r="A21" s="143"/>
      <c r="B21" s="144"/>
      <c r="C21" s="144"/>
      <c r="D21" s="144"/>
      <c r="E21" s="144"/>
      <c r="F21" s="135"/>
      <c r="G21" s="141" t="str">
        <f>CHOOSE(Variable_Management!B25,"Maximum duty cycle at the minimum supply voltage","Desired Maximum Inductor Current Ripple Ratio")</f>
        <v>Desired Maximum Inductor Current Ripple Ratio</v>
      </c>
      <c r="H21" s="167">
        <v>60</v>
      </c>
      <c r="I21" s="142" t="s">
        <v>13</v>
      </c>
      <c r="J21" s="132"/>
      <c r="K21" s="132"/>
      <c r="L21" s="132"/>
      <c r="M21" s="132"/>
      <c r="N21" s="132"/>
      <c r="O21" s="132"/>
      <c r="P21" s="132"/>
      <c r="Q21" s="132"/>
      <c r="R21" s="132"/>
      <c r="S21" s="132"/>
      <c r="T21" s="132"/>
      <c r="U21" s="135"/>
      <c r="V21" s="132"/>
      <c r="W21" s="132"/>
      <c r="X21" s="132"/>
      <c r="Y21" s="132"/>
      <c r="Z21" s="132"/>
      <c r="AA21" s="118"/>
    </row>
    <row r="22" spans="1:27" ht="15" x14ac:dyDescent="0.35">
      <c r="A22" s="140"/>
      <c r="B22" s="135"/>
      <c r="C22" s="135"/>
      <c r="D22" s="135"/>
      <c r="E22" s="135"/>
      <c r="F22" s="135"/>
      <c r="G22" s="141" t="s">
        <v>390</v>
      </c>
      <c r="H22" s="170">
        <f>CHOOSE(Variable_Management!B25,Variable_Management!B45*10^9,Variable_Management!B45*10^6)</f>
        <v>3.2320799999999998</v>
      </c>
      <c r="I22" s="142" t="str">
        <f>CHOOSE(Variable_Management!B25,"nH","uH")</f>
        <v>uH</v>
      </c>
      <c r="J22" s="132"/>
      <c r="K22" s="132"/>
      <c r="L22" s="132"/>
      <c r="M22" s="132"/>
      <c r="N22" s="132"/>
      <c r="O22" s="132"/>
      <c r="P22" s="132"/>
      <c r="Q22" s="132"/>
      <c r="R22" s="132"/>
      <c r="S22" s="132"/>
      <c r="T22" s="132"/>
      <c r="U22" s="135"/>
      <c r="V22" s="132"/>
      <c r="W22" s="132"/>
      <c r="X22" s="132"/>
      <c r="Y22" s="132"/>
      <c r="Z22" s="132"/>
      <c r="AA22" s="118"/>
    </row>
    <row r="23" spans="1:27" ht="15" x14ac:dyDescent="0.35">
      <c r="A23" s="140"/>
      <c r="B23" s="135"/>
      <c r="C23" s="135"/>
      <c r="D23" s="135"/>
      <c r="E23" s="135"/>
      <c r="F23" s="135"/>
      <c r="G23" s="141" t="s">
        <v>391</v>
      </c>
      <c r="H23" s="167">
        <v>4.7</v>
      </c>
      <c r="I23" s="142" t="str">
        <f>CHOOSE(Variable_Management!B25,"nH","uH")</f>
        <v>uH</v>
      </c>
      <c r="J23" s="132"/>
      <c r="K23" s="132"/>
      <c r="L23" s="132"/>
      <c r="M23" s="132"/>
      <c r="N23" s="132"/>
      <c r="O23" s="132"/>
      <c r="P23" s="132"/>
      <c r="Q23" s="132"/>
      <c r="R23" s="132"/>
      <c r="S23" s="132"/>
      <c r="T23" s="132"/>
      <c r="U23" s="135"/>
      <c r="V23" s="132"/>
      <c r="W23" s="132"/>
      <c r="X23" s="132"/>
      <c r="Y23" s="132"/>
      <c r="Z23" s="132"/>
      <c r="AA23" s="118"/>
    </row>
    <row r="24" spans="1:27" ht="15" x14ac:dyDescent="0.35">
      <c r="A24" s="140"/>
      <c r="B24" s="135"/>
      <c r="C24" s="135"/>
      <c r="D24" s="135"/>
      <c r="E24" s="135"/>
      <c r="F24" s="135"/>
      <c r="G24" s="141" t="s">
        <v>76</v>
      </c>
      <c r="H24" s="167">
        <v>2</v>
      </c>
      <c r="I24" s="142" t="s">
        <v>92</v>
      </c>
      <c r="J24" s="132"/>
      <c r="K24" s="132"/>
      <c r="L24" s="132"/>
      <c r="M24" s="132"/>
      <c r="N24" s="132"/>
      <c r="O24" s="132"/>
      <c r="P24" s="132"/>
      <c r="Q24" s="132"/>
      <c r="R24" s="132"/>
      <c r="S24" s="132"/>
      <c r="T24" s="132"/>
      <c r="U24" s="135"/>
      <c r="V24" s="132"/>
      <c r="W24" s="132"/>
      <c r="X24" s="132"/>
      <c r="Y24" s="132"/>
      <c r="Z24" s="132"/>
      <c r="AA24" s="118"/>
    </row>
    <row r="25" spans="1:27" ht="15.6" thickBot="1" x14ac:dyDescent="0.4">
      <c r="A25" s="151"/>
      <c r="B25" s="146"/>
      <c r="C25" s="146"/>
      <c r="D25" s="146"/>
      <c r="E25" s="146"/>
      <c r="F25" s="146"/>
      <c r="G25" s="152" t="s">
        <v>93</v>
      </c>
      <c r="H25" s="171">
        <f>ILp_VINmin</f>
        <v>12.471120782290996</v>
      </c>
      <c r="I25" s="147" t="s">
        <v>11</v>
      </c>
      <c r="J25" s="132"/>
      <c r="K25" s="132"/>
      <c r="L25" s="132"/>
      <c r="M25" s="132"/>
      <c r="N25" s="132"/>
      <c r="O25" s="132"/>
      <c r="P25" s="132"/>
      <c r="Q25" s="132"/>
      <c r="R25" s="132"/>
      <c r="S25" s="132"/>
      <c r="T25" s="132"/>
      <c r="U25" s="135"/>
      <c r="V25" s="132"/>
      <c r="W25" s="132"/>
      <c r="X25" s="132"/>
      <c r="Y25" s="132"/>
      <c r="Z25" s="132"/>
      <c r="AA25" s="118"/>
    </row>
    <row r="26" spans="1:27" x14ac:dyDescent="0.3">
      <c r="A26" s="132"/>
      <c r="B26" s="132"/>
      <c r="C26" s="132"/>
      <c r="D26" s="132"/>
      <c r="E26" s="132"/>
      <c r="F26" s="132"/>
      <c r="G26" s="133"/>
      <c r="H26" s="132"/>
      <c r="I26" s="132"/>
      <c r="J26" s="132"/>
      <c r="K26" s="132"/>
      <c r="L26" s="132"/>
      <c r="M26" s="132"/>
      <c r="N26" s="132"/>
      <c r="O26" s="132"/>
      <c r="P26" s="132"/>
      <c r="Q26" s="132"/>
      <c r="R26" s="132"/>
      <c r="S26" s="132"/>
      <c r="T26" s="132"/>
      <c r="U26" s="135"/>
      <c r="V26" s="132"/>
      <c r="W26" s="132"/>
      <c r="X26" s="132"/>
      <c r="Y26" s="132"/>
      <c r="Z26" s="132"/>
      <c r="AA26" s="118"/>
    </row>
    <row r="27" spans="1:27" ht="15" thickBot="1" x14ac:dyDescent="0.35">
      <c r="A27" s="149" t="s">
        <v>112</v>
      </c>
      <c r="B27" s="132"/>
      <c r="C27" s="132"/>
      <c r="D27" s="132"/>
      <c r="E27" s="132"/>
      <c r="F27" s="132"/>
      <c r="G27" s="133"/>
      <c r="H27" s="132"/>
      <c r="I27" s="132"/>
      <c r="J27" s="132"/>
      <c r="K27" s="132"/>
      <c r="L27" s="132"/>
      <c r="M27" s="132"/>
      <c r="N27" s="132"/>
      <c r="O27" s="132"/>
      <c r="P27" s="132"/>
      <c r="Q27" s="132"/>
      <c r="R27" s="132"/>
      <c r="S27" s="132"/>
      <c r="T27" s="132"/>
      <c r="U27" s="135"/>
      <c r="V27" s="132"/>
      <c r="W27" s="132"/>
      <c r="X27" s="132"/>
      <c r="Y27" s="132"/>
      <c r="Z27" s="132"/>
      <c r="AA27" s="118"/>
    </row>
    <row r="28" spans="1:27" x14ac:dyDescent="0.3">
      <c r="A28" s="136"/>
      <c r="B28" s="137"/>
      <c r="C28" s="137"/>
      <c r="D28" s="137"/>
      <c r="E28" s="137"/>
      <c r="F28" s="137"/>
      <c r="G28" s="138" t="s">
        <v>415</v>
      </c>
      <c r="H28" s="166">
        <v>30</v>
      </c>
      <c r="I28" s="139" t="s">
        <v>13</v>
      </c>
      <c r="J28" s="132"/>
      <c r="K28" s="132"/>
      <c r="L28" s="132"/>
      <c r="M28" s="132"/>
      <c r="N28" s="132"/>
      <c r="O28" s="132"/>
      <c r="P28" s="132"/>
      <c r="Q28" s="132"/>
      <c r="R28" s="132"/>
      <c r="S28" s="132"/>
      <c r="T28" s="132"/>
      <c r="U28" s="135"/>
      <c r="V28" s="132"/>
      <c r="W28" s="132"/>
      <c r="X28" s="132"/>
      <c r="Y28" s="132"/>
      <c r="Z28" s="132"/>
      <c r="AA28" s="118"/>
    </row>
    <row r="29" spans="1:27" ht="15.6" x14ac:dyDescent="0.35">
      <c r="A29" s="140"/>
      <c r="B29" s="135"/>
      <c r="C29" s="135"/>
      <c r="D29" s="135"/>
      <c r="E29" s="135"/>
      <c r="F29" s="135"/>
      <c r="G29" s="153" t="s">
        <v>170</v>
      </c>
      <c r="H29" s="168">
        <f>Ipk_selected</f>
        <v>16.972690935106947</v>
      </c>
      <c r="I29" s="142" t="s">
        <v>11</v>
      </c>
      <c r="J29" s="132"/>
      <c r="K29" s="132"/>
      <c r="L29" s="132"/>
      <c r="M29" s="132"/>
      <c r="N29" s="132"/>
      <c r="O29" s="132"/>
      <c r="P29" s="132"/>
      <c r="Q29" s="132"/>
      <c r="R29" s="132"/>
      <c r="S29" s="132"/>
      <c r="T29" s="132"/>
      <c r="U29" s="135"/>
      <c r="V29" s="132"/>
      <c r="W29" s="132"/>
      <c r="X29" s="132"/>
      <c r="Y29" s="132"/>
      <c r="Z29" s="132"/>
      <c r="AA29" s="118"/>
    </row>
    <row r="30" spans="1:27" ht="15.6" x14ac:dyDescent="0.35">
      <c r="A30" s="140"/>
      <c r="B30" s="135"/>
      <c r="C30" s="135"/>
      <c r="D30" s="135"/>
      <c r="E30" s="135"/>
      <c r="F30" s="135"/>
      <c r="G30" s="153" t="s">
        <v>418</v>
      </c>
      <c r="H30" s="168">
        <f>Variable_Management!B87*1000</f>
        <v>3.535090589312138</v>
      </c>
      <c r="I30" s="142" t="s">
        <v>92</v>
      </c>
      <c r="J30" s="132"/>
      <c r="K30" s="132"/>
      <c r="L30" s="132"/>
      <c r="M30" s="132"/>
      <c r="N30" s="132"/>
      <c r="O30" s="132"/>
      <c r="P30" s="132"/>
      <c r="Q30" s="132"/>
      <c r="R30" s="132"/>
      <c r="S30" s="132"/>
      <c r="T30" s="132"/>
      <c r="U30" s="135"/>
      <c r="V30" s="132"/>
      <c r="W30" s="132"/>
      <c r="X30" s="132"/>
      <c r="Y30" s="132"/>
      <c r="Z30" s="132"/>
      <c r="AA30" s="118"/>
    </row>
    <row r="31" spans="1:27" ht="15.6" x14ac:dyDescent="0.35">
      <c r="A31" s="140"/>
      <c r="B31" s="135"/>
      <c r="C31" s="135"/>
      <c r="D31" s="135"/>
      <c r="E31" s="135"/>
      <c r="F31" s="135"/>
      <c r="G31" s="153" t="s">
        <v>419</v>
      </c>
      <c r="H31" s="167">
        <v>3</v>
      </c>
      <c r="I31" s="142" t="s">
        <v>92</v>
      </c>
      <c r="J31" s="132"/>
      <c r="K31" s="132"/>
      <c r="L31" s="132"/>
      <c r="M31" s="132"/>
      <c r="N31" s="132"/>
      <c r="O31" s="132"/>
      <c r="P31" s="132"/>
      <c r="Q31" s="132"/>
      <c r="R31" s="132"/>
      <c r="S31" s="132"/>
      <c r="T31" s="132"/>
      <c r="U31" s="135"/>
      <c r="V31" s="132"/>
      <c r="W31" s="132"/>
      <c r="X31" s="132"/>
      <c r="Y31" s="132"/>
      <c r="Z31" s="132"/>
      <c r="AA31" s="118"/>
    </row>
    <row r="32" spans="1:27" ht="15" thickBot="1" x14ac:dyDescent="0.35">
      <c r="A32" s="151"/>
      <c r="B32" s="146"/>
      <c r="C32" s="146"/>
      <c r="D32" s="146"/>
      <c r="E32" s="146"/>
      <c r="F32" s="146"/>
      <c r="G32" s="155" t="s">
        <v>143</v>
      </c>
      <c r="H32" s="172">
        <f>IL_pk_max</f>
        <v>20</v>
      </c>
      <c r="I32" s="156" t="s">
        <v>11</v>
      </c>
      <c r="J32" s="132"/>
      <c r="K32" s="132"/>
      <c r="L32" s="132"/>
      <c r="M32" s="132"/>
      <c r="N32" s="132"/>
      <c r="O32" s="132"/>
      <c r="P32" s="132"/>
      <c r="Q32" s="132"/>
      <c r="R32" s="132"/>
      <c r="S32" s="132"/>
      <c r="T32" s="132"/>
      <c r="U32" s="135"/>
      <c r="V32" s="132"/>
      <c r="W32" s="132"/>
      <c r="X32" s="132"/>
      <c r="Y32" s="132"/>
      <c r="Z32" s="132"/>
      <c r="AA32" s="118"/>
    </row>
    <row r="33" spans="1:27" x14ac:dyDescent="0.3">
      <c r="A33" s="132"/>
      <c r="B33" s="132"/>
      <c r="C33" s="132"/>
      <c r="D33" s="132"/>
      <c r="E33" s="132"/>
      <c r="F33" s="132"/>
      <c r="G33" s="133"/>
      <c r="H33" s="132"/>
      <c r="I33" s="132"/>
      <c r="J33" s="132"/>
      <c r="K33" s="132"/>
      <c r="L33" s="132"/>
      <c r="M33" s="132"/>
      <c r="N33" s="132"/>
      <c r="O33" s="132"/>
      <c r="P33" s="132"/>
      <c r="Q33" s="132"/>
      <c r="R33" s="132"/>
      <c r="S33" s="132"/>
      <c r="T33" s="132"/>
      <c r="U33" s="135"/>
      <c r="V33" s="132"/>
      <c r="W33" s="132"/>
      <c r="X33" s="132"/>
      <c r="Y33" s="132"/>
      <c r="Z33" s="132"/>
      <c r="AA33" s="118"/>
    </row>
    <row r="34" spans="1:27" ht="15" thickBot="1" x14ac:dyDescent="0.35">
      <c r="A34" s="149" t="s">
        <v>154</v>
      </c>
      <c r="B34" s="132"/>
      <c r="C34" s="132"/>
      <c r="D34" s="132"/>
      <c r="E34" s="132"/>
      <c r="F34" s="132"/>
      <c r="G34" s="133"/>
      <c r="H34" s="132"/>
      <c r="I34" s="132"/>
      <c r="J34" s="132"/>
      <c r="K34" s="132"/>
      <c r="L34" s="132"/>
      <c r="M34" s="132"/>
      <c r="N34" s="132"/>
      <c r="O34" s="132"/>
      <c r="P34" s="132"/>
      <c r="Q34" s="132"/>
      <c r="R34" s="132"/>
      <c r="S34" s="132"/>
      <c r="T34" s="132"/>
      <c r="U34" s="135"/>
      <c r="V34" s="132"/>
      <c r="W34" s="132"/>
      <c r="X34" s="132"/>
      <c r="Y34" s="132"/>
      <c r="Z34" s="132"/>
      <c r="AA34" s="118"/>
    </row>
    <row r="35" spans="1:27" ht="15.6" x14ac:dyDescent="0.35">
      <c r="A35" s="136"/>
      <c r="B35" s="137"/>
      <c r="C35" s="137"/>
      <c r="D35" s="137"/>
      <c r="E35" s="137"/>
      <c r="F35" s="137"/>
      <c r="G35" s="157" t="s">
        <v>451</v>
      </c>
      <c r="H35" s="166">
        <v>240</v>
      </c>
      <c r="I35" s="139" t="s">
        <v>155</v>
      </c>
      <c r="J35" s="132"/>
      <c r="K35" s="132"/>
      <c r="L35" s="132"/>
      <c r="M35" s="132"/>
      <c r="N35" s="132"/>
      <c r="O35" s="132"/>
      <c r="P35" s="132"/>
      <c r="Q35" s="132"/>
      <c r="R35" s="132"/>
      <c r="S35" s="132"/>
      <c r="T35" s="132"/>
      <c r="U35" s="135"/>
      <c r="V35" s="132"/>
      <c r="W35" s="132"/>
      <c r="X35" s="132"/>
      <c r="Y35" s="132"/>
      <c r="Z35" s="132"/>
      <c r="AA35" s="118"/>
    </row>
    <row r="36" spans="1:27" x14ac:dyDescent="0.3">
      <c r="A36" s="140"/>
      <c r="B36" s="135"/>
      <c r="C36" s="135"/>
      <c r="D36" s="135"/>
      <c r="E36" s="135"/>
      <c r="F36" s="135"/>
      <c r="G36" s="153" t="s">
        <v>156</v>
      </c>
      <c r="H36" s="168">
        <f>Cout_min*10^6</f>
        <v>251.84327846364886</v>
      </c>
      <c r="I36" s="142" t="s">
        <v>157</v>
      </c>
      <c r="J36" s="132"/>
      <c r="K36" s="132"/>
      <c r="L36" s="132"/>
      <c r="M36" s="132"/>
      <c r="N36" s="132"/>
      <c r="O36" s="132"/>
      <c r="P36" s="132"/>
      <c r="Q36" s="132"/>
      <c r="R36" s="132"/>
      <c r="S36" s="132"/>
      <c r="T36" s="132"/>
      <c r="U36" s="135"/>
      <c r="V36" s="132"/>
      <c r="W36" s="132"/>
      <c r="X36" s="132"/>
      <c r="Y36" s="132"/>
      <c r="Z36" s="132"/>
      <c r="AA36" s="118"/>
    </row>
    <row r="37" spans="1:27" ht="15.6" x14ac:dyDescent="0.35">
      <c r="A37" s="140"/>
      <c r="B37" s="135"/>
      <c r="C37" s="135"/>
      <c r="D37" s="135"/>
      <c r="E37" s="135"/>
      <c r="F37" s="135"/>
      <c r="G37" s="153" t="s">
        <v>158</v>
      </c>
      <c r="H37" s="167">
        <v>220</v>
      </c>
      <c r="I37" s="142" t="s">
        <v>157</v>
      </c>
      <c r="J37" s="132"/>
      <c r="K37" s="132"/>
      <c r="L37" s="132"/>
      <c r="M37" s="132"/>
      <c r="N37" s="132"/>
      <c r="O37" s="132"/>
      <c r="P37" s="132"/>
      <c r="Q37" s="132"/>
      <c r="R37" s="132"/>
      <c r="S37" s="132"/>
      <c r="T37" s="132"/>
      <c r="U37" s="135"/>
      <c r="V37" s="132"/>
      <c r="W37" s="132"/>
      <c r="X37" s="132"/>
      <c r="Y37" s="132"/>
      <c r="Z37" s="132"/>
      <c r="AA37" s="118"/>
    </row>
    <row r="38" spans="1:27" ht="16.2" thickBot="1" x14ac:dyDescent="0.4">
      <c r="A38" s="151"/>
      <c r="B38" s="146"/>
      <c r="C38" s="146"/>
      <c r="D38" s="146"/>
      <c r="E38" s="146"/>
      <c r="F38" s="146"/>
      <c r="G38" s="155" t="s">
        <v>165</v>
      </c>
      <c r="H38" s="173">
        <v>2</v>
      </c>
      <c r="I38" s="147" t="s">
        <v>92</v>
      </c>
      <c r="J38" s="132"/>
      <c r="K38" s="132"/>
      <c r="L38" s="132"/>
      <c r="M38" s="132"/>
      <c r="N38" s="132"/>
      <c r="O38" s="132"/>
      <c r="P38" s="132"/>
      <c r="Q38" s="132"/>
      <c r="R38" s="132"/>
      <c r="S38" s="132"/>
      <c r="T38" s="132"/>
      <c r="U38" s="135"/>
      <c r="V38" s="132"/>
      <c r="W38" s="132"/>
      <c r="X38" s="132"/>
      <c r="Y38" s="132"/>
      <c r="Z38" s="132"/>
      <c r="AA38" s="118"/>
    </row>
    <row r="39" spans="1:27" x14ac:dyDescent="0.3">
      <c r="A39" s="132"/>
      <c r="B39" s="132"/>
      <c r="C39" s="132"/>
      <c r="D39" s="132"/>
      <c r="E39" s="132"/>
      <c r="F39" s="132"/>
      <c r="G39" s="133"/>
      <c r="H39" s="132"/>
      <c r="I39" s="132"/>
      <c r="J39" s="132"/>
      <c r="K39" s="132"/>
      <c r="L39" s="132"/>
      <c r="M39" s="132"/>
      <c r="N39" s="132"/>
      <c r="O39" s="132"/>
      <c r="P39" s="132"/>
      <c r="Q39" s="132"/>
      <c r="R39" s="132"/>
      <c r="S39" s="132"/>
      <c r="T39" s="132"/>
      <c r="U39" s="135"/>
      <c r="V39" s="132"/>
      <c r="W39" s="132"/>
      <c r="X39" s="132"/>
      <c r="Y39" s="132"/>
      <c r="Z39" s="132"/>
      <c r="AA39" s="118"/>
    </row>
    <row r="40" spans="1:27" ht="15" thickBot="1" x14ac:dyDescent="0.35">
      <c r="A40" s="149" t="s">
        <v>548</v>
      </c>
      <c r="B40" s="132"/>
      <c r="C40" s="132"/>
      <c r="D40" s="132"/>
      <c r="E40" s="132"/>
      <c r="F40" s="132"/>
      <c r="G40" s="133"/>
      <c r="H40" s="132"/>
      <c r="I40" s="132"/>
      <c r="J40" s="132"/>
      <c r="K40" s="132"/>
      <c r="L40" s="132"/>
      <c r="M40" s="132"/>
      <c r="N40" s="132"/>
      <c r="O40" s="132"/>
      <c r="P40" s="132"/>
      <c r="Q40" s="132"/>
      <c r="R40" s="132"/>
      <c r="S40" s="132"/>
      <c r="T40" s="132"/>
      <c r="U40" s="135"/>
      <c r="V40" s="132"/>
      <c r="W40" s="132"/>
      <c r="X40" s="132"/>
      <c r="Y40" s="132"/>
      <c r="Z40" s="132"/>
      <c r="AA40" s="118"/>
    </row>
    <row r="41" spans="1:27" ht="15.6" x14ac:dyDescent="0.35">
      <c r="A41" s="136"/>
      <c r="B41" s="137"/>
      <c r="C41" s="137"/>
      <c r="D41" s="137"/>
      <c r="E41" s="137"/>
      <c r="F41" s="137"/>
      <c r="G41" s="157" t="s">
        <v>285</v>
      </c>
      <c r="H41" s="175">
        <f>Variable_Management!B117*(10^9)</f>
        <v>25.343999999999991</v>
      </c>
      <c r="I41" s="139" t="s">
        <v>183</v>
      </c>
      <c r="J41" s="132"/>
      <c r="K41" s="132"/>
      <c r="L41" s="132"/>
      <c r="M41" s="132"/>
      <c r="N41" s="132"/>
      <c r="O41" s="132"/>
      <c r="P41" s="132"/>
      <c r="Q41" s="132"/>
      <c r="R41" s="132"/>
      <c r="S41" s="132"/>
      <c r="T41" s="132"/>
      <c r="U41" s="135"/>
      <c r="V41" s="132"/>
      <c r="W41" s="132"/>
      <c r="X41" s="132"/>
      <c r="Y41" s="132"/>
      <c r="Z41" s="132"/>
      <c r="AA41" s="118"/>
    </row>
    <row r="42" spans="1:27" ht="15.6" x14ac:dyDescent="0.35">
      <c r="A42" s="140"/>
      <c r="B42" s="135"/>
      <c r="C42" s="135"/>
      <c r="D42" s="135"/>
      <c r="E42" s="135"/>
      <c r="F42" s="135"/>
      <c r="G42" s="153" t="s">
        <v>290</v>
      </c>
      <c r="H42" s="167">
        <v>10</v>
      </c>
      <c r="I42" s="142" t="s">
        <v>286</v>
      </c>
      <c r="J42" s="132"/>
      <c r="K42" s="132"/>
      <c r="L42" s="132"/>
      <c r="M42" s="132"/>
      <c r="N42" s="132"/>
      <c r="O42" s="132"/>
      <c r="P42" s="132"/>
      <c r="Q42" s="132"/>
      <c r="R42" s="132"/>
      <c r="S42" s="132"/>
      <c r="T42" s="132"/>
      <c r="U42" s="135"/>
      <c r="V42" s="132"/>
      <c r="W42" s="132"/>
      <c r="X42" s="132"/>
      <c r="Y42" s="132"/>
      <c r="Z42" s="132"/>
      <c r="AA42" s="118"/>
    </row>
    <row r="43" spans="1:27" ht="16.2" thickBot="1" x14ac:dyDescent="0.4">
      <c r="A43" s="151"/>
      <c r="B43" s="146"/>
      <c r="C43" s="146"/>
      <c r="D43" s="146"/>
      <c r="E43" s="146"/>
      <c r="F43" s="146"/>
      <c r="G43" s="155" t="s">
        <v>289</v>
      </c>
      <c r="H43" s="176">
        <f>Variable_Management!B119*(10^9)</f>
        <v>320</v>
      </c>
      <c r="I43" s="147" t="s">
        <v>183</v>
      </c>
      <c r="J43" s="132"/>
      <c r="K43" s="132"/>
      <c r="L43" s="132"/>
      <c r="M43" s="132"/>
      <c r="N43" s="132"/>
      <c r="O43" s="132"/>
      <c r="P43" s="132"/>
      <c r="Q43" s="132"/>
      <c r="R43" s="132"/>
      <c r="S43" s="132"/>
      <c r="T43" s="132"/>
      <c r="U43" s="135"/>
      <c r="V43" s="132"/>
      <c r="W43" s="132"/>
      <c r="X43" s="132"/>
      <c r="Y43" s="132"/>
      <c r="Z43" s="132"/>
      <c r="AA43" s="118"/>
    </row>
    <row r="44" spans="1:27" x14ac:dyDescent="0.3">
      <c r="A44" s="132"/>
      <c r="B44" s="132"/>
      <c r="C44" s="132"/>
      <c r="D44" s="132"/>
      <c r="E44" s="132"/>
      <c r="F44" s="132"/>
      <c r="G44" s="132"/>
      <c r="H44" s="132"/>
      <c r="I44" s="132"/>
      <c r="J44" s="132"/>
      <c r="K44" s="132"/>
      <c r="L44" s="132"/>
      <c r="M44" s="132"/>
      <c r="N44" s="132"/>
      <c r="O44" s="132"/>
      <c r="P44" s="132"/>
      <c r="Q44" s="132"/>
      <c r="R44" s="132"/>
      <c r="S44" s="132"/>
      <c r="T44" s="132"/>
      <c r="U44" s="135"/>
      <c r="V44" s="132"/>
      <c r="W44" s="132"/>
      <c r="X44" s="132"/>
      <c r="Y44" s="132"/>
      <c r="Z44" s="132"/>
      <c r="AA44" s="118"/>
    </row>
    <row r="45" spans="1:27" ht="15" thickBot="1" x14ac:dyDescent="0.35">
      <c r="A45" s="149" t="s">
        <v>547</v>
      </c>
      <c r="B45" s="132"/>
      <c r="C45" s="132"/>
      <c r="D45" s="132"/>
      <c r="E45" s="132"/>
      <c r="F45" s="132"/>
      <c r="G45" s="133"/>
      <c r="H45" s="132"/>
      <c r="I45" s="132"/>
      <c r="J45" s="132"/>
      <c r="K45" s="132"/>
      <c r="L45" s="132"/>
      <c r="M45" s="132"/>
      <c r="N45" s="132"/>
      <c r="O45" s="132"/>
      <c r="P45" s="132"/>
      <c r="Q45" s="132"/>
      <c r="R45" s="132"/>
      <c r="S45" s="132"/>
      <c r="T45" s="132"/>
      <c r="U45" s="135"/>
      <c r="V45" s="132"/>
      <c r="W45" s="132"/>
      <c r="X45" s="132"/>
      <c r="Y45" s="132"/>
      <c r="Z45" s="132"/>
      <c r="AA45" s="118"/>
    </row>
    <row r="46" spans="1:27" ht="15.6" x14ac:dyDescent="0.35">
      <c r="A46" s="136"/>
      <c r="B46" s="137"/>
      <c r="C46" s="137"/>
      <c r="D46" s="137"/>
      <c r="E46" s="137"/>
      <c r="F46" s="137"/>
      <c r="G46" s="157" t="s">
        <v>542</v>
      </c>
      <c r="H46" s="166">
        <v>8</v>
      </c>
      <c r="I46" s="139" t="s">
        <v>10</v>
      </c>
      <c r="J46" s="132"/>
      <c r="K46" s="132"/>
      <c r="L46" s="132"/>
      <c r="M46" s="132"/>
      <c r="N46" s="132"/>
      <c r="O46" s="132"/>
      <c r="P46" s="132"/>
      <c r="Q46" s="132"/>
      <c r="R46" s="132"/>
      <c r="S46" s="132"/>
      <c r="T46" s="132"/>
      <c r="U46" s="135"/>
      <c r="V46" s="132"/>
      <c r="W46" s="132"/>
      <c r="X46" s="132"/>
      <c r="Y46" s="132"/>
      <c r="Z46" s="132"/>
      <c r="AA46" s="118"/>
    </row>
    <row r="47" spans="1:27" ht="15.6" x14ac:dyDescent="0.35">
      <c r="A47" s="140"/>
      <c r="B47" s="135"/>
      <c r="C47" s="135"/>
      <c r="D47" s="135"/>
      <c r="E47" s="135"/>
      <c r="F47" s="135"/>
      <c r="G47" s="153" t="s">
        <v>543</v>
      </c>
      <c r="H47" s="167">
        <v>7</v>
      </c>
      <c r="I47" s="142" t="s">
        <v>10</v>
      </c>
      <c r="J47" s="132"/>
      <c r="K47" s="132"/>
      <c r="L47" s="132"/>
      <c r="M47" s="132"/>
      <c r="N47" s="132"/>
      <c r="O47" s="132"/>
      <c r="P47" s="132"/>
      <c r="Q47" s="132"/>
      <c r="R47" s="132"/>
      <c r="S47" s="132"/>
      <c r="T47" s="132"/>
      <c r="U47" s="135"/>
      <c r="V47" s="132"/>
      <c r="W47" s="132"/>
      <c r="X47" s="132"/>
      <c r="Y47" s="132"/>
      <c r="Z47" s="132"/>
      <c r="AA47" s="118"/>
    </row>
    <row r="48" spans="1:27" ht="15.6" x14ac:dyDescent="0.35">
      <c r="A48" s="140"/>
      <c r="B48" s="135"/>
      <c r="C48" s="135"/>
      <c r="D48" s="135"/>
      <c r="E48" s="135"/>
      <c r="F48" s="135"/>
      <c r="G48" s="153" t="s">
        <v>544</v>
      </c>
      <c r="H48" s="174">
        <f>Ruvlo_top_calc/1000</f>
        <v>81.818181818181756</v>
      </c>
      <c r="I48" s="154" t="s">
        <v>181</v>
      </c>
      <c r="J48" s="132"/>
      <c r="K48" s="132"/>
      <c r="L48" s="132"/>
      <c r="M48" s="132"/>
      <c r="N48" s="132"/>
      <c r="O48" s="132"/>
      <c r="P48" s="132"/>
      <c r="Q48" s="132"/>
      <c r="R48" s="132"/>
      <c r="S48" s="132"/>
      <c r="T48" s="132"/>
      <c r="U48" s="135"/>
      <c r="V48" s="132"/>
      <c r="W48" s="132"/>
      <c r="X48" s="132"/>
      <c r="Y48" s="132"/>
      <c r="Z48" s="132"/>
      <c r="AA48" s="118"/>
    </row>
    <row r="49" spans="1:27" ht="15.6" x14ac:dyDescent="0.35">
      <c r="A49" s="140"/>
      <c r="B49" s="135"/>
      <c r="C49" s="135"/>
      <c r="D49" s="135"/>
      <c r="E49" s="135"/>
      <c r="F49" s="135"/>
      <c r="G49" s="153" t="s">
        <v>545</v>
      </c>
      <c r="H49" s="167">
        <v>80.599999999999994</v>
      </c>
      <c r="I49" s="154" t="s">
        <v>181</v>
      </c>
      <c r="J49" s="132"/>
      <c r="K49" s="132"/>
      <c r="L49" s="132"/>
      <c r="M49" s="132"/>
      <c r="N49" s="132"/>
      <c r="O49" s="132"/>
      <c r="P49" s="132"/>
      <c r="Q49" s="132"/>
      <c r="R49" s="132"/>
      <c r="S49" s="132"/>
      <c r="T49" s="132"/>
      <c r="U49" s="135"/>
      <c r="V49" s="132"/>
      <c r="W49" s="132"/>
      <c r="X49" s="132"/>
      <c r="Y49" s="132"/>
      <c r="Z49" s="132"/>
      <c r="AA49" s="118"/>
    </row>
    <row r="50" spans="1:27" ht="16.2" thickBot="1" x14ac:dyDescent="0.4">
      <c r="A50" s="151"/>
      <c r="B50" s="146"/>
      <c r="C50" s="146"/>
      <c r="D50" s="146"/>
      <c r="E50" s="146"/>
      <c r="F50" s="146"/>
      <c r="G50" s="155" t="s">
        <v>546</v>
      </c>
      <c r="H50" s="206">
        <f>Ruvlo_bottom_calc/1000</f>
        <v>12.84927536231884</v>
      </c>
      <c r="I50" s="156" t="s">
        <v>181</v>
      </c>
      <c r="J50" s="132"/>
      <c r="K50" s="132"/>
      <c r="L50" s="132"/>
      <c r="M50" s="132"/>
      <c r="N50" s="132"/>
      <c r="O50" s="132"/>
      <c r="P50" s="132"/>
      <c r="Q50" s="132"/>
      <c r="R50" s="132"/>
      <c r="S50" s="132"/>
      <c r="T50" s="132"/>
      <c r="U50" s="135"/>
      <c r="V50" s="132"/>
      <c r="W50" s="132"/>
      <c r="X50" s="132"/>
      <c r="Y50" s="132"/>
      <c r="Z50" s="132"/>
      <c r="AA50" s="118"/>
    </row>
    <row r="51" spans="1:27" x14ac:dyDescent="0.3">
      <c r="A51" s="132"/>
      <c r="B51" s="132"/>
      <c r="C51" s="132"/>
      <c r="D51" s="132"/>
      <c r="E51" s="132"/>
      <c r="F51" s="132"/>
      <c r="G51" s="133"/>
      <c r="H51" s="132"/>
      <c r="I51" s="132"/>
      <c r="J51" s="132"/>
      <c r="K51" s="132"/>
      <c r="L51" s="132"/>
      <c r="M51" s="132"/>
      <c r="N51" s="132"/>
      <c r="O51" s="132"/>
      <c r="P51" s="132"/>
      <c r="Q51" s="132"/>
      <c r="R51" s="132"/>
      <c r="S51" s="132"/>
      <c r="T51" s="132"/>
      <c r="U51" s="135"/>
      <c r="V51" s="132"/>
      <c r="W51" s="132"/>
      <c r="X51" s="132"/>
      <c r="Y51" s="132"/>
      <c r="Z51" s="132"/>
      <c r="AA51" s="118"/>
    </row>
    <row r="52" spans="1:27" x14ac:dyDescent="0.3">
      <c r="A52" s="132"/>
      <c r="B52" s="132"/>
      <c r="C52" s="132"/>
      <c r="D52" s="132"/>
      <c r="E52" s="132"/>
      <c r="F52" s="132"/>
      <c r="G52" s="133"/>
      <c r="H52" s="132"/>
      <c r="I52" s="132"/>
      <c r="J52" s="132"/>
      <c r="K52" s="132"/>
      <c r="L52" s="132"/>
      <c r="M52" s="132"/>
      <c r="N52" s="132"/>
      <c r="O52" s="132"/>
      <c r="P52" s="132"/>
      <c r="Q52" s="132"/>
      <c r="R52" s="132"/>
      <c r="S52" s="132"/>
      <c r="T52" s="132"/>
      <c r="U52" s="135"/>
      <c r="V52" s="132"/>
      <c r="W52" s="132"/>
      <c r="X52" s="132"/>
      <c r="Y52" s="132"/>
      <c r="Z52" s="132"/>
      <c r="AA52" s="118"/>
    </row>
    <row r="53" spans="1:27" ht="15" thickBot="1" x14ac:dyDescent="0.35">
      <c r="A53" s="149" t="s">
        <v>313</v>
      </c>
      <c r="B53" s="132"/>
      <c r="C53" s="132"/>
      <c r="D53" s="132"/>
      <c r="E53" s="132"/>
      <c r="F53" s="132"/>
      <c r="G53" s="132"/>
      <c r="H53" s="132"/>
      <c r="I53" s="132"/>
      <c r="J53" s="132"/>
      <c r="K53" s="132"/>
      <c r="L53" s="132"/>
      <c r="M53" s="132"/>
      <c r="N53" s="132"/>
      <c r="O53" s="132"/>
      <c r="P53" s="132"/>
      <c r="Q53" s="132"/>
      <c r="R53" s="132"/>
      <c r="S53" s="132"/>
      <c r="T53" s="132"/>
      <c r="U53" s="135"/>
      <c r="V53" s="132"/>
      <c r="W53" s="132"/>
      <c r="X53" s="132"/>
      <c r="Y53" s="132"/>
      <c r="Z53" s="132"/>
      <c r="AA53" s="118"/>
    </row>
    <row r="54" spans="1:27" ht="15.6" x14ac:dyDescent="0.35">
      <c r="A54" s="158"/>
      <c r="B54" s="137"/>
      <c r="C54" s="137"/>
      <c r="D54" s="137"/>
      <c r="E54" s="137"/>
      <c r="F54" s="137"/>
      <c r="G54" s="159" t="s">
        <v>416</v>
      </c>
      <c r="H54" s="177" t="str">
        <f>VIN_nom&amp;"V"</f>
        <v>9V</v>
      </c>
      <c r="I54" s="139"/>
      <c r="J54" s="132"/>
      <c r="K54" s="132"/>
      <c r="L54" s="132"/>
      <c r="M54" s="132"/>
      <c r="N54" s="132"/>
      <c r="O54" s="132"/>
      <c r="P54" s="132"/>
      <c r="Q54" s="132"/>
      <c r="R54" s="132"/>
      <c r="S54" s="132"/>
      <c r="T54" s="132"/>
      <c r="U54" s="135"/>
      <c r="V54" s="132"/>
      <c r="W54" s="132"/>
      <c r="X54" s="132"/>
      <c r="Y54" s="132"/>
      <c r="Z54" s="132"/>
      <c r="AA54" s="118"/>
    </row>
    <row r="55" spans="1:27" x14ac:dyDescent="0.3">
      <c r="A55" s="140"/>
      <c r="B55" s="135"/>
      <c r="C55" s="135"/>
      <c r="D55" s="135"/>
      <c r="E55" s="135"/>
      <c r="F55" s="135"/>
      <c r="G55" s="161" t="s">
        <v>564</v>
      </c>
      <c r="H55" s="178"/>
      <c r="I55" s="142"/>
      <c r="J55" s="132"/>
      <c r="K55" s="132"/>
      <c r="L55" s="132"/>
      <c r="M55" s="132"/>
      <c r="N55" s="132"/>
      <c r="O55" s="132"/>
      <c r="P55" s="132"/>
      <c r="Q55" s="132"/>
      <c r="R55" s="132"/>
      <c r="S55" s="132"/>
      <c r="T55" s="132"/>
      <c r="U55" s="135"/>
      <c r="V55" s="132"/>
      <c r="W55" s="132"/>
      <c r="X55" s="132"/>
      <c r="Y55" s="132"/>
      <c r="Z55" s="132"/>
      <c r="AA55" s="118"/>
    </row>
    <row r="56" spans="1:27" x14ac:dyDescent="0.3">
      <c r="A56" s="160"/>
      <c r="B56" s="135"/>
      <c r="C56" s="135"/>
      <c r="D56" s="135"/>
      <c r="E56" s="135"/>
      <c r="F56" s="135"/>
      <c r="G56" s="153" t="s">
        <v>519</v>
      </c>
      <c r="H56" s="180" t="str">
        <f>CHOOSE(VOUT_range,"Low","High")</f>
        <v>High</v>
      </c>
      <c r="I56" s="142"/>
      <c r="J56" s="132"/>
      <c r="K56" s="132"/>
      <c r="L56" s="132"/>
      <c r="M56" s="132"/>
      <c r="N56" s="132"/>
      <c r="O56" s="132"/>
      <c r="P56" s="132"/>
      <c r="Q56" s="132"/>
      <c r="R56" s="132"/>
      <c r="S56" s="132"/>
      <c r="T56" s="132"/>
      <c r="U56" s="135"/>
      <c r="V56" s="132"/>
      <c r="W56" s="132"/>
      <c r="X56" s="132"/>
      <c r="Y56" s="132"/>
      <c r="Z56" s="132"/>
      <c r="AA56" s="118"/>
    </row>
    <row r="57" spans="1:27" ht="15.6" x14ac:dyDescent="0.35">
      <c r="A57" s="160"/>
      <c r="B57" s="135"/>
      <c r="C57" s="135"/>
      <c r="D57" s="135"/>
      <c r="E57" s="135"/>
      <c r="F57" s="135"/>
      <c r="G57" s="153" t="s">
        <v>566</v>
      </c>
      <c r="H57" s="179">
        <f>VTRK</f>
        <v>0.4</v>
      </c>
      <c r="I57" s="154" t="s">
        <v>10</v>
      </c>
      <c r="J57" s="132"/>
      <c r="K57" s="132"/>
      <c r="L57" s="132"/>
      <c r="M57" s="132"/>
      <c r="N57" s="132"/>
      <c r="O57" s="132"/>
      <c r="P57" s="132"/>
      <c r="Q57" s="132"/>
      <c r="R57" s="132"/>
      <c r="S57" s="132"/>
      <c r="T57" s="132"/>
      <c r="U57" s="135"/>
      <c r="V57" s="132"/>
      <c r="W57" s="132"/>
      <c r="X57" s="132"/>
      <c r="Y57" s="132"/>
      <c r="Z57" s="132"/>
      <c r="AA57" s="118"/>
    </row>
    <row r="58" spans="1:27" ht="15.6" x14ac:dyDescent="0.35">
      <c r="A58" s="160"/>
      <c r="B58" s="132"/>
      <c r="C58" s="132"/>
      <c r="D58" s="132"/>
      <c r="E58" s="132"/>
      <c r="F58" s="132"/>
      <c r="G58" s="133" t="s">
        <v>599</v>
      </c>
      <c r="H58" s="201">
        <f>Variable_Management!B144/1000</f>
        <v>12</v>
      </c>
      <c r="I58" s="154" t="s">
        <v>181</v>
      </c>
      <c r="J58" s="132"/>
      <c r="K58" s="132"/>
      <c r="L58" s="132"/>
      <c r="M58" s="132"/>
      <c r="N58" s="132"/>
      <c r="O58" s="132"/>
      <c r="P58" s="132"/>
      <c r="Q58" s="132"/>
      <c r="R58" s="132"/>
      <c r="S58" s="132"/>
      <c r="T58" s="132"/>
      <c r="U58" s="135"/>
      <c r="V58" s="132"/>
      <c r="W58" s="132"/>
      <c r="X58" s="132"/>
      <c r="Y58" s="132"/>
      <c r="Z58" s="132"/>
      <c r="AA58" s="118"/>
    </row>
    <row r="59" spans="1:27" ht="15.6" x14ac:dyDescent="0.35">
      <c r="A59" s="160"/>
      <c r="B59" s="132"/>
      <c r="C59" s="132"/>
      <c r="D59" s="132"/>
      <c r="E59" s="132"/>
      <c r="F59" s="132"/>
      <c r="G59" s="133" t="s">
        <v>600</v>
      </c>
      <c r="H59" s="201">
        <f>Variable_Management!B143/1000</f>
        <v>21</v>
      </c>
      <c r="I59" s="154" t="s">
        <v>181</v>
      </c>
      <c r="J59" s="132"/>
      <c r="K59" s="132"/>
      <c r="L59" s="132"/>
      <c r="M59" s="132"/>
      <c r="N59" s="132"/>
      <c r="O59" s="132"/>
      <c r="P59" s="132"/>
      <c r="Q59" s="132"/>
      <c r="R59" s="132"/>
      <c r="S59" s="132"/>
      <c r="T59" s="132"/>
      <c r="U59" s="135"/>
      <c r="V59" s="132"/>
      <c r="W59" s="132"/>
      <c r="X59" s="132"/>
      <c r="Y59" s="132"/>
      <c r="Z59" s="132"/>
      <c r="AA59" s="118"/>
    </row>
    <row r="60" spans="1:27" ht="15.6" x14ac:dyDescent="0.35">
      <c r="A60" s="160"/>
      <c r="B60" s="135"/>
      <c r="C60" s="135"/>
      <c r="D60" s="135"/>
      <c r="E60" s="135"/>
      <c r="F60" s="135"/>
      <c r="G60" s="153" t="s">
        <v>592</v>
      </c>
      <c r="H60" s="167">
        <v>21</v>
      </c>
      <c r="I60" s="154" t="s">
        <v>181</v>
      </c>
      <c r="J60" s="132"/>
      <c r="K60" s="132"/>
      <c r="L60" s="132"/>
      <c r="M60" s="132"/>
      <c r="N60" s="132"/>
      <c r="O60" s="132"/>
      <c r="P60" s="132"/>
      <c r="Q60" s="132"/>
      <c r="R60" s="132"/>
      <c r="S60" s="132"/>
      <c r="T60" s="132"/>
      <c r="U60" s="135"/>
      <c r="V60" s="132"/>
      <c r="W60" s="132"/>
      <c r="X60" s="132"/>
      <c r="Y60" s="132"/>
      <c r="Z60" s="132"/>
      <c r="AA60" s="118"/>
    </row>
    <row r="61" spans="1:27" ht="15.6" x14ac:dyDescent="0.35">
      <c r="A61" s="140"/>
      <c r="B61" s="135"/>
      <c r="C61" s="135"/>
      <c r="D61" s="135"/>
      <c r="E61" s="135"/>
      <c r="F61" s="135"/>
      <c r="G61" s="153" t="s">
        <v>565</v>
      </c>
      <c r="H61" s="233">
        <f>RFBB_calc/1000</f>
        <v>14</v>
      </c>
      <c r="I61" s="154" t="s">
        <v>181</v>
      </c>
      <c r="J61" s="132"/>
      <c r="K61" s="132"/>
      <c r="L61" s="132"/>
      <c r="M61" s="132"/>
      <c r="N61" s="132"/>
      <c r="O61" s="132"/>
      <c r="P61" s="132"/>
      <c r="Q61" s="132"/>
      <c r="R61" s="132"/>
      <c r="S61" s="132"/>
      <c r="T61" s="132"/>
      <c r="U61" s="135"/>
      <c r="V61" s="132"/>
      <c r="W61" s="132"/>
      <c r="X61" s="132"/>
      <c r="Y61" s="132"/>
      <c r="Z61" s="132"/>
      <c r="AA61" s="118"/>
    </row>
    <row r="62" spans="1:27" ht="15.6" x14ac:dyDescent="0.35">
      <c r="A62" s="140"/>
      <c r="B62" s="135"/>
      <c r="C62" s="135"/>
      <c r="D62" s="135"/>
      <c r="E62" s="135"/>
      <c r="F62" s="135"/>
      <c r="G62" s="153" t="s">
        <v>596</v>
      </c>
      <c r="H62" s="167">
        <v>14</v>
      </c>
      <c r="I62" s="154" t="s">
        <v>181</v>
      </c>
      <c r="J62" s="132"/>
      <c r="K62" s="132"/>
      <c r="L62" s="132"/>
      <c r="M62" s="132"/>
      <c r="N62" s="132"/>
      <c r="O62" s="132"/>
      <c r="P62" s="132"/>
      <c r="Q62" s="132"/>
      <c r="R62" s="132"/>
      <c r="S62" s="132"/>
      <c r="T62" s="132"/>
      <c r="U62" s="135"/>
      <c r="V62" s="132"/>
      <c r="W62" s="132"/>
      <c r="X62" s="132"/>
      <c r="Y62" s="132"/>
      <c r="Z62" s="132"/>
      <c r="AA62" s="118"/>
    </row>
    <row r="63" spans="1:27" x14ac:dyDescent="0.3">
      <c r="A63" s="140"/>
      <c r="B63" s="135"/>
      <c r="C63" s="135"/>
      <c r="D63" s="135"/>
      <c r="E63" s="135"/>
      <c r="F63" s="135"/>
      <c r="G63" s="153"/>
      <c r="H63" s="169"/>
      <c r="I63" s="154"/>
      <c r="J63" s="132"/>
      <c r="K63" s="132"/>
      <c r="L63" s="132"/>
      <c r="M63" s="132"/>
      <c r="N63" s="132"/>
      <c r="O63" s="132"/>
      <c r="P63" s="132"/>
      <c r="Q63" s="132"/>
      <c r="R63" s="132"/>
      <c r="S63" s="132"/>
      <c r="T63" s="132"/>
      <c r="U63" s="135"/>
      <c r="V63" s="132"/>
      <c r="W63" s="132"/>
      <c r="X63" s="132"/>
      <c r="Y63" s="132"/>
      <c r="Z63" s="132"/>
      <c r="AA63" s="118"/>
    </row>
    <row r="64" spans="1:27" ht="15.6" x14ac:dyDescent="0.35">
      <c r="A64" s="140"/>
      <c r="B64" s="135"/>
      <c r="C64" s="135"/>
      <c r="D64" s="135"/>
      <c r="E64" s="135"/>
      <c r="F64" s="135"/>
      <c r="G64" s="153" t="s">
        <v>598</v>
      </c>
      <c r="H64" s="201">
        <f>fcross_est/1000</f>
        <v>5.4857661235929882</v>
      </c>
      <c r="I64" s="142" t="s">
        <v>12</v>
      </c>
      <c r="J64" s="132"/>
      <c r="K64" s="132"/>
      <c r="L64" s="132"/>
      <c r="M64" s="132"/>
      <c r="N64" s="132"/>
      <c r="O64" s="132"/>
      <c r="P64" s="132"/>
      <c r="Q64" s="132"/>
      <c r="R64" s="132"/>
      <c r="S64" s="132"/>
      <c r="T64" s="132"/>
      <c r="U64" s="135"/>
      <c r="V64" s="132"/>
      <c r="W64" s="132"/>
      <c r="X64" s="132"/>
      <c r="Y64" s="132"/>
      <c r="Z64" s="132"/>
      <c r="AA64" s="118"/>
    </row>
    <row r="65" spans="1:27" ht="15.6" x14ac:dyDescent="0.35">
      <c r="A65" s="140"/>
      <c r="B65" s="135"/>
      <c r="C65" s="135"/>
      <c r="D65" s="135"/>
      <c r="E65" s="135"/>
      <c r="F65" s="135"/>
      <c r="G65" s="153" t="s">
        <v>597</v>
      </c>
      <c r="H65" s="167">
        <v>5.5</v>
      </c>
      <c r="I65" s="142" t="s">
        <v>12</v>
      </c>
      <c r="J65" s="132"/>
      <c r="K65" s="132"/>
      <c r="L65" s="132"/>
      <c r="M65" s="132"/>
      <c r="N65" s="132"/>
      <c r="O65" s="132"/>
      <c r="P65" s="132"/>
      <c r="Q65" s="132"/>
      <c r="R65" s="132"/>
      <c r="S65" s="132"/>
      <c r="T65" s="132"/>
      <c r="U65" s="135"/>
      <c r="V65" s="132"/>
      <c r="W65" s="132"/>
      <c r="X65" s="132"/>
      <c r="Y65" s="132"/>
      <c r="Z65" s="132"/>
      <c r="AA65" s="118"/>
    </row>
    <row r="66" spans="1:27" x14ac:dyDescent="0.3">
      <c r="A66" s="140"/>
      <c r="B66" s="135"/>
      <c r="C66" s="135"/>
      <c r="D66" s="135"/>
      <c r="E66" s="135"/>
      <c r="F66" s="135"/>
      <c r="G66" s="153"/>
      <c r="H66" s="169"/>
      <c r="I66" s="142"/>
      <c r="J66" s="132"/>
      <c r="K66" s="132"/>
      <c r="L66" s="132"/>
      <c r="M66" s="132"/>
      <c r="N66" s="132"/>
      <c r="O66" s="132"/>
      <c r="P66" s="132"/>
      <c r="Q66" s="132"/>
      <c r="R66" s="132"/>
      <c r="S66" s="132"/>
      <c r="T66" s="132"/>
      <c r="U66" s="135"/>
      <c r="V66" s="132"/>
      <c r="W66" s="132"/>
      <c r="X66" s="132"/>
      <c r="Y66" s="132"/>
      <c r="Z66" s="132"/>
      <c r="AA66" s="118"/>
    </row>
    <row r="67" spans="1:27" ht="15" thickBot="1" x14ac:dyDescent="0.35">
      <c r="A67" s="140"/>
      <c r="B67" s="135"/>
      <c r="C67" s="135"/>
      <c r="D67" s="135"/>
      <c r="E67" s="135"/>
      <c r="F67" s="162" t="s">
        <v>266</v>
      </c>
      <c r="G67" s="162"/>
      <c r="H67" s="180" t="s">
        <v>267</v>
      </c>
      <c r="I67" s="163"/>
      <c r="J67" s="132"/>
      <c r="K67" s="132"/>
      <c r="L67" s="132"/>
      <c r="M67" s="132"/>
      <c r="N67" s="132"/>
      <c r="O67" s="132"/>
      <c r="P67" s="132"/>
      <c r="Q67" s="132"/>
      <c r="R67" s="132"/>
      <c r="S67" s="132"/>
      <c r="T67" s="132"/>
      <c r="U67" s="135"/>
      <c r="V67" s="132"/>
      <c r="W67" s="132"/>
      <c r="X67" s="132"/>
      <c r="Y67" s="132"/>
      <c r="Z67" s="132"/>
      <c r="AA67" s="118"/>
    </row>
    <row r="68" spans="1:27" ht="16.2" thickBot="1" x14ac:dyDescent="0.4">
      <c r="A68" s="140"/>
      <c r="B68" s="135"/>
      <c r="C68" s="135"/>
      <c r="D68" s="135"/>
      <c r="E68" s="153" t="s">
        <v>265</v>
      </c>
      <c r="F68" s="234">
        <f>RCOMP_Calc/1000</f>
        <v>35.646227440202736</v>
      </c>
      <c r="G68" s="208" t="s">
        <v>181</v>
      </c>
      <c r="H68" s="182">
        <v>35.6</v>
      </c>
      <c r="I68" s="154" t="s">
        <v>181</v>
      </c>
      <c r="J68" s="132"/>
      <c r="K68" s="132"/>
      <c r="L68" s="132"/>
      <c r="M68" s="132"/>
      <c r="N68" s="132"/>
      <c r="O68" s="132"/>
      <c r="P68" s="132"/>
      <c r="Q68" s="132"/>
      <c r="R68" s="132"/>
      <c r="S68" s="132"/>
      <c r="T68" s="132"/>
      <c r="U68" s="135"/>
      <c r="V68" s="132"/>
      <c r="W68" s="132"/>
      <c r="X68" s="132"/>
      <c r="Y68" s="132"/>
      <c r="Z68" s="132"/>
      <c r="AA68" s="118"/>
    </row>
    <row r="69" spans="1:27" ht="16.2" thickBot="1" x14ac:dyDescent="0.4">
      <c r="A69" s="140"/>
      <c r="B69" s="135"/>
      <c r="C69" s="135"/>
      <c r="D69" s="135"/>
      <c r="E69" s="153" t="s">
        <v>380</v>
      </c>
      <c r="F69" s="234">
        <f>CCOMP_Calc*(10^9)</f>
        <v>3.3446750104056493</v>
      </c>
      <c r="G69" s="208" t="s">
        <v>183</v>
      </c>
      <c r="H69" s="182">
        <v>3.3</v>
      </c>
      <c r="I69" s="142" t="s">
        <v>183</v>
      </c>
      <c r="J69" s="132"/>
      <c r="K69" s="132"/>
      <c r="L69" s="132"/>
      <c r="M69" s="132"/>
      <c r="N69" s="132"/>
      <c r="O69" s="132"/>
      <c r="P69" s="132"/>
      <c r="Q69" s="132"/>
      <c r="R69" s="132"/>
      <c r="S69" s="132"/>
      <c r="T69" s="132"/>
      <c r="U69" s="135"/>
      <c r="V69" s="132"/>
      <c r="W69" s="132"/>
      <c r="X69" s="132"/>
      <c r="Y69" s="132"/>
      <c r="Z69" s="132"/>
      <c r="AA69" s="118"/>
    </row>
    <row r="70" spans="1:27" ht="16.2" thickBot="1" x14ac:dyDescent="0.4">
      <c r="A70" s="151"/>
      <c r="B70" s="146"/>
      <c r="C70" s="146"/>
      <c r="D70" s="146"/>
      <c r="E70" s="155" t="s">
        <v>381</v>
      </c>
      <c r="F70" s="181">
        <f>CHF_calc*(10^12)</f>
        <v>58.481645928852068</v>
      </c>
      <c r="G70" s="209" t="s">
        <v>182</v>
      </c>
      <c r="H70" s="173">
        <v>100</v>
      </c>
      <c r="I70" s="147" t="s">
        <v>182</v>
      </c>
      <c r="J70" s="132"/>
      <c r="K70" s="132"/>
      <c r="L70" s="132"/>
      <c r="M70" s="132"/>
      <c r="N70" s="132"/>
      <c r="O70" s="132"/>
      <c r="P70" s="132"/>
      <c r="Q70" s="132"/>
      <c r="R70" s="132"/>
      <c r="S70" s="132"/>
      <c r="T70" s="132"/>
      <c r="U70" s="135"/>
      <c r="V70" s="132"/>
      <c r="W70" s="132"/>
      <c r="X70" s="132"/>
      <c r="Y70" s="132"/>
      <c r="Z70" s="132"/>
      <c r="AA70" s="118"/>
    </row>
    <row r="71" spans="1:27" x14ac:dyDescent="0.3">
      <c r="A71" s="230"/>
      <c r="B71" s="230"/>
      <c r="C71" s="230"/>
      <c r="D71" s="230"/>
      <c r="E71" s="231"/>
      <c r="F71" s="232"/>
      <c r="G71" s="231"/>
      <c r="H71" s="230"/>
      <c r="I71" s="230"/>
      <c r="J71" s="230"/>
      <c r="K71" s="230"/>
      <c r="L71" s="230"/>
      <c r="M71" s="230"/>
      <c r="N71" s="230"/>
      <c r="O71" s="230"/>
      <c r="P71" s="230"/>
      <c r="Q71" s="230"/>
      <c r="R71" s="230"/>
      <c r="S71" s="230"/>
      <c r="T71" s="230"/>
      <c r="U71" s="120"/>
      <c r="V71" s="230"/>
      <c r="W71" s="230"/>
      <c r="X71" s="230"/>
      <c r="Y71" s="230"/>
      <c r="Z71" s="230"/>
      <c r="AA71" s="118"/>
    </row>
    <row r="72" spans="1:27" s="195" customFormat="1" ht="23.4" x14ac:dyDescent="0.45">
      <c r="A72" s="210" t="s">
        <v>264</v>
      </c>
      <c r="B72" s="211"/>
      <c r="C72" s="211"/>
      <c r="D72" s="211"/>
      <c r="E72" s="211"/>
      <c r="F72" s="211"/>
      <c r="G72" s="212"/>
      <c r="H72" s="211"/>
      <c r="I72" s="211"/>
      <c r="J72" s="211"/>
      <c r="K72" s="211"/>
      <c r="L72" s="211"/>
      <c r="M72" s="211"/>
      <c r="N72" s="211"/>
      <c r="O72" s="211"/>
      <c r="P72" s="211"/>
      <c r="Q72" s="211"/>
      <c r="R72" s="211"/>
      <c r="S72" s="211"/>
      <c r="T72" s="211"/>
      <c r="U72" s="211"/>
      <c r="V72" s="211"/>
      <c r="W72" s="211"/>
      <c r="X72" s="213"/>
      <c r="Y72" s="213"/>
      <c r="Z72" s="213"/>
      <c r="AA72" s="238"/>
    </row>
    <row r="73" spans="1:27" s="195" customFormat="1" x14ac:dyDescent="0.3">
      <c r="A73" s="211"/>
      <c r="B73" s="211"/>
      <c r="C73" s="211"/>
      <c r="D73" s="211"/>
      <c r="E73" s="211"/>
      <c r="F73" s="211"/>
      <c r="G73" s="211"/>
      <c r="H73" s="211"/>
      <c r="I73" s="211"/>
      <c r="J73" s="211"/>
      <c r="K73" s="211"/>
      <c r="L73" s="211"/>
      <c r="M73" s="211"/>
      <c r="N73" s="211"/>
      <c r="O73" s="211"/>
      <c r="P73" s="211"/>
      <c r="Q73" s="211"/>
      <c r="R73" s="211"/>
      <c r="S73" s="211"/>
      <c r="T73" s="211"/>
      <c r="U73" s="211"/>
      <c r="V73" s="211"/>
      <c r="W73" s="211"/>
      <c r="X73" s="213"/>
      <c r="Y73" s="213"/>
      <c r="Z73" s="213"/>
      <c r="AA73" s="238"/>
    </row>
    <row r="74" spans="1:27" s="195" customFormat="1" ht="16.2" thickBot="1" x14ac:dyDescent="0.4">
      <c r="A74" s="214" t="s">
        <v>594</v>
      </c>
      <c r="B74" s="211"/>
      <c r="C74" s="211"/>
      <c r="D74" s="211"/>
      <c r="E74" s="211"/>
      <c r="F74" s="211"/>
      <c r="G74" s="211"/>
      <c r="H74" s="211"/>
      <c r="I74" s="211"/>
      <c r="J74" s="211"/>
      <c r="K74" s="211"/>
      <c r="L74" s="211"/>
      <c r="M74" s="211"/>
      <c r="N74" s="211"/>
      <c r="O74" s="211"/>
      <c r="P74" s="211"/>
      <c r="Q74" s="211"/>
      <c r="R74" s="211"/>
      <c r="S74" s="211"/>
      <c r="T74" s="211"/>
      <c r="U74" s="211"/>
      <c r="V74" s="211"/>
      <c r="W74" s="211"/>
      <c r="X74" s="213"/>
      <c r="Y74" s="213"/>
      <c r="Z74" s="213"/>
      <c r="AA74" s="238"/>
    </row>
    <row r="75" spans="1:27" s="195" customFormat="1" ht="15.6" x14ac:dyDescent="0.35">
      <c r="A75" s="240"/>
      <c r="B75" s="241"/>
      <c r="C75" s="241"/>
      <c r="D75" s="241"/>
      <c r="E75" s="241"/>
      <c r="F75" s="241"/>
      <c r="G75" s="242" t="s">
        <v>510</v>
      </c>
      <c r="H75" s="258">
        <v>8.8000000000000007</v>
      </c>
      <c r="I75" s="243" t="s">
        <v>334</v>
      </c>
      <c r="J75" s="211"/>
      <c r="K75" s="211"/>
      <c r="L75" s="211"/>
      <c r="M75" s="211"/>
      <c r="N75" s="211"/>
      <c r="O75" s="211"/>
      <c r="P75" s="211"/>
      <c r="Q75" s="211"/>
      <c r="R75" s="211"/>
      <c r="S75" s="211"/>
      <c r="T75" s="211"/>
      <c r="U75" s="211"/>
      <c r="V75" s="211"/>
      <c r="W75" s="211"/>
      <c r="X75" s="213"/>
      <c r="Y75" s="213"/>
      <c r="Z75" s="213"/>
      <c r="AA75" s="238"/>
    </row>
    <row r="76" spans="1:27" s="195" customFormat="1" ht="15.6" x14ac:dyDescent="0.35">
      <c r="A76" s="244"/>
      <c r="B76" s="211"/>
      <c r="C76" s="211"/>
      <c r="D76" s="211"/>
      <c r="E76" s="211"/>
      <c r="F76" s="211"/>
      <c r="G76" s="215" t="s">
        <v>511</v>
      </c>
      <c r="H76" s="259">
        <v>10</v>
      </c>
      <c r="I76" s="245" t="s">
        <v>335</v>
      </c>
      <c r="J76" s="211"/>
      <c r="K76" s="211"/>
      <c r="L76" s="211"/>
      <c r="M76" s="211"/>
      <c r="N76" s="211"/>
      <c r="O76" s="211"/>
      <c r="P76" s="211"/>
      <c r="Q76" s="211"/>
      <c r="R76" s="211"/>
      <c r="S76" s="211"/>
      <c r="T76" s="211"/>
      <c r="U76" s="211"/>
      <c r="V76" s="211"/>
      <c r="W76" s="211"/>
      <c r="X76" s="213"/>
      <c r="Y76" s="213"/>
      <c r="Z76" s="213"/>
      <c r="AA76" s="238"/>
    </row>
    <row r="77" spans="1:27" s="195" customFormat="1" ht="15.6" x14ac:dyDescent="0.35">
      <c r="A77" s="244"/>
      <c r="B77" s="211"/>
      <c r="C77" s="211"/>
      <c r="D77" s="211"/>
      <c r="E77" s="211"/>
      <c r="F77" s="211"/>
      <c r="G77" s="215" t="s">
        <v>512</v>
      </c>
      <c r="H77" s="259">
        <v>2.4</v>
      </c>
      <c r="I77" s="245" t="s">
        <v>335</v>
      </c>
      <c r="J77" s="211"/>
      <c r="K77" s="211"/>
      <c r="L77" s="211"/>
      <c r="M77" s="211"/>
      <c r="N77" s="211"/>
      <c r="O77" s="211"/>
      <c r="P77" s="211"/>
      <c r="Q77" s="211"/>
      <c r="R77" s="211"/>
      <c r="S77" s="211"/>
      <c r="T77" s="211"/>
      <c r="U77" s="211"/>
      <c r="V77" s="211"/>
      <c r="W77" s="211"/>
      <c r="X77" s="213"/>
      <c r="Y77" s="213"/>
      <c r="Z77" s="213"/>
      <c r="AA77" s="238"/>
    </row>
    <row r="78" spans="1:27" s="195" customFormat="1" ht="15.6" x14ac:dyDescent="0.35">
      <c r="A78" s="246"/>
      <c r="B78" s="211"/>
      <c r="C78" s="211"/>
      <c r="D78" s="211"/>
      <c r="E78" s="211"/>
      <c r="F78" s="211"/>
      <c r="G78" s="215" t="s">
        <v>513</v>
      </c>
      <c r="H78" s="259">
        <v>4.5</v>
      </c>
      <c r="I78" s="245" t="s">
        <v>335</v>
      </c>
      <c r="J78" s="211"/>
      <c r="K78" s="211"/>
      <c r="L78" s="211"/>
      <c r="M78" s="211"/>
      <c r="N78" s="211"/>
      <c r="O78" s="211"/>
      <c r="P78" s="211"/>
      <c r="Q78" s="211"/>
      <c r="R78" s="211"/>
      <c r="S78" s="211"/>
      <c r="T78" s="211"/>
      <c r="U78" s="211"/>
      <c r="V78" s="211"/>
      <c r="W78" s="211"/>
      <c r="X78" s="213"/>
      <c r="Y78" s="213"/>
      <c r="Z78" s="213"/>
      <c r="AA78" s="238"/>
    </row>
    <row r="79" spans="1:27" s="195" customFormat="1" ht="15.6" x14ac:dyDescent="0.35">
      <c r="A79" s="246"/>
      <c r="B79" s="211"/>
      <c r="C79" s="211"/>
      <c r="D79" s="211"/>
      <c r="E79" s="211"/>
      <c r="F79" s="211"/>
      <c r="G79" s="215" t="s">
        <v>514</v>
      </c>
      <c r="H79" s="259">
        <v>0</v>
      </c>
      <c r="I79" s="245" t="s">
        <v>336</v>
      </c>
      <c r="J79" s="211"/>
      <c r="K79" s="211"/>
      <c r="L79" s="211"/>
      <c r="M79" s="211"/>
      <c r="N79" s="211"/>
      <c r="O79" s="211"/>
      <c r="P79" s="211"/>
      <c r="Q79" s="211"/>
      <c r="R79" s="211"/>
      <c r="S79" s="211"/>
      <c r="T79" s="211"/>
      <c r="U79" s="211"/>
      <c r="V79" s="211"/>
      <c r="W79" s="211"/>
      <c r="X79" s="213"/>
      <c r="Y79" s="213"/>
      <c r="Z79" s="213"/>
      <c r="AA79" s="238"/>
    </row>
    <row r="80" spans="1:27" s="195" customFormat="1" ht="16.2" thickBot="1" x14ac:dyDescent="0.4">
      <c r="A80" s="247"/>
      <c r="B80" s="248"/>
      <c r="C80" s="248"/>
      <c r="D80" s="248"/>
      <c r="E80" s="248"/>
      <c r="F80" s="248"/>
      <c r="G80" s="249" t="s">
        <v>515</v>
      </c>
      <c r="H80" s="260">
        <v>1.7</v>
      </c>
      <c r="I80" s="250" t="s">
        <v>10</v>
      </c>
      <c r="J80" s="211"/>
      <c r="K80" s="211"/>
      <c r="L80" s="211"/>
      <c r="M80" s="211"/>
      <c r="N80" s="211"/>
      <c r="O80" s="211"/>
      <c r="P80" s="211"/>
      <c r="Q80" s="211"/>
      <c r="R80" s="211"/>
      <c r="S80" s="211"/>
      <c r="T80" s="211"/>
      <c r="U80" s="211"/>
      <c r="V80" s="211"/>
      <c r="W80" s="211"/>
      <c r="X80" s="213"/>
      <c r="Y80" s="213"/>
      <c r="Z80" s="213"/>
      <c r="AA80" s="238"/>
    </row>
    <row r="81" spans="1:27" s="195" customFormat="1" x14ac:dyDescent="0.3">
      <c r="A81" s="211"/>
      <c r="B81" s="211"/>
      <c r="C81" s="211"/>
      <c r="D81" s="211"/>
      <c r="E81" s="211"/>
      <c r="F81" s="211"/>
      <c r="G81" s="212"/>
      <c r="H81" s="211"/>
      <c r="I81" s="211"/>
      <c r="J81" s="211"/>
      <c r="K81" s="211"/>
      <c r="L81" s="211"/>
      <c r="M81" s="211"/>
      <c r="N81" s="211"/>
      <c r="O81" s="211"/>
      <c r="P81" s="211"/>
      <c r="Q81" s="211"/>
      <c r="R81" s="211"/>
      <c r="S81" s="211"/>
      <c r="T81" s="211"/>
      <c r="U81" s="211"/>
      <c r="V81" s="211"/>
      <c r="W81" s="211"/>
      <c r="X81" s="213"/>
      <c r="Y81" s="213"/>
      <c r="Z81" s="213"/>
      <c r="AA81" s="238"/>
    </row>
    <row r="82" spans="1:27" s="195" customFormat="1" ht="16.2" thickBot="1" x14ac:dyDescent="0.4">
      <c r="A82" s="214" t="s">
        <v>595</v>
      </c>
      <c r="B82" s="211"/>
      <c r="C82" s="211"/>
      <c r="D82" s="211"/>
      <c r="E82" s="211"/>
      <c r="F82" s="211"/>
      <c r="G82" s="212"/>
      <c r="H82" s="211"/>
      <c r="I82" s="211"/>
      <c r="J82" s="211"/>
      <c r="K82" s="211"/>
      <c r="L82" s="211"/>
      <c r="M82" s="211"/>
      <c r="N82" s="211"/>
      <c r="O82" s="211"/>
      <c r="P82" s="211"/>
      <c r="Q82" s="211"/>
      <c r="R82" s="211"/>
      <c r="S82" s="211"/>
      <c r="T82" s="211"/>
      <c r="U82" s="211"/>
      <c r="V82" s="211"/>
      <c r="W82" s="211"/>
      <c r="X82" s="213"/>
      <c r="Y82" s="213"/>
      <c r="Z82" s="213"/>
      <c r="AA82" s="238"/>
    </row>
    <row r="83" spans="1:27" s="195" customFormat="1" ht="15.6" x14ac:dyDescent="0.35">
      <c r="A83" s="240"/>
      <c r="B83" s="241"/>
      <c r="C83" s="241"/>
      <c r="D83" s="241"/>
      <c r="E83" s="241"/>
      <c r="F83" s="241"/>
      <c r="G83" s="242" t="s">
        <v>583</v>
      </c>
      <c r="H83" s="258">
        <v>8.8000000000000007</v>
      </c>
      <c r="I83" s="243" t="s">
        <v>334</v>
      </c>
      <c r="J83" s="211"/>
      <c r="K83" s="211"/>
      <c r="L83" s="211"/>
      <c r="M83" s="211"/>
      <c r="N83" s="211"/>
      <c r="O83" s="211"/>
      <c r="P83" s="211"/>
      <c r="Q83" s="211"/>
      <c r="R83" s="211"/>
      <c r="S83" s="211"/>
      <c r="T83" s="211"/>
      <c r="U83" s="211"/>
      <c r="V83" s="211"/>
      <c r="W83" s="211"/>
      <c r="X83" s="213"/>
      <c r="Y83" s="213"/>
      <c r="Z83" s="213"/>
      <c r="AA83" s="238"/>
    </row>
    <row r="84" spans="1:27" s="195" customFormat="1" ht="15.6" x14ac:dyDescent="0.35">
      <c r="A84" s="246"/>
      <c r="B84" s="211"/>
      <c r="C84" s="211"/>
      <c r="D84" s="211"/>
      <c r="E84" s="211"/>
      <c r="F84" s="211"/>
      <c r="G84" s="215" t="s">
        <v>584</v>
      </c>
      <c r="H84" s="259">
        <v>10</v>
      </c>
      <c r="I84" s="245" t="s">
        <v>335</v>
      </c>
      <c r="J84" s="211"/>
      <c r="K84" s="211"/>
      <c r="L84" s="211"/>
      <c r="M84" s="211"/>
      <c r="N84" s="211"/>
      <c r="O84" s="211"/>
      <c r="P84" s="211"/>
      <c r="Q84" s="211"/>
      <c r="R84" s="211"/>
      <c r="S84" s="211"/>
      <c r="T84" s="211"/>
      <c r="U84" s="211"/>
      <c r="V84" s="211"/>
      <c r="W84" s="211"/>
      <c r="X84" s="213"/>
      <c r="Y84" s="213"/>
      <c r="Z84" s="213"/>
      <c r="AA84" s="238"/>
    </row>
    <row r="85" spans="1:27" s="195" customFormat="1" ht="15.6" x14ac:dyDescent="0.35">
      <c r="A85" s="246"/>
      <c r="B85" s="211"/>
      <c r="C85" s="211"/>
      <c r="D85" s="211"/>
      <c r="E85" s="211"/>
      <c r="F85" s="211"/>
      <c r="G85" s="215" t="s">
        <v>585</v>
      </c>
      <c r="H85" s="259">
        <v>2.4</v>
      </c>
      <c r="I85" s="245" t="s">
        <v>335</v>
      </c>
      <c r="J85" s="211"/>
      <c r="K85" s="211"/>
      <c r="L85" s="211"/>
      <c r="M85" s="211"/>
      <c r="N85" s="211"/>
      <c r="O85" s="211"/>
      <c r="P85" s="211"/>
      <c r="Q85" s="211"/>
      <c r="R85" s="211"/>
      <c r="S85" s="211"/>
      <c r="T85" s="211"/>
      <c r="U85" s="211"/>
      <c r="V85" s="211"/>
      <c r="W85" s="211"/>
      <c r="X85" s="213"/>
      <c r="Y85" s="213"/>
      <c r="Z85" s="213"/>
      <c r="AA85" s="238"/>
    </row>
    <row r="86" spans="1:27" s="195" customFormat="1" ht="15.6" x14ac:dyDescent="0.35">
      <c r="A86" s="246"/>
      <c r="B86" s="211"/>
      <c r="C86" s="211"/>
      <c r="D86" s="211"/>
      <c r="E86" s="211"/>
      <c r="F86" s="211"/>
      <c r="G86" s="215" t="s">
        <v>586</v>
      </c>
      <c r="H86" s="259">
        <v>4.5</v>
      </c>
      <c r="I86" s="245" t="s">
        <v>335</v>
      </c>
      <c r="J86" s="211"/>
      <c r="K86" s="211"/>
      <c r="L86" s="211"/>
      <c r="M86" s="211"/>
      <c r="N86" s="211"/>
      <c r="O86" s="211"/>
      <c r="P86" s="211"/>
      <c r="Q86" s="211"/>
      <c r="R86" s="211"/>
      <c r="S86" s="211"/>
      <c r="T86" s="211"/>
      <c r="U86" s="211"/>
      <c r="V86" s="211"/>
      <c r="W86" s="211"/>
      <c r="X86" s="213"/>
      <c r="Y86" s="213"/>
      <c r="Z86" s="213"/>
      <c r="AA86" s="238"/>
    </row>
    <row r="87" spans="1:27" s="195" customFormat="1" ht="15.6" x14ac:dyDescent="0.35">
      <c r="A87" s="246"/>
      <c r="B87" s="211"/>
      <c r="C87" s="211"/>
      <c r="D87" s="211"/>
      <c r="E87" s="211"/>
      <c r="F87" s="211"/>
      <c r="G87" s="215" t="s">
        <v>582</v>
      </c>
      <c r="H87" s="259">
        <v>0</v>
      </c>
      <c r="I87" s="245" t="s">
        <v>336</v>
      </c>
      <c r="J87" s="211"/>
      <c r="K87" s="211"/>
      <c r="L87" s="211"/>
      <c r="M87" s="211"/>
      <c r="N87" s="211"/>
      <c r="O87" s="211"/>
      <c r="P87" s="211"/>
      <c r="Q87" s="211"/>
      <c r="R87" s="211"/>
      <c r="S87" s="211"/>
      <c r="T87" s="211"/>
      <c r="U87" s="211"/>
      <c r="V87" s="211"/>
      <c r="W87" s="211"/>
      <c r="X87" s="213"/>
      <c r="Y87" s="213"/>
      <c r="Z87" s="213"/>
      <c r="AA87" s="238"/>
    </row>
    <row r="88" spans="1:27" s="195" customFormat="1" ht="15.6" x14ac:dyDescent="0.35">
      <c r="A88" s="246"/>
      <c r="B88" s="211"/>
      <c r="C88" s="211"/>
      <c r="D88" s="211"/>
      <c r="E88" s="211"/>
      <c r="F88" s="211"/>
      <c r="G88" s="215" t="s">
        <v>581</v>
      </c>
      <c r="H88" s="259">
        <v>1.7</v>
      </c>
      <c r="I88" s="245" t="s">
        <v>10</v>
      </c>
      <c r="J88" s="211"/>
      <c r="K88" s="211"/>
      <c r="L88" s="211"/>
      <c r="M88" s="211"/>
      <c r="N88" s="211"/>
      <c r="O88" s="211"/>
      <c r="P88" s="211"/>
      <c r="Q88" s="211"/>
      <c r="R88" s="211"/>
      <c r="S88" s="211"/>
      <c r="T88" s="211"/>
      <c r="U88" s="211"/>
      <c r="V88" s="211"/>
      <c r="W88" s="211"/>
      <c r="X88" s="213"/>
      <c r="Y88" s="213"/>
      <c r="Z88" s="213"/>
      <c r="AA88" s="238"/>
    </row>
    <row r="89" spans="1:27" s="195" customFormat="1" ht="15.6" x14ac:dyDescent="0.35">
      <c r="A89" s="246"/>
      <c r="B89" s="211"/>
      <c r="C89" s="211"/>
      <c r="D89" s="211"/>
      <c r="E89" s="211"/>
      <c r="F89" s="211"/>
      <c r="G89" s="212" t="s">
        <v>579</v>
      </c>
      <c r="H89" s="259">
        <v>33</v>
      </c>
      <c r="I89" s="251" t="s">
        <v>335</v>
      </c>
      <c r="J89" s="211"/>
      <c r="K89" s="211"/>
      <c r="L89" s="211"/>
      <c r="M89" s="211"/>
      <c r="N89" s="211"/>
      <c r="O89" s="211"/>
      <c r="P89" s="211"/>
      <c r="Q89" s="211"/>
      <c r="R89" s="211"/>
      <c r="S89" s="211"/>
      <c r="T89" s="211"/>
      <c r="U89" s="211"/>
      <c r="V89" s="211"/>
      <c r="W89" s="211"/>
      <c r="X89" s="213"/>
      <c r="Y89" s="213"/>
      <c r="Z89" s="213"/>
      <c r="AA89" s="238"/>
    </row>
    <row r="90" spans="1:27" s="195" customFormat="1" ht="16.2" thickBot="1" x14ac:dyDescent="0.4">
      <c r="A90" s="247"/>
      <c r="B90" s="248"/>
      <c r="C90" s="248"/>
      <c r="D90" s="248"/>
      <c r="E90" s="248"/>
      <c r="F90" s="248"/>
      <c r="G90" s="252" t="s">
        <v>580</v>
      </c>
      <c r="H90" s="260">
        <v>0.8</v>
      </c>
      <c r="I90" s="253" t="s">
        <v>10</v>
      </c>
      <c r="J90" s="211"/>
      <c r="K90" s="211"/>
      <c r="L90" s="211"/>
      <c r="M90" s="211"/>
      <c r="N90" s="211"/>
      <c r="O90" s="211"/>
      <c r="P90" s="211"/>
      <c r="Q90" s="211"/>
      <c r="R90" s="211"/>
      <c r="S90" s="211"/>
      <c r="T90" s="211"/>
      <c r="U90" s="211"/>
      <c r="V90" s="211"/>
      <c r="W90" s="211"/>
      <c r="X90" s="213"/>
      <c r="Y90" s="213"/>
      <c r="Z90" s="213"/>
      <c r="AA90" s="238"/>
    </row>
    <row r="91" spans="1:27" s="194" customFormat="1" x14ac:dyDescent="0.3">
      <c r="A91" s="216"/>
      <c r="B91" s="216"/>
      <c r="C91" s="216"/>
      <c r="D91" s="216"/>
      <c r="E91" s="216"/>
      <c r="F91" s="216"/>
      <c r="G91" s="217"/>
      <c r="H91" s="216"/>
      <c r="I91" s="216"/>
      <c r="J91" s="216"/>
      <c r="K91" s="216"/>
      <c r="L91" s="216"/>
      <c r="M91" s="216"/>
      <c r="N91" s="216"/>
      <c r="O91" s="216"/>
      <c r="P91" s="216"/>
      <c r="Q91" s="216"/>
      <c r="R91" s="216"/>
      <c r="S91" s="216"/>
      <c r="T91" s="216"/>
      <c r="U91" s="211"/>
      <c r="V91" s="216"/>
      <c r="W91" s="216"/>
      <c r="X91" s="218"/>
      <c r="Y91" s="218"/>
      <c r="Z91" s="218"/>
      <c r="AA91" s="239"/>
    </row>
    <row r="92" spans="1:27" s="194" customFormat="1" x14ac:dyDescent="0.3">
      <c r="A92" s="216"/>
      <c r="B92" s="216"/>
      <c r="C92" s="216"/>
      <c r="D92" s="216"/>
      <c r="E92" s="216"/>
      <c r="F92" s="216"/>
      <c r="G92" s="217"/>
      <c r="H92" s="216"/>
      <c r="I92" s="216"/>
      <c r="J92" s="216"/>
      <c r="K92" s="216"/>
      <c r="L92" s="216"/>
      <c r="M92" s="216"/>
      <c r="N92" s="216"/>
      <c r="O92" s="216"/>
      <c r="P92" s="216"/>
      <c r="Q92" s="216"/>
      <c r="R92" s="216"/>
      <c r="S92" s="216"/>
      <c r="T92" s="216"/>
      <c r="U92" s="211"/>
      <c r="V92" s="216"/>
      <c r="W92" s="216"/>
      <c r="X92" s="218"/>
      <c r="Y92" s="218"/>
      <c r="Z92" s="218"/>
      <c r="AA92" s="239"/>
    </row>
    <row r="93" spans="1:27" s="194" customFormat="1" x14ac:dyDescent="0.3">
      <c r="A93" s="216"/>
      <c r="B93" s="216"/>
      <c r="C93" s="216"/>
      <c r="D93" s="216"/>
      <c r="E93" s="216"/>
      <c r="F93" s="216"/>
      <c r="G93" s="217"/>
      <c r="H93" s="216"/>
      <c r="I93" s="216"/>
      <c r="J93" s="216"/>
      <c r="K93" s="216"/>
      <c r="L93" s="216"/>
      <c r="M93" s="216"/>
      <c r="N93" s="216"/>
      <c r="O93" s="216"/>
      <c r="P93" s="216"/>
      <c r="Q93" s="216"/>
      <c r="R93" s="216"/>
      <c r="S93" s="216"/>
      <c r="T93" s="216"/>
      <c r="U93" s="211"/>
      <c r="V93" s="216"/>
      <c r="W93" s="216"/>
      <c r="X93" s="218"/>
      <c r="Y93" s="218"/>
      <c r="Z93" s="218"/>
      <c r="AA93" s="239"/>
    </row>
    <row r="94" spans="1:27" s="194" customFormat="1" x14ac:dyDescent="0.3">
      <c r="A94" s="216"/>
      <c r="B94" s="216"/>
      <c r="C94" s="216"/>
      <c r="D94" s="216"/>
      <c r="E94" s="216"/>
      <c r="F94" s="216"/>
      <c r="G94" s="217"/>
      <c r="H94" s="216"/>
      <c r="I94" s="216"/>
      <c r="J94" s="216"/>
      <c r="K94" s="216"/>
      <c r="L94" s="216"/>
      <c r="M94" s="216"/>
      <c r="N94" s="216"/>
      <c r="O94" s="216"/>
      <c r="P94" s="216"/>
      <c r="Q94" s="216"/>
      <c r="R94" s="216"/>
      <c r="S94" s="216"/>
      <c r="T94" s="216"/>
      <c r="U94" s="211"/>
      <c r="V94" s="216"/>
      <c r="W94" s="216"/>
      <c r="X94" s="218"/>
      <c r="Y94" s="218"/>
      <c r="Z94" s="218"/>
      <c r="AA94" s="239"/>
    </row>
    <row r="95" spans="1:27" s="194" customFormat="1" x14ac:dyDescent="0.3">
      <c r="A95" s="216"/>
      <c r="B95" s="216"/>
      <c r="C95" s="216"/>
      <c r="D95" s="216"/>
      <c r="E95" s="216"/>
      <c r="F95" s="216"/>
      <c r="G95" s="217"/>
      <c r="H95" s="216"/>
      <c r="I95" s="216"/>
      <c r="J95" s="216"/>
      <c r="K95" s="216"/>
      <c r="L95" s="216"/>
      <c r="M95" s="216"/>
      <c r="N95" s="216"/>
      <c r="O95" s="216"/>
      <c r="P95" s="216"/>
      <c r="Q95" s="216"/>
      <c r="R95" s="216"/>
      <c r="S95" s="216"/>
      <c r="T95" s="216"/>
      <c r="U95" s="211"/>
      <c r="V95" s="216"/>
      <c r="W95" s="216"/>
      <c r="X95" s="218"/>
      <c r="Y95" s="218"/>
      <c r="Z95" s="218"/>
      <c r="AA95" s="239"/>
    </row>
    <row r="96" spans="1:27" s="194" customFormat="1" x14ac:dyDescent="0.3">
      <c r="A96" s="218"/>
      <c r="B96" s="218"/>
      <c r="C96" s="218"/>
      <c r="D96" s="218"/>
      <c r="E96" s="218"/>
      <c r="F96" s="218"/>
      <c r="G96" s="219"/>
      <c r="H96" s="218"/>
      <c r="I96" s="218"/>
      <c r="J96" s="218"/>
      <c r="K96" s="218"/>
      <c r="L96" s="218"/>
      <c r="M96" s="218"/>
      <c r="N96" s="218"/>
      <c r="O96" s="218"/>
      <c r="P96" s="218"/>
      <c r="Q96" s="218"/>
      <c r="R96" s="218"/>
      <c r="S96" s="218"/>
      <c r="T96" s="218"/>
      <c r="U96" s="220"/>
      <c r="V96" s="218"/>
      <c r="W96" s="218"/>
      <c r="X96" s="218"/>
      <c r="Y96" s="218"/>
      <c r="Z96" s="218"/>
      <c r="AA96" s="239"/>
    </row>
    <row r="97" spans="1:27" s="194" customFormat="1" x14ac:dyDescent="0.3">
      <c r="A97" s="218"/>
      <c r="B97" s="218"/>
      <c r="C97" s="218"/>
      <c r="D97" s="218"/>
      <c r="E97" s="218"/>
      <c r="F97" s="218"/>
      <c r="G97" s="219"/>
      <c r="H97" s="218"/>
      <c r="I97" s="218"/>
      <c r="J97" s="218"/>
      <c r="K97" s="218"/>
      <c r="L97" s="218"/>
      <c r="M97" s="218"/>
      <c r="N97" s="218"/>
      <c r="O97" s="218"/>
      <c r="P97" s="218"/>
      <c r="Q97" s="218"/>
      <c r="R97" s="218"/>
      <c r="S97" s="218"/>
      <c r="T97" s="218"/>
      <c r="U97" s="220"/>
      <c r="V97" s="218"/>
      <c r="W97" s="218"/>
      <c r="X97" s="218"/>
      <c r="Y97" s="218"/>
      <c r="Z97" s="218"/>
      <c r="AA97" s="239"/>
    </row>
    <row r="98" spans="1:27" x14ac:dyDescent="0.3">
      <c r="A98" s="230"/>
      <c r="B98" s="230"/>
      <c r="C98" s="230"/>
      <c r="D98" s="230"/>
      <c r="E98" s="230"/>
      <c r="F98" s="230"/>
      <c r="G98" s="231"/>
      <c r="H98" s="230"/>
      <c r="I98" s="230"/>
      <c r="J98" s="230"/>
      <c r="K98" s="230"/>
      <c r="L98" s="230"/>
      <c r="M98" s="230"/>
      <c r="N98" s="230"/>
      <c r="O98" s="230"/>
      <c r="P98" s="230"/>
      <c r="Q98" s="230"/>
      <c r="R98" s="230"/>
      <c r="S98" s="230"/>
      <c r="T98" s="230"/>
      <c r="U98" s="120"/>
      <c r="V98" s="230"/>
      <c r="W98" s="230"/>
      <c r="X98" s="230"/>
      <c r="Y98" s="230"/>
      <c r="Z98" s="230"/>
      <c r="AA98" s="118"/>
    </row>
  </sheetData>
  <pageMargins left="0.2" right="0.2" top="0.25" bottom="0.25" header="0" footer="0"/>
  <pageSetup paperSize="9" scale="44"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60" r:id="rId4" name="Spinner 36">
              <controlPr defaultSize="0" autoPict="0">
                <anchor moveWithCells="1" sizeWithCells="1">
                  <from>
                    <xdr:col>7</xdr:col>
                    <xdr:colOff>563880</xdr:colOff>
                    <xdr:row>53</xdr:row>
                    <xdr:rowOff>0</xdr:rowOff>
                  </from>
                  <to>
                    <xdr:col>8</xdr:col>
                    <xdr:colOff>7620</xdr:colOff>
                    <xdr:row>55</xdr:row>
                    <xdr:rowOff>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count="1">
        <x14:dataValidation type="list" showInputMessage="1" showErrorMessage="1" xr:uid="{00000000-0002-0000-0000-000000000000}">
          <x14:formula1>
            <xm:f>Lists!$F$3:$F$5</xm:f>
          </x14:formula1>
          <xm:sqref>H12</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Q268"/>
  <sheetViews>
    <sheetView zoomScaleNormal="100" workbookViewId="0">
      <pane ySplit="5" topLeftCell="A6" activePane="bottomLeft" state="frozen"/>
      <selection pane="bottomLeft" activeCell="C53" sqref="C53"/>
    </sheetView>
  </sheetViews>
  <sheetFormatPr defaultRowHeight="14.4" x14ac:dyDescent="0.3"/>
  <cols>
    <col min="1" max="1" width="28.88671875" customWidth="1"/>
    <col min="2" max="2" width="19.5546875" customWidth="1"/>
    <col min="3" max="3" width="10.88671875" customWidth="1"/>
    <col min="4" max="4" width="10" bestFit="1" customWidth="1"/>
    <col min="5" max="5" width="18.5546875" customWidth="1"/>
    <col min="6" max="6" width="14.88671875" customWidth="1"/>
    <col min="7" max="7" width="15.109375" customWidth="1"/>
    <col min="8" max="8" width="12.5546875" customWidth="1"/>
    <col min="9" max="9" width="12.5546875" style="4" customWidth="1"/>
    <col min="12" max="12" width="12.44140625" bestFit="1" customWidth="1"/>
  </cols>
  <sheetData>
    <row r="1" spans="1:17" ht="28.2" x14ac:dyDescent="0.5">
      <c r="A1" s="262" t="s">
        <v>15</v>
      </c>
      <c r="B1" s="262"/>
      <c r="C1" s="262"/>
      <c r="D1" s="262"/>
      <c r="E1" s="262"/>
      <c r="F1" s="262"/>
      <c r="G1" s="262"/>
      <c r="H1" s="262"/>
      <c r="I1" s="262"/>
      <c r="J1" s="262"/>
    </row>
    <row r="2" spans="1:17" x14ac:dyDescent="0.3">
      <c r="A2" s="6"/>
      <c r="B2" s="6" t="s">
        <v>16</v>
      </c>
      <c r="C2" s="7"/>
      <c r="D2" s="5"/>
      <c r="E2" s="6"/>
      <c r="F2" s="6"/>
      <c r="G2" s="6"/>
      <c r="H2" s="6"/>
      <c r="I2" s="12"/>
      <c r="J2" s="6"/>
    </row>
    <row r="3" spans="1:17" x14ac:dyDescent="0.3">
      <c r="A3" s="6"/>
      <c r="B3" s="6" t="s">
        <v>17</v>
      </c>
      <c r="C3" s="8"/>
      <c r="D3" s="5"/>
      <c r="E3" s="6"/>
      <c r="F3" s="24" t="s">
        <v>60</v>
      </c>
      <c r="G3" s="25" t="s">
        <v>61</v>
      </c>
      <c r="H3" s="39" t="s">
        <v>533</v>
      </c>
      <c r="I3" s="12"/>
      <c r="J3" s="6"/>
    </row>
    <row r="4" spans="1:17" x14ac:dyDescent="0.3">
      <c r="A4" s="6"/>
      <c r="B4" s="6" t="s">
        <v>18</v>
      </c>
      <c r="C4" s="9"/>
      <c r="D4" s="5"/>
      <c r="E4" s="6"/>
      <c r="F4" s="6"/>
      <c r="G4" s="6"/>
      <c r="H4" s="6"/>
      <c r="I4" s="12"/>
      <c r="J4" s="6"/>
    </row>
    <row r="5" spans="1:17" x14ac:dyDescent="0.3">
      <c r="A5" s="11" t="s">
        <v>19</v>
      </c>
      <c r="B5" s="11" t="s">
        <v>20</v>
      </c>
      <c r="C5" s="11" t="s">
        <v>21</v>
      </c>
      <c r="D5" s="10"/>
      <c r="E5" s="263" t="s">
        <v>22</v>
      </c>
      <c r="F5" s="263"/>
      <c r="G5" s="263"/>
      <c r="H5" s="263"/>
      <c r="I5" s="20"/>
      <c r="J5" s="26" t="s">
        <v>23</v>
      </c>
      <c r="K5" s="11" t="s">
        <v>67</v>
      </c>
      <c r="L5" s="10"/>
      <c r="M5" s="10"/>
      <c r="N5" s="10"/>
      <c r="O5" s="10"/>
      <c r="P5" s="10"/>
      <c r="Q5" s="10"/>
    </row>
    <row r="6" spans="1:17" ht="15.6" x14ac:dyDescent="0.3">
      <c r="A6" s="19" t="s">
        <v>24</v>
      </c>
      <c r="B6" s="16"/>
      <c r="C6" s="16"/>
      <c r="D6" s="16"/>
      <c r="E6" s="17"/>
      <c r="F6" s="17"/>
      <c r="G6" s="17"/>
      <c r="H6" s="17"/>
      <c r="I6" s="17"/>
      <c r="J6" s="16"/>
      <c r="K6" s="10"/>
      <c r="L6" s="10"/>
      <c r="M6" s="10"/>
      <c r="N6" s="10"/>
      <c r="O6" s="10"/>
      <c r="P6" s="10"/>
      <c r="Q6" s="10"/>
    </row>
    <row r="7" spans="1:17" x14ac:dyDescent="0.3">
      <c r="A7" t="s">
        <v>25</v>
      </c>
      <c r="B7" s="3">
        <f>'Design Converter'!H7</f>
        <v>9</v>
      </c>
      <c r="C7" t="s">
        <v>10</v>
      </c>
      <c r="E7" t="s">
        <v>28</v>
      </c>
    </row>
    <row r="8" spans="1:17" x14ac:dyDescent="0.3">
      <c r="A8" t="s">
        <v>26</v>
      </c>
      <c r="B8" s="3">
        <f>'Design Converter'!H8</f>
        <v>9</v>
      </c>
      <c r="C8" t="s">
        <v>10</v>
      </c>
      <c r="E8" t="s">
        <v>29</v>
      </c>
      <c r="K8">
        <f>IF(VIN_min&lt;VIN_min,1,IF(VIN_nom&gt;VIN_max,1,0))</f>
        <v>0</v>
      </c>
    </row>
    <row r="9" spans="1:17" x14ac:dyDescent="0.3">
      <c r="A9" t="s">
        <v>27</v>
      </c>
      <c r="B9" s="3">
        <f>'Design Converter'!H9</f>
        <v>18</v>
      </c>
      <c r="C9" t="s">
        <v>10</v>
      </c>
      <c r="E9" t="s">
        <v>30</v>
      </c>
    </row>
    <row r="10" spans="1:17" s="4" customFormat="1" x14ac:dyDescent="0.3">
      <c r="A10" s="4" t="s">
        <v>64</v>
      </c>
      <c r="B10" s="3">
        <f>'Design Converter'!H13*1000</f>
        <v>440000</v>
      </c>
      <c r="C10" s="4" t="s">
        <v>65</v>
      </c>
      <c r="E10" s="4" t="s">
        <v>66</v>
      </c>
    </row>
    <row r="11" spans="1:17" s="4" customFormat="1" x14ac:dyDescent="0.3">
      <c r="A11" s="4" t="s">
        <v>68</v>
      </c>
      <c r="B11" s="30">
        <f>((2.21*10^10)/Fsw)-955</f>
        <v>49272.272727272728</v>
      </c>
      <c r="C11" s="2" t="s">
        <v>36</v>
      </c>
      <c r="E11" s="4" t="s">
        <v>69</v>
      </c>
    </row>
    <row r="12" spans="1:17" x14ac:dyDescent="0.3">
      <c r="A12" t="s">
        <v>31</v>
      </c>
      <c r="B12" s="3">
        <f>'Design Converter'!H10</f>
        <v>24</v>
      </c>
      <c r="C12" t="s">
        <v>10</v>
      </c>
      <c r="E12" t="s">
        <v>32</v>
      </c>
    </row>
    <row r="13" spans="1:17" x14ac:dyDescent="0.3">
      <c r="A13" t="s">
        <v>33</v>
      </c>
      <c r="B13" s="3">
        <f>'Design Converter'!H11</f>
        <v>4.166666666666667</v>
      </c>
      <c r="C13" t="s">
        <v>11</v>
      </c>
      <c r="E13" t="s">
        <v>34</v>
      </c>
    </row>
    <row r="14" spans="1:17" x14ac:dyDescent="0.3">
      <c r="A14" t="s">
        <v>35</v>
      </c>
      <c r="B14" s="29">
        <f>VOUT/IOUT</f>
        <v>5.76</v>
      </c>
      <c r="C14" s="2" t="s">
        <v>36</v>
      </c>
      <c r="E14" t="s">
        <v>41</v>
      </c>
    </row>
    <row r="15" spans="1:17" x14ac:dyDescent="0.3">
      <c r="A15" t="s">
        <v>37</v>
      </c>
      <c r="B15" s="1">
        <f>VOUT*IOUT</f>
        <v>100</v>
      </c>
      <c r="C15" s="2" t="s">
        <v>38</v>
      </c>
      <c r="E15" t="s">
        <v>40</v>
      </c>
    </row>
    <row r="16" spans="1:17" x14ac:dyDescent="0.3">
      <c r="A16" t="s">
        <v>39</v>
      </c>
      <c r="B16" s="21">
        <v>1</v>
      </c>
      <c r="E16" t="s">
        <v>525</v>
      </c>
    </row>
    <row r="17" spans="1:11" x14ac:dyDescent="0.3">
      <c r="A17" t="s">
        <v>531</v>
      </c>
      <c r="B17" s="22">
        <v>1</v>
      </c>
      <c r="E17" t="s">
        <v>532</v>
      </c>
    </row>
    <row r="18" spans="1:11" s="32" customFormat="1" x14ac:dyDescent="0.3"/>
    <row r="19" spans="1:11" s="32" customFormat="1" x14ac:dyDescent="0.3">
      <c r="A19" s="32" t="s">
        <v>518</v>
      </c>
      <c r="B19" s="32">
        <f>IF(VOUT&lt;=15,1,2)</f>
        <v>2</v>
      </c>
      <c r="E19" s="32" t="s">
        <v>520</v>
      </c>
    </row>
    <row r="20" spans="1:11" s="32" customFormat="1" x14ac:dyDescent="0.3">
      <c r="A20" s="32" t="s">
        <v>522</v>
      </c>
      <c r="B20" s="32">
        <f>IF('Design Converter'!H12="FPWM",3,IF('Design Converter'!H12="DEM",2,1))</f>
        <v>2</v>
      </c>
      <c r="E20" s="32" t="s">
        <v>523</v>
      </c>
    </row>
    <row r="21" spans="1:11" s="32" customFormat="1" x14ac:dyDescent="0.3"/>
    <row r="22" spans="1:11" x14ac:dyDescent="0.3">
      <c r="A22" t="s">
        <v>42</v>
      </c>
      <c r="B22" s="1">
        <f>1-VIN_min*EFF_est/VOUT</f>
        <v>0.625</v>
      </c>
      <c r="E22" t="s">
        <v>420</v>
      </c>
    </row>
    <row r="23" spans="1:11" s="4" customFormat="1" x14ac:dyDescent="0.3">
      <c r="A23" t="s">
        <v>43</v>
      </c>
      <c r="B23" s="22">
        <f>Constants!B20-0.02</f>
        <v>0.88</v>
      </c>
      <c r="C23"/>
      <c r="D23"/>
      <c r="E23" t="s">
        <v>528</v>
      </c>
    </row>
    <row r="24" spans="1:11" s="32" customFormat="1" x14ac:dyDescent="0.3">
      <c r="B24" s="197"/>
    </row>
    <row r="25" spans="1:11" s="32" customFormat="1" x14ac:dyDescent="0.3">
      <c r="A25" s="32" t="s">
        <v>424</v>
      </c>
      <c r="B25" s="183">
        <f>IF(B22&gt;Dc_max_IC,1,2)</f>
        <v>2</v>
      </c>
      <c r="E25" s="196" t="s">
        <v>526</v>
      </c>
      <c r="K25" s="32">
        <f>IF(B25=1,1,0)</f>
        <v>0</v>
      </c>
    </row>
    <row r="26" spans="1:11" s="32" customFormat="1" x14ac:dyDescent="0.3">
      <c r="E26" s="32" t="s">
        <v>527</v>
      </c>
    </row>
    <row r="28" spans="1:11" x14ac:dyDescent="0.3">
      <c r="A28" s="31" t="s">
        <v>72</v>
      </c>
      <c r="E28" s="32" t="b">
        <f>AND((1-(VIN_max/VOUT))&lt;Dc_rip_max,(1-(VIN_min/VOUT))&lt;Dc_rip_max)</f>
        <v>0</v>
      </c>
    </row>
    <row r="29" spans="1:11" s="32" customFormat="1" x14ac:dyDescent="0.3">
      <c r="A29" s="184" t="s">
        <v>426</v>
      </c>
    </row>
    <row r="30" spans="1:11" x14ac:dyDescent="0.3">
      <c r="A30" t="s">
        <v>88</v>
      </c>
      <c r="B30" s="3">
        <f>'Design Converter'!H21/100</f>
        <v>0.6</v>
      </c>
      <c r="E30" t="s">
        <v>107</v>
      </c>
    </row>
    <row r="31" spans="1:11" s="32" customFormat="1" x14ac:dyDescent="0.3">
      <c r="A31" s="38" t="s">
        <v>118</v>
      </c>
      <c r="B31" s="22">
        <v>0.33</v>
      </c>
      <c r="C31" s="32" t="s">
        <v>13</v>
      </c>
      <c r="E31" s="32" t="s">
        <v>117</v>
      </c>
    </row>
    <row r="32" spans="1:11" s="32" customFormat="1" x14ac:dyDescent="0.3">
      <c r="A32" s="32" t="s">
        <v>425</v>
      </c>
      <c r="B32" s="28">
        <f>IF(AND((1-(VIN_max/VOUT))&lt;Dc_rip_max,(1-(VIN_min/VOUT))&gt;=Dc_rip_max),Dc_rip_max,IF((1-(VIN_max/VOUT))&gt;Dc_rip_max,(1-(VIN_max/VOUT)),IF((1-(VIN_min/VOUT))&lt;Dc_rip_max,(1-(VIN_min/VOUT)),0.33)))</f>
        <v>0.33</v>
      </c>
    </row>
    <row r="33" spans="1:5" s="32" customFormat="1" x14ac:dyDescent="0.3">
      <c r="A33" s="32" t="s">
        <v>94</v>
      </c>
      <c r="B33" s="1">
        <f>VOUT*(1-DC_rip)</f>
        <v>16.079999999999998</v>
      </c>
      <c r="C33" s="32" t="s">
        <v>10</v>
      </c>
      <c r="E33" s="32" t="s">
        <v>120</v>
      </c>
    </row>
    <row r="34" spans="1:5" s="32" customFormat="1" x14ac:dyDescent="0.3"/>
    <row r="35" spans="1:5" s="32" customFormat="1" x14ac:dyDescent="0.3">
      <c r="A35" s="32" t="s">
        <v>95</v>
      </c>
      <c r="B35" s="28">
        <f>(VOUT*IOUT)/(VIN_33)</f>
        <v>6.2189054726368163</v>
      </c>
      <c r="C35" s="32" t="s">
        <v>11</v>
      </c>
      <c r="E35" s="32" t="s">
        <v>119</v>
      </c>
    </row>
    <row r="36" spans="1:5" s="32" customFormat="1" x14ac:dyDescent="0.3">
      <c r="A36" s="32" t="s">
        <v>96</v>
      </c>
      <c r="B36" s="37">
        <f>(VIN_33*DC_rip)/(IIN_33*ILrip*Fsw)</f>
        <v>3.2320799999999998E-6</v>
      </c>
      <c r="C36" s="32" t="s">
        <v>87</v>
      </c>
      <c r="E36" s="32" t="s">
        <v>440</v>
      </c>
    </row>
    <row r="38" spans="1:5" s="32" customFormat="1" x14ac:dyDescent="0.3">
      <c r="A38" s="184" t="s">
        <v>529</v>
      </c>
    </row>
    <row r="39" spans="1:5" s="32" customFormat="1" x14ac:dyDescent="0.3">
      <c r="A39" s="38" t="s">
        <v>429</v>
      </c>
      <c r="B39" s="198">
        <f>'Design Converter'!H21/100</f>
        <v>0.6</v>
      </c>
      <c r="E39" s="32" t="s">
        <v>430</v>
      </c>
    </row>
    <row r="40" spans="1:5" s="32" customFormat="1" x14ac:dyDescent="0.3">
      <c r="A40" s="32" t="s">
        <v>428</v>
      </c>
      <c r="B40" s="37">
        <f>((DC_DCM_max^2)*(VIN_min^2))/(2*IOUT*VOUT*Fsw-2*IOUT*VIN_min*Fsw)</f>
        <v>5.3018181818181819E-7</v>
      </c>
      <c r="C40" s="32" t="s">
        <v>87</v>
      </c>
      <c r="E40" s="32" t="s">
        <v>427</v>
      </c>
    </row>
    <row r="41" spans="1:5" s="32" customFormat="1" x14ac:dyDescent="0.3">
      <c r="A41" s="32" t="s">
        <v>431</v>
      </c>
      <c r="B41" s="22">
        <v>0.2</v>
      </c>
      <c r="E41" s="32" t="s">
        <v>432</v>
      </c>
    </row>
    <row r="42" spans="1:5" s="32" customFormat="1" x14ac:dyDescent="0.3">
      <c r="A42" s="32" t="s">
        <v>433</v>
      </c>
      <c r="B42" s="37">
        <f>(1-M_L_DCM)*((VIN_min^2)*(1-(VIN_min/VOUT)))/(2*IOUT*VOUT*Fsw)</f>
        <v>4.6022727272727275E-7</v>
      </c>
      <c r="C42" s="32" t="s">
        <v>87</v>
      </c>
      <c r="E42" s="32" t="s">
        <v>434</v>
      </c>
    </row>
    <row r="43" spans="1:5" s="32" customFormat="1" x14ac:dyDescent="0.3">
      <c r="A43" s="32" t="s">
        <v>435</v>
      </c>
      <c r="B43" s="37">
        <f>MIN(B40,B42)</f>
        <v>4.6022727272727275E-7</v>
      </c>
      <c r="C43" s="32" t="s">
        <v>87</v>
      </c>
      <c r="E43" s="32" t="s">
        <v>436</v>
      </c>
    </row>
    <row r="44" spans="1:5" s="32" customFormat="1" x14ac:dyDescent="0.3">
      <c r="B44" s="187"/>
    </row>
    <row r="45" spans="1:5" s="32" customFormat="1" x14ac:dyDescent="0.3">
      <c r="A45" s="32" t="s">
        <v>439</v>
      </c>
      <c r="B45" s="37">
        <f>IF(B25=1,B43,Lopt_2)</f>
        <v>3.2320799999999998E-6</v>
      </c>
      <c r="E45" s="32" t="s">
        <v>437</v>
      </c>
    </row>
    <row r="46" spans="1:5" s="32" customFormat="1" x14ac:dyDescent="0.3"/>
    <row r="47" spans="1:5" x14ac:dyDescent="0.3">
      <c r="A47" t="s">
        <v>89</v>
      </c>
      <c r="B47" s="34">
        <f>CHOOSE(B25,'Design Converter'!H23*10^-9,'Design Converter'!H23*10^-6)</f>
        <v>4.6999999999999999E-6</v>
      </c>
      <c r="C47" t="s">
        <v>87</v>
      </c>
      <c r="E47" t="s">
        <v>90</v>
      </c>
    </row>
    <row r="48" spans="1:5" x14ac:dyDescent="0.3">
      <c r="A48" t="s">
        <v>91</v>
      </c>
      <c r="B48" s="3">
        <f>'Design Converter'!H24*10^-3</f>
        <v>2E-3</v>
      </c>
      <c r="C48" s="2" t="s">
        <v>36</v>
      </c>
      <c r="E48" t="s">
        <v>121</v>
      </c>
    </row>
    <row r="49" spans="1:9" s="32" customFormat="1" x14ac:dyDescent="0.3">
      <c r="A49" s="32" t="s">
        <v>122</v>
      </c>
      <c r="B49" s="22">
        <v>0.2</v>
      </c>
      <c r="C49" s="2"/>
      <c r="E49" s="32" t="s">
        <v>123</v>
      </c>
    </row>
    <row r="50" spans="1:9" x14ac:dyDescent="0.3">
      <c r="B50" t="s">
        <v>97</v>
      </c>
    </row>
    <row r="51" spans="1:9" s="32" customFormat="1" x14ac:dyDescent="0.3">
      <c r="A51" s="47" t="s">
        <v>441</v>
      </c>
    </row>
    <row r="52" spans="1:9" s="32" customFormat="1" x14ac:dyDescent="0.3"/>
    <row r="53" spans="1:9" s="32" customFormat="1" x14ac:dyDescent="0.3">
      <c r="A53" s="35" t="s">
        <v>442</v>
      </c>
    </row>
    <row r="54" spans="1:9" s="32" customFormat="1" x14ac:dyDescent="0.3">
      <c r="A54" s="32" t="s">
        <v>443</v>
      </c>
      <c r="B54" s="32">
        <f>IF(B20=3,1,IF((VOUT*IOUT)/(VIN_min*Np)&lt;((VIN_min*(1-(VIN_min/VOUT)))/(2*Lm*Fsw)),0,1))</f>
        <v>1</v>
      </c>
      <c r="E54" s="32" t="s">
        <v>534</v>
      </c>
      <c r="I54" s="47"/>
    </row>
    <row r="55" spans="1:9" s="32" customFormat="1" x14ac:dyDescent="0.3">
      <c r="A55" s="32" t="s">
        <v>77</v>
      </c>
      <c r="B55" s="1">
        <f>IF(B54=0,SQRT((2*(IOUT/Np)*Lm*Fsw*(VOUT-VIN_min)/(VIN_min^2))),(1-VIN_min/VOUT))</f>
        <v>0.625</v>
      </c>
      <c r="E55" s="32" t="s">
        <v>421</v>
      </c>
    </row>
    <row r="56" spans="1:9" s="32" customFormat="1" x14ac:dyDescent="0.3">
      <c r="B56" s="23">
        <f>B55/Fsw</f>
        <v>1.4204545454545454E-6</v>
      </c>
      <c r="C56" s="32" t="s">
        <v>51</v>
      </c>
      <c r="E56" s="32" t="s">
        <v>276</v>
      </c>
    </row>
    <row r="57" spans="1:9" s="32" customFormat="1" x14ac:dyDescent="0.3">
      <c r="A57" s="32" t="s">
        <v>82</v>
      </c>
      <c r="B57" s="29">
        <f>(VOUT*IOUT)/(VIN_min)</f>
        <v>11.111111111111111</v>
      </c>
      <c r="C57" s="32" t="s">
        <v>11</v>
      </c>
      <c r="E57" s="32" t="s">
        <v>84</v>
      </c>
    </row>
    <row r="58" spans="1:9" s="32" customFormat="1" x14ac:dyDescent="0.3">
      <c r="A58" s="32" t="s">
        <v>100</v>
      </c>
      <c r="B58" s="28">
        <f>(VIN_min*Dc_VIN_min)/(Lm*Fsw)</f>
        <v>2.7200193423597678</v>
      </c>
      <c r="C58" s="32" t="s">
        <v>11</v>
      </c>
      <c r="E58" s="32" t="s">
        <v>101</v>
      </c>
    </row>
    <row r="59" spans="1:9" x14ac:dyDescent="0.3">
      <c r="A59" t="s">
        <v>98</v>
      </c>
      <c r="B59" s="28">
        <f>IF(B54=0,(VIN_min*Dc_VIN_min)/(Lm*Fsw),(IL_avg_VIN_min/EFF_est)+(ILrip_VINmin/2))</f>
        <v>12.471120782290996</v>
      </c>
      <c r="C59" t="s">
        <v>11</v>
      </c>
      <c r="E59" t="s">
        <v>99</v>
      </c>
    </row>
    <row r="60" spans="1:9" s="32" customFormat="1" x14ac:dyDescent="0.3">
      <c r="B60" s="27"/>
    </row>
    <row r="61" spans="1:9" s="32" customFormat="1" x14ac:dyDescent="0.3">
      <c r="A61" s="35" t="s">
        <v>29</v>
      </c>
      <c r="B61" s="27"/>
    </row>
    <row r="62" spans="1:9" s="32" customFormat="1" x14ac:dyDescent="0.3">
      <c r="A62" s="32" t="s">
        <v>444</v>
      </c>
      <c r="B62" s="32">
        <f>IF(B20=3,1,IF((VOUT*IOUT)/(VIN_nom*Np)&lt;((VIN_nom*(1-(VIN_nom/VOUT)))/(2*Lm*Fsw)),0,1))</f>
        <v>1</v>
      </c>
      <c r="E62" s="32" t="s">
        <v>530</v>
      </c>
    </row>
    <row r="63" spans="1:9" s="32" customFormat="1" x14ac:dyDescent="0.3">
      <c r="A63" s="32" t="s">
        <v>78</v>
      </c>
      <c r="B63" s="1">
        <f>IF(B62=0,SQRT((2*(IOUT/Np)*Lm*Fsw*(VOUT-VIN_nom)/(VIN_nom^2))),(1-VIN_nom/VOUT))</f>
        <v>0.625</v>
      </c>
      <c r="E63" s="32" t="s">
        <v>422</v>
      </c>
    </row>
    <row r="64" spans="1:9" s="32" customFormat="1" x14ac:dyDescent="0.3">
      <c r="B64" s="23">
        <f>B63/Fsw</f>
        <v>1.4204545454545454E-6</v>
      </c>
      <c r="C64" s="32" t="s">
        <v>51</v>
      </c>
      <c r="E64" s="32" t="s">
        <v>276</v>
      </c>
    </row>
    <row r="65" spans="1:5" s="32" customFormat="1" x14ac:dyDescent="0.3">
      <c r="A65" s="32" t="s">
        <v>83</v>
      </c>
      <c r="B65" s="29">
        <f>(VOUT*IOUT)/(VIN_nom)</f>
        <v>11.111111111111111</v>
      </c>
      <c r="C65" s="32" t="s">
        <v>11</v>
      </c>
      <c r="E65" s="32" t="s">
        <v>85</v>
      </c>
    </row>
    <row r="66" spans="1:5" x14ac:dyDescent="0.3">
      <c r="A66" s="32" t="s">
        <v>102</v>
      </c>
      <c r="B66" s="28">
        <f>(VIN_nom*Dc_VIN_nom)/(Lm*Fsw)</f>
        <v>2.7200193423597678</v>
      </c>
      <c r="C66" s="32" t="s">
        <v>11</v>
      </c>
      <c r="E66" s="32" t="s">
        <v>108</v>
      </c>
    </row>
    <row r="67" spans="1:5" x14ac:dyDescent="0.3">
      <c r="A67" s="32" t="s">
        <v>103</v>
      </c>
      <c r="B67" s="28">
        <f>IF(B62=0,(VIN_nom*Dc_VIN_nom)/(Lm*Fsw),(IL_avg_VIN_nom/EFF_est)+(ILrip_VINnom/2))</f>
        <v>12.471120782290996</v>
      </c>
      <c r="C67" s="32" t="s">
        <v>11</v>
      </c>
      <c r="E67" s="32" t="s">
        <v>109</v>
      </c>
    </row>
    <row r="68" spans="1:5" s="32" customFormat="1" x14ac:dyDescent="0.3">
      <c r="B68" s="27"/>
    </row>
    <row r="69" spans="1:5" s="32" customFormat="1" x14ac:dyDescent="0.3">
      <c r="A69" s="35" t="s">
        <v>30</v>
      </c>
      <c r="B69" s="27"/>
    </row>
    <row r="70" spans="1:5" s="32" customFormat="1" x14ac:dyDescent="0.3">
      <c r="A70" s="32" t="s">
        <v>445</v>
      </c>
      <c r="B70" s="27">
        <f>IF(B20=3,1,IF((VOUT*IOUT)/(VIN_max*Np)&lt;((VIN_max*(1-(VIN_max/VOUT)))/(2*Lm*Fsw)),0,1))</f>
        <v>1</v>
      </c>
      <c r="E70" s="32" t="s">
        <v>530</v>
      </c>
    </row>
    <row r="71" spans="1:5" s="32" customFormat="1" x14ac:dyDescent="0.3">
      <c r="A71" s="32" t="s">
        <v>79</v>
      </c>
      <c r="B71" s="1">
        <f>IF(B70=0,SQRT((2*(IOUT/Np)*Lm*Fsw*(VOUT-VIN_max)/(VIN_max^2))),(1-VIN_max/VOUT))</f>
        <v>0.25</v>
      </c>
      <c r="E71" s="32" t="s">
        <v>423</v>
      </c>
    </row>
    <row r="72" spans="1:5" s="32" customFormat="1" x14ac:dyDescent="0.3">
      <c r="B72" s="23">
        <f>B71/Fsw</f>
        <v>5.6818181818181819E-7</v>
      </c>
      <c r="C72" s="32" t="s">
        <v>51</v>
      </c>
      <c r="E72" s="32" t="s">
        <v>276</v>
      </c>
    </row>
    <row r="73" spans="1:5" s="32" customFormat="1" x14ac:dyDescent="0.3">
      <c r="A73" s="32" t="s">
        <v>446</v>
      </c>
      <c r="B73" s="29">
        <f>(VOUT*IOUT)/(VIN_max)</f>
        <v>5.5555555555555554</v>
      </c>
      <c r="C73" s="32" t="s">
        <v>11</v>
      </c>
      <c r="E73" s="32" t="s">
        <v>86</v>
      </c>
    </row>
    <row r="74" spans="1:5" x14ac:dyDescent="0.3">
      <c r="A74" s="32" t="s">
        <v>104</v>
      </c>
      <c r="B74" s="28">
        <f>(VIN_max*Dc_VIN_max)/(Lm*Fsw)</f>
        <v>2.1760154738878144</v>
      </c>
      <c r="C74" s="32" t="s">
        <v>11</v>
      </c>
      <c r="E74" s="32" t="s">
        <v>110</v>
      </c>
    </row>
    <row r="75" spans="1:5" x14ac:dyDescent="0.3">
      <c r="A75" s="32" t="s">
        <v>105</v>
      </c>
      <c r="B75" s="28">
        <f>IF(B70=0,(VIN_max*Dc_VIN_max)/(Lm*Fsw),(IL_avg_VIN_max/EFF_est)+(ILrip_VINmax/2))</f>
        <v>6.6435632924994623</v>
      </c>
      <c r="C75" s="32" t="s">
        <v>11</v>
      </c>
      <c r="E75" s="32" t="s">
        <v>111</v>
      </c>
    </row>
    <row r="77" spans="1:5" x14ac:dyDescent="0.3">
      <c r="A77" s="31" t="s">
        <v>106</v>
      </c>
    </row>
    <row r="78" spans="1:5" x14ac:dyDescent="0.3">
      <c r="A78" t="s">
        <v>113</v>
      </c>
      <c r="B78" s="3">
        <f>'Design Converter'!H28/100</f>
        <v>0.3</v>
      </c>
      <c r="E78" t="s">
        <v>114</v>
      </c>
    </row>
    <row r="79" spans="1:5" s="32" customFormat="1" x14ac:dyDescent="0.3">
      <c r="A79" s="32" t="s">
        <v>601</v>
      </c>
      <c r="B79" s="22">
        <v>0.95</v>
      </c>
      <c r="E79" s="32" t="s">
        <v>602</v>
      </c>
    </row>
    <row r="80" spans="1:5" x14ac:dyDescent="0.3">
      <c r="A80" t="s">
        <v>115</v>
      </c>
      <c r="B80" s="29">
        <f>IF(B54=0,(1+Ipk_margin)*ILp_VINmin,((IL_avg_VIN_min/B79)+(ILrip_VINmin/2))*(1+Ipk_margin))</f>
        <v>16.972690935106947</v>
      </c>
      <c r="C80" t="s">
        <v>11</v>
      </c>
      <c r="E80" t="s">
        <v>116</v>
      </c>
    </row>
    <row r="81" spans="1:11" s="32" customFormat="1" x14ac:dyDescent="0.3">
      <c r="B81" s="192"/>
    </row>
    <row r="82" spans="1:11" s="32" customFormat="1" x14ac:dyDescent="0.3">
      <c r="A82" s="32" t="s">
        <v>126</v>
      </c>
      <c r="B82" s="22">
        <v>0.66600000000000004</v>
      </c>
      <c r="E82" s="32" t="s">
        <v>535</v>
      </c>
    </row>
    <row r="83" spans="1:11" x14ac:dyDescent="0.3">
      <c r="A83" t="s">
        <v>124</v>
      </c>
      <c r="B83" s="37">
        <f>IF(OR(Dc_VIN_min&lt;0.5,B54=0),1000,(Lm*Vsl*Fsw)/(B82*(VOUT-VIN_min)))</f>
        <v>9.3153153153153149E-3</v>
      </c>
      <c r="C83" s="2" t="s">
        <v>36</v>
      </c>
      <c r="E83" t="s">
        <v>125</v>
      </c>
    </row>
    <row r="84" spans="1:11" x14ac:dyDescent="0.3">
      <c r="A84" t="s">
        <v>131</v>
      </c>
      <c r="B84" s="37">
        <f>Vcl/Ipk_selected</f>
        <v>3.535090589312138E-3</v>
      </c>
      <c r="C84" s="2" t="s">
        <v>36</v>
      </c>
      <c r="E84" t="s">
        <v>492</v>
      </c>
    </row>
    <row r="85" spans="1:11" s="32" customFormat="1" x14ac:dyDescent="0.3">
      <c r="B85" s="27"/>
    </row>
    <row r="86" spans="1:11" x14ac:dyDescent="0.3">
      <c r="A86" t="s">
        <v>134</v>
      </c>
      <c r="B86" s="1">
        <f>IF(Rcs_wo_sl&gt;Rcs_max,1,0)</f>
        <v>0</v>
      </c>
      <c r="E86" t="s">
        <v>448</v>
      </c>
    </row>
    <row r="87" spans="1:11" x14ac:dyDescent="0.3">
      <c r="A87" t="s">
        <v>135</v>
      </c>
      <c r="B87" s="40">
        <f>IF(B54=0,Rcs_wo_sl,IF(B86=0,Rcs_wo_sl,Rcs_w_sl))</f>
        <v>3.535090589312138E-3</v>
      </c>
      <c r="C87" s="2" t="s">
        <v>36</v>
      </c>
      <c r="E87" t="s">
        <v>447</v>
      </c>
    </row>
    <row r="88" spans="1:11" x14ac:dyDescent="0.3">
      <c r="A88" t="s">
        <v>136</v>
      </c>
      <c r="B88" s="1">
        <v>0</v>
      </c>
      <c r="C88" s="2" t="s">
        <v>36</v>
      </c>
      <c r="E88" t="s">
        <v>536</v>
      </c>
    </row>
    <row r="90" spans="1:11" x14ac:dyDescent="0.3">
      <c r="A90" t="s">
        <v>137</v>
      </c>
      <c r="B90" s="41">
        <f>'Design Converter'!H31/1000</f>
        <v>3.0000000000000001E-3</v>
      </c>
      <c r="C90" s="2" t="s">
        <v>36</v>
      </c>
      <c r="E90" t="s">
        <v>139</v>
      </c>
    </row>
    <row r="91" spans="1:11" x14ac:dyDescent="0.3">
      <c r="A91" t="s">
        <v>138</v>
      </c>
      <c r="B91" s="3">
        <v>0</v>
      </c>
      <c r="C91" s="2" t="s">
        <v>36</v>
      </c>
      <c r="E91" t="s">
        <v>537</v>
      </c>
    </row>
    <row r="93" spans="1:11" x14ac:dyDescent="0.3">
      <c r="A93" t="s">
        <v>142</v>
      </c>
      <c r="B93" s="27">
        <f>(Vsl*Fsw)/(((VOUT-VIN_min)/Lm)*R_cs)</f>
        <v>2.0679999999999996</v>
      </c>
      <c r="C93" t="s">
        <v>150</v>
      </c>
      <c r="E93" t="s">
        <v>140</v>
      </c>
      <c r="K93">
        <f>IF(B62=0,0,IF(B93&lt;0.5,1,0))</f>
        <v>0</v>
      </c>
    </row>
    <row r="94" spans="1:11" s="32" customFormat="1" x14ac:dyDescent="0.3">
      <c r="A94" s="32" t="s">
        <v>144</v>
      </c>
      <c r="B94" s="29">
        <f>(Vcl-(Isl*R_sl*Dc_VIN_min))/R_cs</f>
        <v>20</v>
      </c>
      <c r="C94" s="32" t="s">
        <v>11</v>
      </c>
      <c r="E94" s="32" t="s">
        <v>146</v>
      </c>
      <c r="K94">
        <f>IF(IL_pk&lt;Ipk_selected,1,0)</f>
        <v>0</v>
      </c>
    </row>
    <row r="95" spans="1:11" x14ac:dyDescent="0.3">
      <c r="A95" t="s">
        <v>145</v>
      </c>
      <c r="B95" s="29">
        <f>(Vcl-(Isl*R_sl*Dc_VIN_max))/R_cs</f>
        <v>20</v>
      </c>
      <c r="C95" t="s">
        <v>11</v>
      </c>
      <c r="E95" t="s">
        <v>147</v>
      </c>
    </row>
    <row r="96" spans="1:11" x14ac:dyDescent="0.3">
      <c r="A96" t="s">
        <v>148</v>
      </c>
      <c r="B96" s="22">
        <f>0.15</f>
        <v>0.15</v>
      </c>
      <c r="E96" t="s">
        <v>149</v>
      </c>
    </row>
    <row r="97" spans="1:5" x14ac:dyDescent="0.3">
      <c r="A97" t="s">
        <v>151</v>
      </c>
      <c r="B97" s="202">
        <f>(1+B96)*B95</f>
        <v>23</v>
      </c>
      <c r="C97" t="s">
        <v>11</v>
      </c>
      <c r="E97" t="s">
        <v>152</v>
      </c>
    </row>
    <row r="99" spans="1:5" x14ac:dyDescent="0.3">
      <c r="A99" s="35" t="s">
        <v>153</v>
      </c>
      <c r="E99" t="s">
        <v>538</v>
      </c>
    </row>
    <row r="102" spans="1:5" x14ac:dyDescent="0.3">
      <c r="A102" s="43" t="s">
        <v>154</v>
      </c>
      <c r="E102" t="s">
        <v>549</v>
      </c>
    </row>
    <row r="104" spans="1:5" s="32" customFormat="1" x14ac:dyDescent="0.3">
      <c r="A104" s="32" t="s">
        <v>449</v>
      </c>
      <c r="B104" s="1">
        <f>IF(B54=0,2*Fsw/(Dc_VIN_min*5),(VOUT/IOUT)*((VIN_min^2)/VOUT^2)/(Lm*5))</f>
        <v>34468.085106382976</v>
      </c>
      <c r="C104" s="32" t="s">
        <v>489</v>
      </c>
      <c r="E104" s="32" t="s">
        <v>540</v>
      </c>
    </row>
    <row r="105" spans="1:5" s="32" customFormat="1" x14ac:dyDescent="0.3">
      <c r="B105" s="27">
        <f>B104/(2*PI())</f>
        <v>5485.7661235929882</v>
      </c>
      <c r="C105" s="32" t="s">
        <v>65</v>
      </c>
    </row>
    <row r="106" spans="1:5" x14ac:dyDescent="0.3">
      <c r="A106" t="s">
        <v>160</v>
      </c>
      <c r="B106" s="44">
        <f>'Design Converter'!H35/1000</f>
        <v>0.24</v>
      </c>
      <c r="C106" t="s">
        <v>10</v>
      </c>
      <c r="E106" t="s">
        <v>159</v>
      </c>
    </row>
    <row r="107" spans="1:5" s="32" customFormat="1" x14ac:dyDescent="0.3">
      <c r="A107" s="32" t="s">
        <v>450</v>
      </c>
      <c r="B107" s="1">
        <f>IOUT-0.5*IOUT</f>
        <v>2.0833333333333335</v>
      </c>
      <c r="C107" s="32" t="s">
        <v>11</v>
      </c>
    </row>
    <row r="108" spans="1:5" x14ac:dyDescent="0.3">
      <c r="A108" t="s">
        <v>161</v>
      </c>
      <c r="B108" s="1">
        <f>B107/(Vout_rip_sel*B104)</f>
        <v>2.5184327846364886E-4</v>
      </c>
      <c r="C108" t="s">
        <v>162</v>
      </c>
      <c r="E108" t="s">
        <v>163</v>
      </c>
    </row>
    <row r="109" spans="1:5" x14ac:dyDescent="0.3">
      <c r="A109" t="s">
        <v>164</v>
      </c>
      <c r="B109" s="204">
        <f>SQRT((1-Dc_VIN_min)*((IOUT^2)*(Dc_VIN_min/((1-Dc_VIN_min)^2))+((ILrip_VINmin^2)/3)))</f>
        <v>5.4644302848546431</v>
      </c>
      <c r="C109" t="s">
        <v>11</v>
      </c>
      <c r="E109" s="47" t="s">
        <v>541</v>
      </c>
    </row>
    <row r="110" spans="1:5" x14ac:dyDescent="0.3">
      <c r="A110" t="s">
        <v>169</v>
      </c>
      <c r="B110" s="3">
        <f>'Design Converter'!H37*(10^-6)</f>
        <v>2.1999999999999998E-4</v>
      </c>
      <c r="C110" t="s">
        <v>162</v>
      </c>
      <c r="E110" t="s">
        <v>167</v>
      </c>
    </row>
    <row r="111" spans="1:5" x14ac:dyDescent="0.3">
      <c r="A111" t="s">
        <v>166</v>
      </c>
      <c r="B111" s="3">
        <f>'Design Converter'!H38/1000</f>
        <v>2E-3</v>
      </c>
      <c r="C111" s="2" t="s">
        <v>36</v>
      </c>
      <c r="E111" t="s">
        <v>168</v>
      </c>
    </row>
    <row r="112" spans="1:5" x14ac:dyDescent="0.3">
      <c r="A112" t="s">
        <v>274</v>
      </c>
      <c r="B112" s="205">
        <f>SQRT((IOUT^2)+(IL_avg_VIN_min^2)-(2*IOUT*IL_avg_VIN_min)-(2*Dc_VIN_min*(IOUT^2))-(Dc_VIN_min*(IL_avg_VIN_min^2))+(2*Dc_VIN_min*IOUT*IL_avg_VIN_min))</f>
        <v>2.6895717681995941</v>
      </c>
      <c r="E112" s="203" t="s">
        <v>275</v>
      </c>
    </row>
    <row r="113" spans="1:7" s="32" customFormat="1" x14ac:dyDescent="0.3">
      <c r="E113" s="95"/>
    </row>
    <row r="114" spans="1:7" s="32" customFormat="1" x14ac:dyDescent="0.3"/>
    <row r="115" spans="1:7" s="32" customFormat="1" x14ac:dyDescent="0.3">
      <c r="A115" s="43" t="s">
        <v>292</v>
      </c>
    </row>
    <row r="116" spans="1:7" s="32" customFormat="1" x14ac:dyDescent="0.3">
      <c r="A116" s="32" t="s">
        <v>278</v>
      </c>
      <c r="B116" s="22">
        <f>Iss</f>
        <v>1.9999999999999998E-5</v>
      </c>
      <c r="C116" s="32" t="s">
        <v>11</v>
      </c>
      <c r="E116" s="32" t="s">
        <v>280</v>
      </c>
    </row>
    <row r="117" spans="1:7" s="32" customFormat="1" x14ac:dyDescent="0.3">
      <c r="A117" s="32" t="s">
        <v>281</v>
      </c>
      <c r="B117" s="1">
        <f>Iss*VOUT*Cout/(Vref*IOUT)</f>
        <v>2.5343999999999992E-8</v>
      </c>
      <c r="C117" s="32" t="s">
        <v>162</v>
      </c>
      <c r="E117" s="32" t="s">
        <v>282</v>
      </c>
    </row>
    <row r="118" spans="1:7" s="32" customFormat="1" x14ac:dyDescent="0.3">
      <c r="A118" s="32" t="s">
        <v>283</v>
      </c>
      <c r="B118" s="3">
        <f>'Design Converter'!H42*(10^-3)</f>
        <v>0.01</v>
      </c>
      <c r="C118" s="32" t="s">
        <v>51</v>
      </c>
      <c r="E118" s="32" t="s">
        <v>284</v>
      </c>
    </row>
    <row r="119" spans="1:7" s="32" customFormat="1" x14ac:dyDescent="0.3">
      <c r="A119" s="32" t="s">
        <v>287</v>
      </c>
      <c r="B119" s="1">
        <f>(tss*Iss)/(Vref*(1-(VIN_min/VOUT)))</f>
        <v>3.2000000000000001E-7</v>
      </c>
      <c r="C119" s="32" t="s">
        <v>162</v>
      </c>
      <c r="E119" s="32" t="s">
        <v>288</v>
      </c>
    </row>
    <row r="120" spans="1:7" s="32" customFormat="1" x14ac:dyDescent="0.3"/>
    <row r="121" spans="1:7" s="32" customFormat="1" x14ac:dyDescent="0.3">
      <c r="A121" s="43" t="s">
        <v>291</v>
      </c>
    </row>
    <row r="122" spans="1:7" s="32" customFormat="1" x14ac:dyDescent="0.3">
      <c r="A122" s="32" t="s">
        <v>293</v>
      </c>
      <c r="B122" s="3">
        <f>'Design Converter'!H46</f>
        <v>8</v>
      </c>
      <c r="C122" s="32" t="s">
        <v>10</v>
      </c>
      <c r="E122" s="32" t="s">
        <v>295</v>
      </c>
      <c r="G122" s="47"/>
    </row>
    <row r="123" spans="1:7" s="32" customFormat="1" x14ac:dyDescent="0.3">
      <c r="A123" s="32" t="s">
        <v>294</v>
      </c>
      <c r="B123" s="3">
        <f>'Design Converter'!H47</f>
        <v>7</v>
      </c>
      <c r="C123" s="32" t="s">
        <v>10</v>
      </c>
      <c r="E123" s="32" t="s">
        <v>296</v>
      </c>
    </row>
    <row r="124" spans="1:7" s="32" customFormat="1" x14ac:dyDescent="0.3">
      <c r="A124" s="32" t="s">
        <v>298</v>
      </c>
      <c r="B124" s="22">
        <f>UV_rise</f>
        <v>1.1000000000000001</v>
      </c>
      <c r="C124" s="32" t="s">
        <v>10</v>
      </c>
      <c r="E124" s="32" t="s">
        <v>303</v>
      </c>
    </row>
    <row r="125" spans="1:7" s="32" customFormat="1" x14ac:dyDescent="0.3">
      <c r="A125" s="32" t="s">
        <v>299</v>
      </c>
      <c r="B125" s="22">
        <f>UV_fall</f>
        <v>1.075</v>
      </c>
      <c r="C125" s="32" t="s">
        <v>10</v>
      </c>
      <c r="E125" s="32" t="s">
        <v>302</v>
      </c>
    </row>
    <row r="126" spans="1:7" s="32" customFormat="1" x14ac:dyDescent="0.3">
      <c r="A126" s="32" t="s">
        <v>304</v>
      </c>
      <c r="B126" s="22">
        <f>UV_I_hyst</f>
        <v>9.9999999999999991E-6</v>
      </c>
      <c r="C126" s="32" t="s">
        <v>11</v>
      </c>
      <c r="E126" s="32" t="s">
        <v>306</v>
      </c>
      <c r="G126" s="207">
        <f>(Vuvlo_on*0.977)-Vuvlo_off</f>
        <v>0.81599999999999984</v>
      </c>
    </row>
    <row r="127" spans="1:7" s="32" customFormat="1" x14ac:dyDescent="0.3">
      <c r="A127" s="32" t="s">
        <v>307</v>
      </c>
      <c r="B127" s="28">
        <f>((Vuvlo_on*(UV_fall/UV_rise))-Vuvlo_off)/UV_I_hyst</f>
        <v>81818.181818181751</v>
      </c>
      <c r="C127" s="2" t="s">
        <v>36</v>
      </c>
      <c r="E127" s="32" t="s">
        <v>394</v>
      </c>
      <c r="G127" s="33">
        <f>B125/B124</f>
        <v>0.97727272727272718</v>
      </c>
    </row>
    <row r="128" spans="1:7" s="32" customFormat="1" x14ac:dyDescent="0.3">
      <c r="A128" s="32" t="s">
        <v>307</v>
      </c>
      <c r="B128" s="3">
        <f>'Design Converter'!H49*1000</f>
        <v>80600</v>
      </c>
      <c r="C128" s="2" t="s">
        <v>36</v>
      </c>
      <c r="E128" s="32" t="s">
        <v>395</v>
      </c>
    </row>
    <row r="129" spans="1:7" s="32" customFormat="1" x14ac:dyDescent="0.3">
      <c r="A129" s="32" t="s">
        <v>308</v>
      </c>
      <c r="B129" s="30">
        <f>UV_rise*Ruvlo_top/(Vuvlo_on-UV_rise)</f>
        <v>12849.27536231884</v>
      </c>
      <c r="C129" s="2" t="s">
        <v>36</v>
      </c>
      <c r="E129" s="32" t="s">
        <v>396</v>
      </c>
    </row>
    <row r="130" spans="1:7" s="32" customFormat="1" x14ac:dyDescent="0.3">
      <c r="A130" s="32" t="s">
        <v>309</v>
      </c>
      <c r="B130" s="192">
        <f>UV_rise*(Ruvlo_top+Ruvlo_bottom_calc)/Ruvlo_bottom_calc</f>
        <v>8.0000000000000018</v>
      </c>
      <c r="E130" s="32" t="s">
        <v>311</v>
      </c>
    </row>
    <row r="131" spans="1:7" s="32" customFormat="1" x14ac:dyDescent="0.3">
      <c r="A131" s="32" t="s">
        <v>310</v>
      </c>
      <c r="B131" s="192">
        <f>Ruvlo_top*((UV_fall/Ruvlo_top)-(UV_I_hyst)+(UV_fall/Ruvlo_bottom_calc))</f>
        <v>7.0121818181818183</v>
      </c>
      <c r="E131" s="32" t="s">
        <v>312</v>
      </c>
      <c r="G131" s="47"/>
    </row>
    <row r="132" spans="1:7" s="32" customFormat="1" x14ac:dyDescent="0.3"/>
    <row r="133" spans="1:7" s="32" customFormat="1" x14ac:dyDescent="0.3"/>
    <row r="134" spans="1:7" x14ac:dyDescent="0.3">
      <c r="A134" s="43" t="s">
        <v>171</v>
      </c>
    </row>
    <row r="135" spans="1:7" s="32" customFormat="1" x14ac:dyDescent="0.3">
      <c r="A135" s="48" t="s">
        <v>197</v>
      </c>
      <c r="B135" s="3" t="str">
        <f>'Design Converter'!H54</f>
        <v>9V</v>
      </c>
      <c r="C135" s="32" t="s">
        <v>10</v>
      </c>
      <c r="E135" s="32" t="s">
        <v>238</v>
      </c>
    </row>
    <row r="136" spans="1:7" s="32" customFormat="1" x14ac:dyDescent="0.3">
      <c r="A136" s="48"/>
      <c r="B136" s="27"/>
    </row>
    <row r="137" spans="1:7" x14ac:dyDescent="0.3">
      <c r="A137" s="47" t="s">
        <v>252</v>
      </c>
    </row>
    <row r="138" spans="1:7" s="32" customFormat="1" x14ac:dyDescent="0.3">
      <c r="A138" s="38" t="s">
        <v>550</v>
      </c>
      <c r="B138" s="32">
        <f>VOUT_range</f>
        <v>2</v>
      </c>
      <c r="E138" s="32" t="s">
        <v>520</v>
      </c>
    </row>
    <row r="139" spans="1:7" s="32" customFormat="1" x14ac:dyDescent="0.3">
      <c r="A139" s="38" t="s">
        <v>551</v>
      </c>
      <c r="B139" s="32">
        <f>CHOOSE(VOUT_range,Kfb_low,Kfb_high)</f>
        <v>60</v>
      </c>
      <c r="C139" s="32" t="s">
        <v>150</v>
      </c>
    </row>
    <row r="140" spans="1:7" s="32" customFormat="1" x14ac:dyDescent="0.3">
      <c r="A140" s="38" t="s">
        <v>558</v>
      </c>
      <c r="B140" s="32">
        <f>CHOOSE(VOUT_range,Rmax_low,Rmax_high)</f>
        <v>35000</v>
      </c>
      <c r="C140" s="32" t="s">
        <v>469</v>
      </c>
    </row>
    <row r="141" spans="1:7" s="32" customFormat="1" x14ac:dyDescent="0.3">
      <c r="A141" s="38" t="s">
        <v>559</v>
      </c>
      <c r="B141" s="32">
        <f>CHOOSE(VOUT_range,Rmin_low,Rmin_high)</f>
        <v>20000</v>
      </c>
      <c r="C141" s="32" t="s">
        <v>469</v>
      </c>
    </row>
    <row r="142" spans="1:7" s="32" customFormat="1" x14ac:dyDescent="0.3">
      <c r="A142" s="38" t="s">
        <v>562</v>
      </c>
      <c r="B142" s="1">
        <f>VOUT/Kfb</f>
        <v>0.4</v>
      </c>
      <c r="C142" s="32" t="s">
        <v>10</v>
      </c>
      <c r="E142" s="32" t="s">
        <v>563</v>
      </c>
    </row>
    <row r="143" spans="1:7" s="32" customFormat="1" x14ac:dyDescent="0.3">
      <c r="A143" s="38" t="s">
        <v>560</v>
      </c>
      <c r="B143" s="1">
        <f>((Vref*Rmax)-(VTRK*Rmax))/Vref</f>
        <v>21000</v>
      </c>
      <c r="E143" s="32">
        <f>Vref</f>
        <v>1</v>
      </c>
    </row>
    <row r="144" spans="1:7" s="32" customFormat="1" x14ac:dyDescent="0.3">
      <c r="A144" s="38" t="s">
        <v>561</v>
      </c>
      <c r="B144" s="1">
        <f>((Vref*Rmin)-(VTRK*Rmin))/Vref</f>
        <v>12000</v>
      </c>
    </row>
    <row r="145" spans="1:5" s="32" customFormat="1" x14ac:dyDescent="0.3">
      <c r="A145" s="32" t="s">
        <v>189</v>
      </c>
      <c r="B145" s="3">
        <f>'Design Converter'!H60*(10^3)</f>
        <v>21000</v>
      </c>
      <c r="C145" s="2" t="s">
        <v>36</v>
      </c>
      <c r="E145" s="32" t="s">
        <v>239</v>
      </c>
    </row>
    <row r="146" spans="1:5" s="32" customFormat="1" x14ac:dyDescent="0.3">
      <c r="A146" s="32" t="s">
        <v>243</v>
      </c>
      <c r="B146" s="30">
        <f>RFBT/((Vref/VTRK)-1)</f>
        <v>14000</v>
      </c>
      <c r="C146" s="2" t="s">
        <v>36</v>
      </c>
      <c r="E146" s="32" t="s">
        <v>246</v>
      </c>
    </row>
    <row r="147" spans="1:5" x14ac:dyDescent="0.3">
      <c r="A147" t="s">
        <v>190</v>
      </c>
      <c r="B147" s="3">
        <f>'Design Converter'!H62*(10^3)</f>
        <v>14000</v>
      </c>
      <c r="C147" s="2" t="s">
        <v>36</v>
      </c>
      <c r="E147" t="s">
        <v>247</v>
      </c>
    </row>
    <row r="148" spans="1:5" x14ac:dyDescent="0.3">
      <c r="A148" t="s">
        <v>248</v>
      </c>
      <c r="B148" s="27">
        <f>VOUT/(RFBB+RFBT)</f>
        <v>6.857142857142857E-4</v>
      </c>
      <c r="C148" s="2" t="s">
        <v>11</v>
      </c>
      <c r="E148" t="s">
        <v>567</v>
      </c>
    </row>
    <row r="149" spans="1:5" s="32" customFormat="1" x14ac:dyDescent="0.3">
      <c r="B149" s="27"/>
      <c r="C149" s="2"/>
    </row>
    <row r="150" spans="1:5" s="32" customFormat="1" x14ac:dyDescent="0.3">
      <c r="A150" s="47" t="s">
        <v>253</v>
      </c>
      <c r="E150" s="32" t="s">
        <v>388</v>
      </c>
    </row>
    <row r="151" spans="1:5" s="32" customFormat="1" x14ac:dyDescent="0.3"/>
    <row r="152" spans="1:5" s="32" customFormat="1" x14ac:dyDescent="0.3">
      <c r="A152" s="35" t="s">
        <v>452</v>
      </c>
      <c r="E152" s="32" t="s">
        <v>504</v>
      </c>
    </row>
    <row r="153" spans="1:5" s="32" customFormat="1" x14ac:dyDescent="0.3">
      <c r="A153" s="35"/>
    </row>
    <row r="154" spans="1:5" s="32" customFormat="1" x14ac:dyDescent="0.3">
      <c r="A154" s="32" t="s">
        <v>501</v>
      </c>
      <c r="B154" s="33">
        <f>(R_cs*Acs/(2*Lm*Fsw))*(1-(VIN_min/VOUT))*(VIN_min/VOUT)</f>
        <v>1.7000120889748547E-3</v>
      </c>
      <c r="E154" s="32" t="s">
        <v>497</v>
      </c>
    </row>
    <row r="155" spans="1:5" s="32" customFormat="1" x14ac:dyDescent="0.3">
      <c r="A155" s="32" t="s">
        <v>502</v>
      </c>
      <c r="B155" s="33">
        <f>1/((0.5-(1-(VIN_min/VOUT)))*(R_cs*Acs/(Lm*Fsw))+(Vsl*Acs/VOUT))</f>
        <v>59.043540328336903</v>
      </c>
      <c r="E155" s="32" t="s">
        <v>497</v>
      </c>
    </row>
    <row r="156" spans="1:5" s="32" customFormat="1" x14ac:dyDescent="0.3">
      <c r="A156" s="32" t="s">
        <v>503</v>
      </c>
      <c r="B156" s="33">
        <f>2+((VOUT*((VIN_min/VOUT)^2))/(IOUT*R_cs*Acs))*((1/Km_VINmin)+(Kex_VINmin/(VIN_min/VOUT)))</f>
        <v>2.5796905222437139</v>
      </c>
      <c r="E156" s="32" t="s">
        <v>497</v>
      </c>
    </row>
    <row r="157" spans="1:5" s="32" customFormat="1" x14ac:dyDescent="0.3">
      <c r="A157" s="35"/>
      <c r="B157" s="33"/>
    </row>
    <row r="158" spans="1:5" s="32" customFormat="1" x14ac:dyDescent="0.3">
      <c r="A158" s="35"/>
      <c r="B158" s="33"/>
    </row>
    <row r="159" spans="1:5" s="32" customFormat="1" x14ac:dyDescent="0.3">
      <c r="A159" s="35"/>
      <c r="B159" s="33"/>
    </row>
    <row r="160" spans="1:5" s="32" customFormat="1" x14ac:dyDescent="0.3">
      <c r="A160" s="32" t="s">
        <v>398</v>
      </c>
      <c r="B160" s="33">
        <f>(Gcomp*(VIN_min/VOUT)*(VOUT/IOUT))/(Kd_VINmin*R_cs*Acs/Np)</f>
        <v>27.910324660718299</v>
      </c>
    </row>
    <row r="161" spans="1:5" s="32" customFormat="1" x14ac:dyDescent="0.3">
      <c r="B161" s="33"/>
    </row>
    <row r="162" spans="1:5" s="32" customFormat="1" x14ac:dyDescent="0.3">
      <c r="A162" s="32" t="s">
        <v>399</v>
      </c>
      <c r="B162" s="202">
        <f>Kd_VINmin/(Cout*(VOUT/IOUT))</f>
        <v>2035.7406267706078</v>
      </c>
      <c r="C162" s="32" t="s">
        <v>385</v>
      </c>
      <c r="E162" s="32" t="s">
        <v>384</v>
      </c>
    </row>
    <row r="163" spans="1:5" s="32" customFormat="1" x14ac:dyDescent="0.3">
      <c r="A163" s="32" t="s">
        <v>400</v>
      </c>
      <c r="B163" s="202">
        <f>B162/(2*PI())</f>
        <v>323.99818360353544</v>
      </c>
      <c r="C163" s="32" t="s">
        <v>65</v>
      </c>
      <c r="E163" s="32" t="s">
        <v>249</v>
      </c>
    </row>
    <row r="164" spans="1:5" s="32" customFormat="1" x14ac:dyDescent="0.3">
      <c r="B164" s="202"/>
    </row>
    <row r="165" spans="1:5" s="32" customFormat="1" x14ac:dyDescent="0.3">
      <c r="A165" s="32" t="s">
        <v>401</v>
      </c>
      <c r="B165" s="202">
        <f>1/(Cout*Resr)</f>
        <v>2272727.2727272729</v>
      </c>
      <c r="C165" s="32" t="s">
        <v>386</v>
      </c>
      <c r="E165" s="32" t="s">
        <v>387</v>
      </c>
    </row>
    <row r="166" spans="1:5" s="32" customFormat="1" x14ac:dyDescent="0.3">
      <c r="A166" s="32" t="s">
        <v>402</v>
      </c>
      <c r="B166" s="202">
        <f>B165/(2*PI())</f>
        <v>361715.77975430764</v>
      </c>
      <c r="C166" s="32" t="s">
        <v>65</v>
      </c>
      <c r="E166" s="32" t="s">
        <v>251</v>
      </c>
    </row>
    <row r="167" spans="1:5" s="32" customFormat="1" x14ac:dyDescent="0.3">
      <c r="B167" s="202"/>
    </row>
    <row r="168" spans="1:5" s="32" customFormat="1" x14ac:dyDescent="0.3">
      <c r="A168" s="32" t="s">
        <v>403</v>
      </c>
      <c r="B168" s="202">
        <f>((VOUT/IOUT)*((VIN_min/VOUT)^2))/(Lm)</f>
        <v>172340.42553191489</v>
      </c>
      <c r="E168" s="32" t="s">
        <v>383</v>
      </c>
    </row>
    <row r="169" spans="1:5" s="32" customFormat="1" x14ac:dyDescent="0.3">
      <c r="A169" s="32" t="s">
        <v>404</v>
      </c>
      <c r="B169" s="202">
        <f>B168/(2*PI())</f>
        <v>27428.830617964941</v>
      </c>
      <c r="C169" s="32" t="s">
        <v>65</v>
      </c>
      <c r="E169" s="32" t="s">
        <v>250</v>
      </c>
    </row>
    <row r="170" spans="1:5" s="32" customFormat="1" x14ac:dyDescent="0.3">
      <c r="B170" s="202">
        <f>Fsw/10</f>
        <v>44000</v>
      </c>
      <c r="C170" s="32" t="s">
        <v>65</v>
      </c>
      <c r="E170" s="32" t="s">
        <v>256</v>
      </c>
    </row>
    <row r="171" spans="1:5" s="32" customFormat="1" x14ac:dyDescent="0.3">
      <c r="B171" s="45">
        <f>IF((B169/5)&lt;(B170),0,1)</f>
        <v>0</v>
      </c>
      <c r="E171" s="32" t="s">
        <v>257</v>
      </c>
    </row>
    <row r="172" spans="1:5" s="32" customFormat="1" x14ac:dyDescent="0.3">
      <c r="B172" s="33"/>
    </row>
    <row r="173" spans="1:5" s="32" customFormat="1" x14ac:dyDescent="0.3">
      <c r="A173" s="32" t="s">
        <v>405</v>
      </c>
      <c r="B173" s="202">
        <f>(Vsl*Fsw)</f>
        <v>19800</v>
      </c>
      <c r="C173" s="32" t="s">
        <v>150</v>
      </c>
      <c r="E173" s="32" t="s">
        <v>505</v>
      </c>
    </row>
    <row r="174" spans="1:5" s="32" customFormat="1" x14ac:dyDescent="0.3">
      <c r="A174" s="32" t="s">
        <v>406</v>
      </c>
      <c r="B174" s="202">
        <f>(R_cs*VIN_min)/Lm</f>
        <v>5744.6808510638302</v>
      </c>
      <c r="C174" s="32" t="s">
        <v>150</v>
      </c>
      <c r="E174" s="32" t="s">
        <v>214</v>
      </c>
    </row>
    <row r="175" spans="1:5" s="32" customFormat="1" x14ac:dyDescent="0.3">
      <c r="B175" s="202"/>
    </row>
    <row r="176" spans="1:5" s="32" customFormat="1" x14ac:dyDescent="0.3">
      <c r="A176" s="32" t="s">
        <v>407</v>
      </c>
      <c r="B176" s="202">
        <f>2*PI()*Fsw</f>
        <v>2764601.5351590179</v>
      </c>
      <c r="C176" s="32" t="s">
        <v>216</v>
      </c>
      <c r="E176" s="32" t="s">
        <v>498</v>
      </c>
    </row>
    <row r="177" spans="1:5" s="32" customFormat="1" x14ac:dyDescent="0.3">
      <c r="A177" s="32" t="s">
        <v>408</v>
      </c>
      <c r="B177" s="202">
        <f>1/(PI()*(((VIN_min/VOUT)*(1+(B173/B174)))-0.5))</f>
        <v>0.27264230079982071</v>
      </c>
      <c r="E177" s="32" t="s">
        <v>499</v>
      </c>
    </row>
    <row r="178" spans="1:5" s="32" customFormat="1" x14ac:dyDescent="0.3">
      <c r="B178" s="33"/>
    </row>
    <row r="179" spans="1:5" s="32" customFormat="1" x14ac:dyDescent="0.3">
      <c r="A179" s="32" t="s">
        <v>254</v>
      </c>
      <c r="B179" s="202">
        <f>IF(B171=0,fz_rhp/5,Fsw/10)</f>
        <v>5485.7661235929882</v>
      </c>
      <c r="C179" s="32" t="s">
        <v>65</v>
      </c>
      <c r="E179" s="32" t="s">
        <v>464</v>
      </c>
    </row>
    <row r="180" spans="1:5" s="32" customFormat="1" x14ac:dyDescent="0.3">
      <c r="B180" s="44">
        <f>fcross</f>
        <v>5500</v>
      </c>
      <c r="C180" s="32" t="s">
        <v>539</v>
      </c>
      <c r="E180" s="32" t="s">
        <v>570</v>
      </c>
    </row>
    <row r="181" spans="1:5" s="32" customFormat="1" x14ac:dyDescent="0.3">
      <c r="A181" s="32" t="s">
        <v>261</v>
      </c>
      <c r="B181" s="71">
        <f>SQRT(B163*fcross)</f>
        <v>1334.9119857951105</v>
      </c>
      <c r="C181" s="32" t="s">
        <v>65</v>
      </c>
      <c r="E181" s="32" t="s">
        <v>490</v>
      </c>
    </row>
    <row r="182" spans="1:5" s="32" customFormat="1" x14ac:dyDescent="0.3">
      <c r="A182" s="32" t="s">
        <v>263</v>
      </c>
      <c r="B182" s="45">
        <f>SQRT(fz_rhp*Fsw/2)</f>
        <v>77681.032021673644</v>
      </c>
      <c r="C182" s="32" t="s">
        <v>65</v>
      </c>
      <c r="E182" s="32" t="s">
        <v>417</v>
      </c>
    </row>
    <row r="183" spans="1:5" s="32" customFormat="1" x14ac:dyDescent="0.3"/>
    <row r="184" spans="1:5" s="32" customFormat="1" x14ac:dyDescent="0.3">
      <c r="A184" s="32" t="s">
        <v>509</v>
      </c>
      <c r="B184" s="33">
        <f>10^(-Loop_Modeling!AD7/20)</f>
        <v>0.59944053125228303</v>
      </c>
    </row>
    <row r="185" spans="1:5" s="32" customFormat="1" x14ac:dyDescent="0.3">
      <c r="A185" s="32" t="s">
        <v>507</v>
      </c>
      <c r="B185" s="33">
        <f>SQRT(1+((B179/fp_ea_est)^2))</f>
        <v>1.002490428938031</v>
      </c>
    </row>
    <row r="186" spans="1:5" s="32" customFormat="1" x14ac:dyDescent="0.3">
      <c r="A186" s="32" t="s">
        <v>508</v>
      </c>
      <c r="B186" s="33">
        <f>SQRT(1+(fz_ea_est/B179)^2)</f>
        <v>1.0291816445590336</v>
      </c>
    </row>
    <row r="187" spans="1:5" s="32" customFormat="1" x14ac:dyDescent="0.3"/>
    <row r="188" spans="1:5" s="32" customFormat="1" x14ac:dyDescent="0.3">
      <c r="A188" s="32" t="s">
        <v>472</v>
      </c>
      <c r="B188" s="29">
        <f>(fp_ea_est*B184*Kfb)/((fp_ea_est-fz_ea_est)*gm_ea)*(B185/B186)</f>
        <v>35646.22744020274</v>
      </c>
      <c r="C188" s="2" t="s">
        <v>36</v>
      </c>
      <c r="E188" s="47" t="s">
        <v>506</v>
      </c>
    </row>
    <row r="189" spans="1:5" s="32" customFormat="1" x14ac:dyDescent="0.3">
      <c r="A189" s="32" t="s">
        <v>473</v>
      </c>
      <c r="B189" s="188">
        <f>1/(2*PI()*fz_ea_est*Rcomp_calc_CCM)</f>
        <v>3.3446750104056493E-9</v>
      </c>
      <c r="C189" s="2" t="s">
        <v>162</v>
      </c>
    </row>
    <row r="190" spans="1:5" s="32" customFormat="1" x14ac:dyDescent="0.3">
      <c r="A190" s="32" t="s">
        <v>474</v>
      </c>
      <c r="B190" s="188">
        <f>((gm_ea)/(2*PI()*fp_ea_est*B184*Kfb))*(B186/B185)</f>
        <v>5.8481645928852071E-11</v>
      </c>
      <c r="C190" s="32" t="s">
        <v>162</v>
      </c>
    </row>
    <row r="193" spans="1:5" x14ac:dyDescent="0.3">
      <c r="A193" s="35" t="s">
        <v>453</v>
      </c>
      <c r="E193" s="47"/>
    </row>
    <row r="194" spans="1:5" s="32" customFormat="1" x14ac:dyDescent="0.3"/>
    <row r="195" spans="1:5" s="32" customFormat="1" x14ac:dyDescent="0.3">
      <c r="A195" s="32" t="s">
        <v>459</v>
      </c>
      <c r="B195" s="32">
        <f>Fsw/((R_cs*Acs*(VIN_min/Lm))+((R_sl+Rsl_int)*Isl))</f>
        <v>7.6592472597718864</v>
      </c>
      <c r="C195" s="32" t="s">
        <v>150</v>
      </c>
      <c r="E195" s="32" t="s">
        <v>479</v>
      </c>
    </row>
    <row r="196" spans="1:5" s="32" customFormat="1" x14ac:dyDescent="0.3">
      <c r="A196" s="32" t="s">
        <v>458</v>
      </c>
      <c r="B196" s="32">
        <f>(B195*2*VOUT/Dc_VIN_min)*(((VOUT/VIN_min)-1)/((2*VOUT/VIN_min)-1))</f>
        <v>226.24238059633879</v>
      </c>
      <c r="C196" s="32" t="s">
        <v>150</v>
      </c>
    </row>
    <row r="197" spans="1:5" s="32" customFormat="1" x14ac:dyDescent="0.3">
      <c r="A197" s="32" t="s">
        <v>460</v>
      </c>
      <c r="B197" s="32">
        <f>(IOUT*((2*VOUT)-VIN_min))/(Cout*VOUT*(VOUT-VIN_min))</f>
        <v>2051.7676767676771</v>
      </c>
      <c r="C197" s="32" t="s">
        <v>385</v>
      </c>
    </row>
    <row r="198" spans="1:5" s="32" customFormat="1" x14ac:dyDescent="0.3">
      <c r="B198" s="32">
        <f>B197/(2*PI())</f>
        <v>326.54896783375</v>
      </c>
      <c r="C198" s="32" t="s">
        <v>65</v>
      </c>
    </row>
    <row r="199" spans="1:5" s="32" customFormat="1" x14ac:dyDescent="0.3">
      <c r="A199" s="32" t="s">
        <v>461</v>
      </c>
      <c r="B199" s="32">
        <f>1/(Cout*Resr)</f>
        <v>2272727.2727272729</v>
      </c>
      <c r="C199" s="32" t="s">
        <v>385</v>
      </c>
    </row>
    <row r="200" spans="1:5" s="32" customFormat="1" x14ac:dyDescent="0.3">
      <c r="B200" s="32">
        <f>B199/(2*PI())</f>
        <v>361715.77975430764</v>
      </c>
      <c r="C200" s="32" t="s">
        <v>65</v>
      </c>
    </row>
    <row r="201" spans="1:5" s="32" customFormat="1" x14ac:dyDescent="0.3">
      <c r="A201" s="32" t="s">
        <v>462</v>
      </c>
      <c r="B201" s="32">
        <f>2*Fsw/(Dc_VIN_min)</f>
        <v>1408000</v>
      </c>
      <c r="C201" s="32" t="s">
        <v>385</v>
      </c>
      <c r="E201" s="32" t="s">
        <v>478</v>
      </c>
    </row>
    <row r="202" spans="1:5" s="32" customFormat="1" x14ac:dyDescent="0.3">
      <c r="B202" s="32">
        <f>B201/(2*PI())</f>
        <v>224090.15987338865</v>
      </c>
      <c r="C202" s="32" t="s">
        <v>65</v>
      </c>
    </row>
    <row r="203" spans="1:5" s="32" customFormat="1" x14ac:dyDescent="0.3"/>
    <row r="204" spans="1:5" s="32" customFormat="1" x14ac:dyDescent="0.3">
      <c r="A204" s="32" t="s">
        <v>463</v>
      </c>
      <c r="B204" s="32">
        <f>IF(2*Fsw/(2*PI()*Dc_VIN_min*5)&lt;Fsw/10,2*Fsw/(2*PI()*Dc_VIN_min*5),Fsw/10)</f>
        <v>44000</v>
      </c>
      <c r="C204" s="32" t="s">
        <v>65</v>
      </c>
      <c r="E204" s="32" t="s">
        <v>569</v>
      </c>
    </row>
    <row r="205" spans="1:5" s="32" customFormat="1" x14ac:dyDescent="0.3">
      <c r="B205" s="44">
        <f>fcross</f>
        <v>5500</v>
      </c>
      <c r="C205" s="32" t="s">
        <v>539</v>
      </c>
      <c r="E205" s="32" t="s">
        <v>570</v>
      </c>
    </row>
    <row r="206" spans="1:5" s="32" customFormat="1" x14ac:dyDescent="0.3">
      <c r="A206" s="32" t="s">
        <v>261</v>
      </c>
      <c r="B206" s="71">
        <f>SQRT(B198*fcross)</f>
        <v>1340.1564547043099</v>
      </c>
      <c r="C206" s="32" t="s">
        <v>65</v>
      </c>
    </row>
    <row r="207" spans="1:5" s="32" customFormat="1" x14ac:dyDescent="0.3">
      <c r="A207" s="32" t="s">
        <v>263</v>
      </c>
      <c r="B207" s="45">
        <f>Fsw/2</f>
        <v>220000</v>
      </c>
      <c r="C207" s="32" t="s">
        <v>65</v>
      </c>
    </row>
    <row r="208" spans="1:5" s="32" customFormat="1" x14ac:dyDescent="0.3"/>
    <row r="209" spans="1:5" s="32" customFormat="1" x14ac:dyDescent="0.3">
      <c r="A209" s="32" t="s">
        <v>509</v>
      </c>
      <c r="B209" s="33">
        <f>10^(-Loop_Modeling!AQ7/20)</f>
        <v>0.21261603553393024</v>
      </c>
    </row>
    <row r="210" spans="1:5" s="32" customFormat="1" x14ac:dyDescent="0.3">
      <c r="A210" s="32" t="s">
        <v>507</v>
      </c>
      <c r="B210" s="33">
        <f>SQRT(1+((fcross/B207)^2))</f>
        <v>1.000312451187128</v>
      </c>
    </row>
    <row r="211" spans="1:5" s="32" customFormat="1" x14ac:dyDescent="0.3">
      <c r="A211" s="32" t="s">
        <v>508</v>
      </c>
      <c r="B211" s="33">
        <f>SQRT(1+(B206/fcross)^2)</f>
        <v>1.0292582472859455</v>
      </c>
    </row>
    <row r="212" spans="1:5" s="32" customFormat="1" x14ac:dyDescent="0.3"/>
    <row r="213" spans="1:5" s="32" customFormat="1" x14ac:dyDescent="0.3">
      <c r="B213" s="27"/>
    </row>
    <row r="214" spans="1:5" s="32" customFormat="1" x14ac:dyDescent="0.3">
      <c r="A214" s="32" t="s">
        <v>466</v>
      </c>
      <c r="B214" s="32">
        <f>(B207*B209*Kfb)/((B207-B206)*gm_ea)*(B210/B211)</f>
        <v>12474.18650944352</v>
      </c>
      <c r="C214" s="32" t="s">
        <v>469</v>
      </c>
      <c r="E214" s="32" t="s">
        <v>260</v>
      </c>
    </row>
    <row r="215" spans="1:5" s="32" customFormat="1" x14ac:dyDescent="0.3">
      <c r="A215" s="32" t="s">
        <v>470</v>
      </c>
      <c r="B215" s="32">
        <f>1/(2*PI()*B206*RCOMP_CALC_DCM)</f>
        <v>9.52033862797443E-9</v>
      </c>
      <c r="C215" s="32" t="s">
        <v>162</v>
      </c>
      <c r="E215" s="32" t="s">
        <v>467</v>
      </c>
    </row>
    <row r="216" spans="1:5" s="32" customFormat="1" x14ac:dyDescent="0.3">
      <c r="A216" s="32" t="s">
        <v>471</v>
      </c>
      <c r="B216" s="32">
        <f>((gm_ea)/(2*PI()*B207*Kfb))*(B211/B210)</f>
        <v>1.2406088685715458E-11</v>
      </c>
      <c r="C216" s="32" t="s">
        <v>162</v>
      </c>
      <c r="E216" s="32" t="s">
        <v>468</v>
      </c>
    </row>
    <row r="217" spans="1:5" s="32" customFormat="1" ht="16.5" customHeight="1" x14ac:dyDescent="0.3"/>
    <row r="218" spans="1:5" s="32" customFormat="1" ht="16.5" customHeight="1" x14ac:dyDescent="0.3">
      <c r="A218" s="185" t="s">
        <v>465</v>
      </c>
    </row>
    <row r="219" spans="1:5" s="32" customFormat="1" x14ac:dyDescent="0.3">
      <c r="B219" s="32">
        <f>IF(B54=0,B204,B179)</f>
        <v>5485.7661235929882</v>
      </c>
      <c r="C219" s="32" t="s">
        <v>65</v>
      </c>
      <c r="E219" s="32" t="s">
        <v>568</v>
      </c>
    </row>
    <row r="220" spans="1:5" s="32" customFormat="1" x14ac:dyDescent="0.3">
      <c r="A220" s="32" t="s">
        <v>254</v>
      </c>
      <c r="B220" s="3">
        <f>'Design Converter'!H65*1000</f>
        <v>5500</v>
      </c>
      <c r="C220" s="32" t="s">
        <v>65</v>
      </c>
      <c r="E220" s="32" t="s">
        <v>255</v>
      </c>
    </row>
    <row r="221" spans="1:5" s="32" customFormat="1" x14ac:dyDescent="0.3"/>
    <row r="222" spans="1:5" s="32" customFormat="1" x14ac:dyDescent="0.3">
      <c r="A222" s="32" t="s">
        <v>259</v>
      </c>
      <c r="B222" s="32">
        <f>IF(B54=0,RCOMP_CALC_DCM,Rcomp_calc_CCM)</f>
        <v>35646.22744020274</v>
      </c>
    </row>
    <row r="223" spans="1:5" s="32" customFormat="1" x14ac:dyDescent="0.3">
      <c r="A223" t="s">
        <v>180</v>
      </c>
      <c r="B223" s="3">
        <f>'Design Converter'!H68*1000</f>
        <v>35600</v>
      </c>
      <c r="C223" s="2" t="s">
        <v>36</v>
      </c>
      <c r="D223"/>
      <c r="E223" t="s">
        <v>186</v>
      </c>
    </row>
    <row r="224" spans="1:5" s="32" customFormat="1" x14ac:dyDescent="0.3">
      <c r="A224" s="32" t="s">
        <v>262</v>
      </c>
      <c r="B224" s="32">
        <f>IF(B54=0,CCOMP_CALC_DCM,CCOMP_calc_CCM)</f>
        <v>3.3446750104056493E-9</v>
      </c>
    </row>
    <row r="225" spans="1:5" s="32" customFormat="1" x14ac:dyDescent="0.3">
      <c r="A225" t="s">
        <v>184</v>
      </c>
      <c r="B225" s="3">
        <f>'Design Converter'!H69*(10^-9)</f>
        <v>3.3000000000000002E-9</v>
      </c>
      <c r="C225" t="s">
        <v>162</v>
      </c>
      <c r="D225"/>
      <c r="E225" t="s">
        <v>187</v>
      </c>
    </row>
    <row r="226" spans="1:5" s="32" customFormat="1" x14ac:dyDescent="0.3">
      <c r="A226" s="32" t="s">
        <v>475</v>
      </c>
      <c r="B226" s="32">
        <f>IF(B54=0,CHF_CALC_DCM,CHF_CALC_CCM)</f>
        <v>5.8481645928852071E-11</v>
      </c>
    </row>
    <row r="227" spans="1:5" s="32" customFormat="1" x14ac:dyDescent="0.3">
      <c r="A227" t="s">
        <v>185</v>
      </c>
      <c r="B227" s="3">
        <f>'Design Converter'!H70*(10^-12)</f>
        <v>1E-10</v>
      </c>
      <c r="C227" t="s">
        <v>162</v>
      </c>
      <c r="D227"/>
      <c r="E227" t="s">
        <v>188</v>
      </c>
    </row>
    <row r="228" spans="1:5" s="32" customFormat="1" x14ac:dyDescent="0.3"/>
    <row r="229" spans="1:5" x14ac:dyDescent="0.3">
      <c r="A229" s="43" t="s">
        <v>320</v>
      </c>
    </row>
    <row r="230" spans="1:5" s="32" customFormat="1" x14ac:dyDescent="0.3">
      <c r="A230" s="43" t="s">
        <v>338</v>
      </c>
    </row>
    <row r="231" spans="1:5" s="32" customFormat="1" x14ac:dyDescent="0.3">
      <c r="A231" s="113" t="s">
        <v>392</v>
      </c>
      <c r="E231" s="32" t="s">
        <v>393</v>
      </c>
    </row>
    <row r="235" spans="1:5" s="32" customFormat="1" x14ac:dyDescent="0.3"/>
    <row r="236" spans="1:5" x14ac:dyDescent="0.3">
      <c r="A236" s="43" t="s">
        <v>575</v>
      </c>
    </row>
    <row r="237" spans="1:5" ht="15.6" x14ac:dyDescent="0.35">
      <c r="A237" t="s">
        <v>347</v>
      </c>
      <c r="B237" s="3">
        <f>'Design Converter'!H75*(10^-3)</f>
        <v>8.8000000000000005E-3</v>
      </c>
      <c r="C237" s="2" t="s">
        <v>36</v>
      </c>
      <c r="E237" s="101" t="s">
        <v>327</v>
      </c>
    </row>
    <row r="238" spans="1:5" ht="15.6" x14ac:dyDescent="0.35">
      <c r="A238" t="s">
        <v>339</v>
      </c>
      <c r="B238" s="3">
        <f>'Design Converter'!H76*(10^-9)</f>
        <v>1E-8</v>
      </c>
      <c r="C238" t="s">
        <v>162</v>
      </c>
      <c r="E238" s="101" t="s">
        <v>328</v>
      </c>
    </row>
    <row r="239" spans="1:5" ht="15.6" x14ac:dyDescent="0.35">
      <c r="A239" t="s">
        <v>341</v>
      </c>
      <c r="B239" s="3">
        <f>'Design Converter'!H77*(10^-9)</f>
        <v>2.4E-9</v>
      </c>
      <c r="C239" t="s">
        <v>162</v>
      </c>
      <c r="E239" s="101" t="s">
        <v>329</v>
      </c>
    </row>
    <row r="240" spans="1:5" ht="15.6" x14ac:dyDescent="0.35">
      <c r="A240" t="s">
        <v>340</v>
      </c>
      <c r="B240" s="3">
        <f>'Design Converter'!H78*(10^-9)</f>
        <v>4.5000000000000006E-9</v>
      </c>
      <c r="C240" t="s">
        <v>162</v>
      </c>
      <c r="E240" s="101" t="s">
        <v>330</v>
      </c>
    </row>
    <row r="241" spans="1:8" ht="15.6" x14ac:dyDescent="0.35">
      <c r="A241" t="s">
        <v>342</v>
      </c>
      <c r="B241" s="3">
        <f>'Design Converter'!H79</f>
        <v>0</v>
      </c>
      <c r="C241" s="2" t="s">
        <v>36</v>
      </c>
      <c r="E241" s="101" t="s">
        <v>331</v>
      </c>
    </row>
    <row r="242" spans="1:8" s="32" customFormat="1" x14ac:dyDescent="0.3">
      <c r="A242" s="32" t="s">
        <v>348</v>
      </c>
      <c r="B242" s="22">
        <v>5</v>
      </c>
      <c r="C242" s="2"/>
      <c r="E242" s="101" t="s">
        <v>349</v>
      </c>
      <c r="H242" s="32" t="s">
        <v>358</v>
      </c>
    </row>
    <row r="243" spans="1:8" ht="15.6" x14ac:dyDescent="0.35">
      <c r="A243" t="s">
        <v>343</v>
      </c>
      <c r="B243" s="235">
        <v>50</v>
      </c>
      <c r="C243" s="2" t="s">
        <v>337</v>
      </c>
      <c r="E243" s="101" t="s">
        <v>332</v>
      </c>
    </row>
    <row r="244" spans="1:8" ht="15.6" x14ac:dyDescent="0.35">
      <c r="A244" t="s">
        <v>344</v>
      </c>
      <c r="B244" s="3">
        <f>'Design Converter'!H80</f>
        <v>1.7</v>
      </c>
      <c r="C244" s="2" t="s">
        <v>10</v>
      </c>
      <c r="E244" s="101" t="s">
        <v>333</v>
      </c>
    </row>
    <row r="245" spans="1:8" s="32" customFormat="1" x14ac:dyDescent="0.3">
      <c r="A245" s="32" t="s">
        <v>354</v>
      </c>
      <c r="B245" s="22">
        <f>Vcc</f>
        <v>5</v>
      </c>
      <c r="C245" s="2" t="s">
        <v>10</v>
      </c>
      <c r="E245" s="101" t="s">
        <v>359</v>
      </c>
    </row>
    <row r="246" spans="1:8" s="32" customFormat="1" x14ac:dyDescent="0.3">
      <c r="B246" s="27"/>
      <c r="C246" s="2"/>
      <c r="E246" s="101"/>
    </row>
    <row r="247" spans="1:8" s="32" customFormat="1" x14ac:dyDescent="0.3">
      <c r="B247" s="27"/>
      <c r="C247" s="2"/>
      <c r="E247" s="101"/>
    </row>
    <row r="248" spans="1:8" x14ac:dyDescent="0.3">
      <c r="A248" t="s">
        <v>350</v>
      </c>
      <c r="B248" s="40">
        <f>Vth+(((VOUT*IOUT)/VIN_min)/gfs)</f>
        <v>1.9222222222222221</v>
      </c>
      <c r="C248" s="2" t="s">
        <v>10</v>
      </c>
      <c r="E248" s="101" t="s">
        <v>351</v>
      </c>
    </row>
    <row r="249" spans="1:8" x14ac:dyDescent="0.3">
      <c r="A249" t="s">
        <v>360</v>
      </c>
      <c r="B249" s="1">
        <f>(Qgd+(Qgs/2))*((Rgate+B242)/(Vcc-B248))</f>
        <v>7.5541516245487367E-9</v>
      </c>
      <c r="C249" s="2" t="s">
        <v>51</v>
      </c>
      <c r="E249" s="101" t="s">
        <v>352</v>
      </c>
    </row>
    <row r="250" spans="1:8" ht="15" thickBot="1" x14ac:dyDescent="0.35">
      <c r="A250" t="s">
        <v>361</v>
      </c>
      <c r="B250" s="1">
        <f>(Qgd+(Qgs/2))*((B242+Rgate)/B248)</f>
        <v>1.2095375722543354E-8</v>
      </c>
      <c r="C250" t="s">
        <v>51</v>
      </c>
      <c r="E250" s="102" t="s">
        <v>353</v>
      </c>
    </row>
    <row r="253" spans="1:8" x14ac:dyDescent="0.3">
      <c r="A253" s="43" t="s">
        <v>576</v>
      </c>
      <c r="B253" s="32"/>
      <c r="C253" s="32"/>
    </row>
    <row r="254" spans="1:8" ht="15.6" x14ac:dyDescent="0.35">
      <c r="A254" s="32" t="s">
        <v>347</v>
      </c>
      <c r="B254" s="3">
        <f>'Design Converter'!H83*(10^-3)</f>
        <v>8.8000000000000005E-3</v>
      </c>
      <c r="C254" s="2" t="s">
        <v>36</v>
      </c>
      <c r="E254" s="101" t="s">
        <v>327</v>
      </c>
    </row>
    <row r="255" spans="1:8" ht="15.6" x14ac:dyDescent="0.35">
      <c r="A255" s="32" t="s">
        <v>339</v>
      </c>
      <c r="B255" s="3">
        <f>'Design Converter'!H84*(10^-9)</f>
        <v>1E-8</v>
      </c>
      <c r="C255" s="32" t="s">
        <v>162</v>
      </c>
      <c r="E255" s="101" t="s">
        <v>328</v>
      </c>
    </row>
    <row r="256" spans="1:8" ht="15.6" x14ac:dyDescent="0.35">
      <c r="A256" s="32" t="s">
        <v>341</v>
      </c>
      <c r="B256" s="3">
        <f>'Design Converter'!H85*(10^-9)</f>
        <v>2.4E-9</v>
      </c>
      <c r="C256" s="32" t="s">
        <v>162</v>
      </c>
      <c r="E256" s="101" t="s">
        <v>329</v>
      </c>
    </row>
    <row r="257" spans="1:5" ht="15.6" x14ac:dyDescent="0.35">
      <c r="A257" s="32" t="s">
        <v>340</v>
      </c>
      <c r="B257" s="3">
        <f>'Design Converter'!H86*(10^-9)</f>
        <v>4.5000000000000006E-9</v>
      </c>
      <c r="C257" s="32" t="s">
        <v>162</v>
      </c>
      <c r="E257" s="101" t="s">
        <v>330</v>
      </c>
    </row>
    <row r="258" spans="1:5" ht="15.6" x14ac:dyDescent="0.35">
      <c r="A258" s="32" t="s">
        <v>342</v>
      </c>
      <c r="B258" s="3">
        <f>'Design Converter'!H87</f>
        <v>0</v>
      </c>
      <c r="C258" s="2" t="s">
        <v>36</v>
      </c>
      <c r="E258" s="101" t="s">
        <v>331</v>
      </c>
    </row>
    <row r="259" spans="1:5" x14ac:dyDescent="0.3">
      <c r="A259" s="32" t="s">
        <v>348</v>
      </c>
      <c r="B259" s="22">
        <v>5</v>
      </c>
      <c r="C259" s="2"/>
      <c r="E259" s="101" t="s">
        <v>349</v>
      </c>
    </row>
    <row r="260" spans="1:5" ht="15.6" x14ac:dyDescent="0.35">
      <c r="A260" s="32" t="s">
        <v>343</v>
      </c>
      <c r="B260" s="235">
        <v>50</v>
      </c>
      <c r="C260" s="2" t="s">
        <v>337</v>
      </c>
      <c r="E260" s="101" t="s">
        <v>332</v>
      </c>
    </row>
    <row r="261" spans="1:5" ht="15.6" x14ac:dyDescent="0.35">
      <c r="A261" s="32" t="s">
        <v>344</v>
      </c>
      <c r="B261" s="3">
        <f>'Design Converter'!H88</f>
        <v>1.7</v>
      </c>
      <c r="C261" s="2" t="s">
        <v>10</v>
      </c>
      <c r="E261" s="101" t="s">
        <v>333</v>
      </c>
    </row>
    <row r="262" spans="1:5" x14ac:dyDescent="0.3">
      <c r="A262" s="32" t="s">
        <v>354</v>
      </c>
      <c r="B262" s="22">
        <f>Vcc</f>
        <v>5</v>
      </c>
      <c r="C262" s="2" t="s">
        <v>10</v>
      </c>
      <c r="E262" s="101" t="s">
        <v>359</v>
      </c>
    </row>
    <row r="263" spans="1:5" x14ac:dyDescent="0.3">
      <c r="A263" t="s">
        <v>346</v>
      </c>
      <c r="B263" s="3">
        <f>'Design Converter'!H89*10^-9</f>
        <v>3.3000000000000004E-8</v>
      </c>
      <c r="C263" t="s">
        <v>345</v>
      </c>
      <c r="E263" t="s">
        <v>577</v>
      </c>
    </row>
    <row r="264" spans="1:5" x14ac:dyDescent="0.3">
      <c r="A264" t="s">
        <v>321</v>
      </c>
      <c r="B264" s="3">
        <f>'Design Converter'!H90</f>
        <v>0.8</v>
      </c>
      <c r="C264" t="s">
        <v>10</v>
      </c>
      <c r="E264" t="s">
        <v>578</v>
      </c>
    </row>
    <row r="265" spans="1:5" s="32" customFormat="1" x14ac:dyDescent="0.3">
      <c r="B265" s="27"/>
      <c r="C265" s="2"/>
      <c r="E265" s="101"/>
    </row>
    <row r="266" spans="1:5" x14ac:dyDescent="0.3">
      <c r="A266" s="32" t="s">
        <v>350</v>
      </c>
      <c r="B266" s="40">
        <f>Vth+(((VOUT*IOUT)/VIN_min)/B260)</f>
        <v>1.9222222222222221</v>
      </c>
      <c r="C266" s="2" t="s">
        <v>10</v>
      </c>
      <c r="E266" s="101" t="s">
        <v>351</v>
      </c>
    </row>
    <row r="267" spans="1:5" x14ac:dyDescent="0.3">
      <c r="A267" s="32" t="s">
        <v>360</v>
      </c>
      <c r="B267" s="1">
        <f>(B256+(B257/2))*((B258+B259)/(Vcc-B266))</f>
        <v>7.5541516245487367E-9</v>
      </c>
      <c r="C267" s="2" t="s">
        <v>51</v>
      </c>
      <c r="E267" s="101" t="s">
        <v>352</v>
      </c>
    </row>
    <row r="268" spans="1:5" ht="15" thickBot="1" x14ac:dyDescent="0.35">
      <c r="A268" s="32" t="s">
        <v>361</v>
      </c>
      <c r="B268" s="1">
        <f>(Qgd+(Qgs/2))*((B259+Rgate)/B266)</f>
        <v>1.2095375722543354E-8</v>
      </c>
      <c r="C268" s="32" t="s">
        <v>51</v>
      </c>
      <c r="E268" s="102" t="s">
        <v>353</v>
      </c>
    </row>
  </sheetData>
  <mergeCells count="2">
    <mergeCell ref="A1:J1"/>
    <mergeCell ref="E5:H5"/>
  </mergeCells>
  <pageMargins left="0.7" right="0.7" top="0.75" bottom="0.75" header="0.3" footer="0.3"/>
  <pageSetup orientation="portrait" r:id="rId1"/>
  <ignoredErrors>
    <ignoredError sqref="B199 B201" formula="1"/>
  </ignoredErrors>
  <drawing r:id="rId2"/>
  <legacyDrawing r:id="rId3"/>
  <oleObjects>
    <mc:AlternateContent xmlns:mc="http://schemas.openxmlformats.org/markup-compatibility/2006">
      <mc:Choice Requires="x14">
        <oleObject progId="Mathcad" shapeId="2053" r:id="rId4">
          <objectPr defaultSize="0" autoPict="0" r:id="rId5">
            <anchor moveWithCells="1">
              <from>
                <xdr:col>8</xdr:col>
                <xdr:colOff>60960</xdr:colOff>
                <xdr:row>110</xdr:row>
                <xdr:rowOff>0</xdr:rowOff>
              </from>
              <to>
                <xdr:col>13</xdr:col>
                <xdr:colOff>22860</xdr:colOff>
                <xdr:row>112</xdr:row>
                <xdr:rowOff>30480</xdr:rowOff>
              </to>
            </anchor>
          </objectPr>
        </oleObject>
      </mc:Choice>
      <mc:Fallback>
        <oleObject progId="Mathcad" shapeId="2053" r:id="rId4"/>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W207"/>
  <sheetViews>
    <sheetView topLeftCell="P1" zoomScaleNormal="100" workbookViewId="0">
      <pane ySplit="6" topLeftCell="A118" activePane="bottomLeft" state="frozen"/>
      <selection activeCell="R1" sqref="R1"/>
      <selection pane="bottomLeft" activeCell="AM101" sqref="AM101"/>
    </sheetView>
  </sheetViews>
  <sheetFormatPr defaultRowHeight="14.4" x14ac:dyDescent="0.3"/>
  <cols>
    <col min="10" max="10" width="10" bestFit="1" customWidth="1"/>
    <col min="18" max="18" width="8.88671875" style="32"/>
    <col min="21" max="21" width="8.88671875" style="32"/>
    <col min="24" max="24" width="8.88671875" style="32"/>
    <col min="25" max="25" width="12" bestFit="1" customWidth="1"/>
    <col min="28" max="28" width="8.88671875" style="32"/>
    <col min="30" max="30" width="8.88671875" style="32"/>
    <col min="35" max="35" width="8.88671875" style="32"/>
    <col min="39" max="39" width="11" bestFit="1" customWidth="1"/>
    <col min="40" max="40" width="11" style="32" customWidth="1"/>
    <col min="43" max="44" width="8.6640625" style="32"/>
    <col min="45" max="46" width="8.88671875" style="32"/>
  </cols>
  <sheetData>
    <row r="1" spans="1:49" ht="28.2" x14ac:dyDescent="0.5">
      <c r="A1" s="262" t="s">
        <v>15</v>
      </c>
      <c r="B1" s="262"/>
      <c r="C1" s="262"/>
      <c r="D1" s="262"/>
      <c r="E1" s="262"/>
      <c r="F1" s="262"/>
      <c r="G1" s="262"/>
      <c r="H1" s="262"/>
      <c r="I1" s="262"/>
      <c r="J1" s="262"/>
      <c r="K1" s="262"/>
      <c r="L1" s="262"/>
      <c r="M1" s="262"/>
    </row>
    <row r="4" spans="1:49" ht="15" thickBot="1" x14ac:dyDescent="0.35">
      <c r="R4" s="106"/>
      <c r="S4" s="106"/>
      <c r="T4" s="106"/>
      <c r="U4" s="106"/>
      <c r="V4" s="106"/>
      <c r="W4" s="106"/>
      <c r="X4" s="106"/>
      <c r="Y4" s="106"/>
      <c r="Z4" s="106"/>
      <c r="AA4" s="106"/>
      <c r="AB4" s="106"/>
      <c r="AC4" s="106"/>
      <c r="AD4" s="106"/>
      <c r="AE4" s="106"/>
      <c r="AF4" s="106"/>
      <c r="AG4" s="106"/>
      <c r="AH4" s="106"/>
      <c r="AI4" s="106"/>
      <c r="AJ4" s="106"/>
      <c r="AK4" s="106"/>
      <c r="AL4" s="106"/>
      <c r="AM4" s="106"/>
      <c r="AN4" s="106"/>
      <c r="AO4" s="106"/>
      <c r="AP4" s="106"/>
      <c r="AQ4" s="106"/>
      <c r="AR4" s="106"/>
      <c r="AS4" s="106"/>
      <c r="AT4" s="106"/>
      <c r="AU4" s="106"/>
      <c r="AV4" s="106"/>
      <c r="AW4" s="106"/>
    </row>
    <row r="5" spans="1:49" ht="28.8" x14ac:dyDescent="0.3">
      <c r="Q5" s="32"/>
      <c r="R5" s="268" t="s">
        <v>314</v>
      </c>
      <c r="S5" s="269"/>
      <c r="T5" s="269"/>
      <c r="U5" s="270"/>
      <c r="V5" s="268" t="s">
        <v>315</v>
      </c>
      <c r="W5" s="269"/>
      <c r="X5" s="270"/>
      <c r="Y5" s="268" t="s">
        <v>379</v>
      </c>
      <c r="Z5" s="269"/>
      <c r="AA5" s="269"/>
      <c r="AB5" s="269"/>
      <c r="AC5" s="269"/>
      <c r="AD5" s="270"/>
      <c r="AE5" s="268" t="s">
        <v>573</v>
      </c>
      <c r="AF5" s="269"/>
      <c r="AG5" s="269"/>
      <c r="AH5" s="269"/>
      <c r="AI5" s="270"/>
      <c r="AJ5" s="268" t="s">
        <v>574</v>
      </c>
      <c r="AK5" s="269"/>
      <c r="AL5" s="269"/>
      <c r="AM5" s="269"/>
      <c r="AN5" s="271"/>
      <c r="AO5" s="270"/>
      <c r="AP5" s="264" t="s">
        <v>376</v>
      </c>
      <c r="AQ5" s="265"/>
      <c r="AR5" s="265"/>
      <c r="AS5" s="266"/>
      <c r="AT5" s="267"/>
      <c r="AU5" s="110" t="s">
        <v>369</v>
      </c>
      <c r="AV5" s="111"/>
      <c r="AW5" s="112"/>
    </row>
    <row r="6" spans="1:49" ht="15.6" x14ac:dyDescent="0.35">
      <c r="R6" s="96" t="s">
        <v>31</v>
      </c>
      <c r="S6" s="94" t="s">
        <v>33</v>
      </c>
      <c r="T6" s="94" t="s">
        <v>270</v>
      </c>
      <c r="U6" s="97" t="s">
        <v>273</v>
      </c>
      <c r="V6" s="96" t="s">
        <v>271</v>
      </c>
      <c r="W6" s="94" t="s">
        <v>272</v>
      </c>
      <c r="X6" s="97" t="s">
        <v>319</v>
      </c>
      <c r="Y6" s="107" t="s">
        <v>316</v>
      </c>
      <c r="Z6" s="104" t="s">
        <v>318</v>
      </c>
      <c r="AA6" s="104" t="s">
        <v>317</v>
      </c>
      <c r="AB6" s="105" t="s">
        <v>323</v>
      </c>
      <c r="AC6" s="105" t="s">
        <v>324</v>
      </c>
      <c r="AD6" s="108" t="s">
        <v>367</v>
      </c>
      <c r="AE6" s="107" t="s">
        <v>362</v>
      </c>
      <c r="AF6" s="104" t="s">
        <v>363</v>
      </c>
      <c r="AG6" s="105" t="s">
        <v>365</v>
      </c>
      <c r="AH6" s="105" t="s">
        <v>364</v>
      </c>
      <c r="AI6" s="108" t="s">
        <v>366</v>
      </c>
      <c r="AJ6" s="107" t="s">
        <v>322</v>
      </c>
      <c r="AK6" s="104" t="s">
        <v>587</v>
      </c>
      <c r="AL6" s="104" t="s">
        <v>325</v>
      </c>
      <c r="AM6" s="104" t="s">
        <v>326</v>
      </c>
      <c r="AN6" s="236" t="s">
        <v>588</v>
      </c>
      <c r="AO6" s="109" t="s">
        <v>591</v>
      </c>
      <c r="AP6" s="107" t="s">
        <v>368</v>
      </c>
      <c r="AQ6" s="256" t="s">
        <v>324</v>
      </c>
      <c r="AR6" s="256" t="s">
        <v>593</v>
      </c>
      <c r="AS6" s="104" t="s">
        <v>371</v>
      </c>
      <c r="AT6" s="109" t="s">
        <v>372</v>
      </c>
      <c r="AU6" s="107" t="s">
        <v>370</v>
      </c>
      <c r="AV6" s="104" t="s">
        <v>378</v>
      </c>
      <c r="AW6" s="109" t="s">
        <v>377</v>
      </c>
    </row>
    <row r="7" spans="1:49" x14ac:dyDescent="0.3">
      <c r="Q7">
        <v>0</v>
      </c>
      <c r="R7" s="96">
        <f t="shared" ref="R7:R70" si="0">VOUT</f>
        <v>24</v>
      </c>
      <c r="S7" s="94">
        <f t="shared" ref="S7:S38" si="1">Q7*$O$12</f>
        <v>0</v>
      </c>
      <c r="T7" s="94">
        <f t="shared" ref="T7:T70" si="2">VIN_var</f>
        <v>9</v>
      </c>
      <c r="U7" s="97">
        <f t="shared" ref="U7:U38" si="3">(R7*S7)/(T7*EFF_est)</f>
        <v>0</v>
      </c>
      <c r="V7" s="96">
        <f>IF(Variable_Management!$B$20=3,2,IF((S7*R7/T7)&lt;((T7*(1-(T7/R7)))/(2*Lm*Fsw)),1,2))</f>
        <v>1</v>
      </c>
      <c r="W7" s="94">
        <f>CHOOSE(V7,SQRT((2*S7*Lm*Fsw*(R7-T7))/((T7)^2)),1-(T7/R7))</f>
        <v>0</v>
      </c>
      <c r="X7" s="97">
        <f t="shared" ref="X7:X38" si="4">CHOOSE(V7,(Lm*Z7*Fsw)/(R7-T7),1-W7)</f>
        <v>0</v>
      </c>
      <c r="Y7" s="96">
        <f t="shared" ref="Y7:Y38" si="5">(T7*W7)/(Lm*Fsw)</f>
        <v>0</v>
      </c>
      <c r="Z7" s="94">
        <f>CHOOSE(V7,Y7,U7+(0.5*Y7))</f>
        <v>0</v>
      </c>
      <c r="AA7" s="94">
        <f>CHOOSE(V7,Z7*SQRT((W7+X7)/3),SQRT((U7^2)+((Y7^2)/12)))</f>
        <v>0</v>
      </c>
      <c r="AB7" s="94">
        <v>0</v>
      </c>
      <c r="AC7" s="94">
        <f t="shared" ref="AC7:AC38" si="6">(AA7^2)*Rdcr</f>
        <v>0</v>
      </c>
      <c r="AD7" s="97">
        <f>AB7+AC7</f>
        <v>0</v>
      </c>
      <c r="AE7" s="96">
        <f>U7*W7</f>
        <v>0</v>
      </c>
      <c r="AF7" s="94">
        <f>CHOOSE(V7,Z7*SQRT(W7/3),SQRT(W7*((Z7^2)+((Y7^2)/3)-(Z7*Y7))))</f>
        <v>0</v>
      </c>
      <c r="AG7" s="94">
        <f t="shared" ref="AG7:AG38" si="7">(AF7^2)*RDS_on</f>
        <v>0</v>
      </c>
      <c r="AH7" s="94">
        <f>((R7*U7)/2)*Fsw*(tr_sw+tf_sw)</f>
        <v>0</v>
      </c>
      <c r="AI7" s="97">
        <f>AG7+AH7</f>
        <v>0</v>
      </c>
      <c r="AJ7" s="96">
        <f>X7*U7</f>
        <v>0</v>
      </c>
      <c r="AK7" s="94">
        <f>CHOOSE(V7,Z7*SQRT(X7/3),SQRT(X7*((Z7^2)+((Y7^2)/3)-(Y7*Z7))))</f>
        <v>0</v>
      </c>
      <c r="AL7" s="94">
        <f t="shared" ref="AL7:AL38" si="8">(AK7^2)*RDS_on_HS</f>
        <v>0</v>
      </c>
      <c r="AM7" s="94">
        <f>CHOOSE(V7,0,(R7+Vd_rect)*Qrr*Fsw)</f>
        <v>0</v>
      </c>
      <c r="AN7" s="237">
        <f>Vd_rect*t_dead*Fsw*Z7</f>
        <v>0</v>
      </c>
      <c r="AO7" s="97">
        <f>AL7+AM7+AN7</f>
        <v>0</v>
      </c>
      <c r="AP7" s="96">
        <f>(AA7^2)*R_cs</f>
        <v>0</v>
      </c>
      <c r="AQ7" s="257">
        <f t="shared" ref="AQ7:AQ38" si="9">Rdcr*AA7^2</f>
        <v>0</v>
      </c>
      <c r="AR7" s="257">
        <f t="shared" ref="AR7:AR38" si="10">ABS(7.759*10^-3*Fsw^0.9458*(0.00787*Y7)^2.304)</f>
        <v>0</v>
      </c>
      <c r="AS7" s="94">
        <f t="shared" ref="AS7:AS38" si="11">(Qg_tot+Qg_tot_HS)*Vcc*Fsw</f>
        <v>4.3999999999999997E-2</v>
      </c>
      <c r="AT7" s="97">
        <f t="shared" ref="AT7:AT38" si="12">IQ*T7</f>
        <v>2.9699999999999997E-5</v>
      </c>
      <c r="AU7" s="96">
        <f>AP7+AO7+AI7+AD7+AS7+AT7+AQ7+AR7</f>
        <v>4.4029699999999998E-2</v>
      </c>
      <c r="AV7" s="94">
        <f>R7*S7</f>
        <v>0</v>
      </c>
      <c r="AW7" s="97">
        <f>(AV7/(AV7+AU7))*100</f>
        <v>0</v>
      </c>
    </row>
    <row r="8" spans="1:49" x14ac:dyDescent="0.3">
      <c r="M8">
        <f>Fsw</f>
        <v>440000</v>
      </c>
      <c r="Q8">
        <v>1</v>
      </c>
      <c r="R8" s="96">
        <f t="shared" si="0"/>
        <v>24</v>
      </c>
      <c r="S8" s="94">
        <f t="shared" si="1"/>
        <v>2.777777777777778E-2</v>
      </c>
      <c r="T8" s="94">
        <f t="shared" si="2"/>
        <v>9</v>
      </c>
      <c r="U8" s="97">
        <f t="shared" si="3"/>
        <v>7.4074074074074084E-2</v>
      </c>
      <c r="V8" s="96">
        <f>IF(Variable_Management!$B$20=3,2,IF((S8*R8/T8)&lt;((T8*(1-(T8/R8)))/(2*Lm*Fsw)),1,2))</f>
        <v>1</v>
      </c>
      <c r="W8" s="94">
        <f t="shared" ref="W8:W38" si="13">CHOOSE(V8,SQRT((2*S8*Lm*Fsw*(R8-T8))/((T8)^2)),1-(T8/R8))</f>
        <v>0.14586199012974235</v>
      </c>
      <c r="X8" s="97">
        <f t="shared" si="4"/>
        <v>8.7517194077845417E-2</v>
      </c>
      <c r="Y8" s="96">
        <f t="shared" si="5"/>
        <v>0.63479589514878199</v>
      </c>
      <c r="Z8" s="94">
        <f t="shared" ref="Z8:Z15" si="14">CHOOSE(V8,Y8,U8+(0.5*Y8))</f>
        <v>0.63479589514878199</v>
      </c>
      <c r="AA8" s="94">
        <f t="shared" ref="AA8:AA15" si="15">CHOOSE(V8,Z8*SQRT((W8+X8)/3),SQRT((U8^2)+((Y8^2)/12)))</f>
        <v>0.17705351010201981</v>
      </c>
      <c r="AB8" s="94">
        <v>0</v>
      </c>
      <c r="AC8" s="94">
        <f t="shared" si="6"/>
        <v>6.2695890878892055E-5</v>
      </c>
      <c r="AD8" s="97">
        <f t="shared" ref="AD8:AD71" si="16">AB8+AC8</f>
        <v>6.2695890878892055E-5</v>
      </c>
      <c r="AE8" s="96">
        <f>U8*W8</f>
        <v>1.0804591861462398E-2</v>
      </c>
      <c r="AF8" s="94">
        <f t="shared" ref="AF8:AF71" si="17">CHOOSE(V8,Z8*SQRT(W8/3),SQRT(W8*((Z8^2)+((Y8^2)/3)-(Z8*Y8))))</f>
        <v>0.1399730899125034</v>
      </c>
      <c r="AG8" s="94">
        <f t="shared" si="7"/>
        <v>1.7241369991695312E-4</v>
      </c>
      <c r="AH8" s="94">
        <f t="shared" ref="AH8:AH38" si="18">((R8*U8)/2)*Fsw*(tr_sw+tf_sw)</f>
        <v>7.6851484735293522E-3</v>
      </c>
      <c r="AI8" s="97">
        <f t="shared" ref="AI8:AI71" si="19">AG8+AH8</f>
        <v>7.8575621734463044E-3</v>
      </c>
      <c r="AJ8" s="96">
        <f t="shared" ref="AJ8:AJ71" si="20">X8*U8</f>
        <v>6.4827551168774389E-3</v>
      </c>
      <c r="AK8" s="94">
        <f t="shared" ref="AK8:AK38" si="21">CHOOSE(V8,Z8*SQRT(X8/3),SQRT(X8*((Z8^2)+((Y8^2)/3)-(Y8*Z8))))</f>
        <v>0.10842268922966383</v>
      </c>
      <c r="AL8" s="94">
        <f t="shared" si="8"/>
        <v>1.0344821995017192E-4</v>
      </c>
      <c r="AM8" s="94">
        <f t="shared" ref="AM8:AM39" si="22">CHOOSE(V8,(R8+Vd_rect)*Qrr*Fsw,(R8+Vd_rect)*Qrr*Fsw)</f>
        <v>0.36009600000000008</v>
      </c>
      <c r="AN8" s="237">
        <f t="shared" ref="AN8:AN38" si="23">Vd_rect*t_dead*Fsw*Z8</f>
        <v>4.4689631018474257E-3</v>
      </c>
      <c r="AO8" s="97">
        <f t="shared" ref="AO8:AO71" si="24">AL8+AM8+AN8</f>
        <v>0.36466841132179767</v>
      </c>
      <c r="AP8" s="96">
        <f t="shared" ref="AP8:AP38" si="25">(AA8^2)*R_cs</f>
        <v>9.404383631833809E-5</v>
      </c>
      <c r="AQ8" s="257">
        <f t="shared" si="9"/>
        <v>6.2695890878892055E-5</v>
      </c>
      <c r="AR8" s="257">
        <f t="shared" si="10"/>
        <v>8.4135264725444629E-3</v>
      </c>
      <c r="AS8" s="94">
        <f t="shared" si="11"/>
        <v>4.3999999999999997E-2</v>
      </c>
      <c r="AT8" s="97">
        <f t="shared" si="12"/>
        <v>2.9699999999999997E-5</v>
      </c>
      <c r="AU8" s="96">
        <f t="shared" ref="AU8:AU71" si="26">AP8+AO8+AI8+AD8+AS8+AT8+AQ8+AR8</f>
        <v>0.42518863558586451</v>
      </c>
      <c r="AV8" s="94">
        <f t="shared" ref="AV8:AV71" si="27">R8*S8</f>
        <v>0.66666666666666674</v>
      </c>
      <c r="AW8" s="97">
        <f t="shared" ref="AW8:AW71" si="28">(AV8/(AV8+AU8))*100</f>
        <v>61.058151688352183</v>
      </c>
    </row>
    <row r="9" spans="1:49" x14ac:dyDescent="0.3">
      <c r="N9" s="94" t="s">
        <v>198</v>
      </c>
      <c r="O9" s="94">
        <f>VIN_var</f>
        <v>9</v>
      </c>
      <c r="P9" t="s">
        <v>10</v>
      </c>
      <c r="Q9">
        <v>2</v>
      </c>
      <c r="R9" s="96">
        <f t="shared" si="0"/>
        <v>24</v>
      </c>
      <c r="S9" s="94">
        <f t="shared" si="1"/>
        <v>5.5555555555555559E-2</v>
      </c>
      <c r="T9" s="94">
        <f t="shared" si="2"/>
        <v>9</v>
      </c>
      <c r="U9" s="97">
        <f t="shared" si="3"/>
        <v>0.14814814814814817</v>
      </c>
      <c r="V9" s="96">
        <f>IF(Variable_Management!$B$20=3,2,IF((S9*R9/T9)&lt;((T9*(1-(T9/R9)))/(2*Lm*Fsw)),1,2))</f>
        <v>1</v>
      </c>
      <c r="W9" s="94">
        <f t="shared" si="13"/>
        <v>0.20628000467621216</v>
      </c>
      <c r="X9" s="97">
        <f t="shared" si="4"/>
        <v>0.12376800280572728</v>
      </c>
      <c r="Y9" s="96">
        <f t="shared" si="5"/>
        <v>0.89773696425817662</v>
      </c>
      <c r="Z9" s="94">
        <f t="shared" si="14"/>
        <v>0.89773696425817662</v>
      </c>
      <c r="AA9" s="94">
        <f t="shared" si="15"/>
        <v>0.2977673239057515</v>
      </c>
      <c r="AB9" s="94">
        <v>0</v>
      </c>
      <c r="AC9" s="94">
        <f t="shared" si="6"/>
        <v>1.7733075837198545E-4</v>
      </c>
      <c r="AD9" s="97">
        <f t="shared" si="16"/>
        <v>1.7733075837198545E-4</v>
      </c>
      <c r="AE9" s="96">
        <f t="shared" ref="AE9:AE72" si="29">U9*W9</f>
        <v>3.0560000692772177E-2</v>
      </c>
      <c r="AF9" s="94">
        <f t="shared" si="17"/>
        <v>0.23540573907881998</v>
      </c>
      <c r="AG9" s="94">
        <f t="shared" si="7"/>
        <v>4.8765958552296018E-4</v>
      </c>
      <c r="AH9" s="94">
        <f t="shared" si="18"/>
        <v>1.5370296947058704E-2</v>
      </c>
      <c r="AI9" s="97">
        <f t="shared" si="19"/>
        <v>1.5857956532581666E-2</v>
      </c>
      <c r="AJ9" s="96">
        <f t="shared" si="20"/>
        <v>1.8336000415663304E-2</v>
      </c>
      <c r="AK9" s="94">
        <f t="shared" si="21"/>
        <v>0.18234450141078365</v>
      </c>
      <c r="AL9" s="94">
        <f t="shared" si="8"/>
        <v>2.925957513137761E-4</v>
      </c>
      <c r="AM9" s="94">
        <f t="shared" si="22"/>
        <v>0.36009600000000008</v>
      </c>
      <c r="AN9" s="237">
        <f t="shared" si="23"/>
        <v>6.3200682283775633E-3</v>
      </c>
      <c r="AO9" s="97">
        <f t="shared" si="24"/>
        <v>0.36670866397969143</v>
      </c>
      <c r="AP9" s="96">
        <f t="shared" si="25"/>
        <v>2.659961375579782E-4</v>
      </c>
      <c r="AQ9" s="257">
        <f t="shared" si="9"/>
        <v>1.7733075837198545E-4</v>
      </c>
      <c r="AR9" s="257">
        <f t="shared" si="10"/>
        <v>1.8696685404829678E-2</v>
      </c>
      <c r="AS9" s="94">
        <f t="shared" si="11"/>
        <v>4.3999999999999997E-2</v>
      </c>
      <c r="AT9" s="97">
        <f t="shared" si="12"/>
        <v>2.9699999999999997E-5</v>
      </c>
      <c r="AU9" s="96">
        <f t="shared" si="26"/>
        <v>0.44591366357140472</v>
      </c>
      <c r="AV9" s="94">
        <f t="shared" si="27"/>
        <v>1.3333333333333335</v>
      </c>
      <c r="AW9" s="97">
        <f t="shared" si="28"/>
        <v>74.938068500487162</v>
      </c>
    </row>
    <row r="10" spans="1:49" x14ac:dyDescent="0.3">
      <c r="N10" s="94"/>
      <c r="O10" s="94"/>
      <c r="Q10">
        <v>3</v>
      </c>
      <c r="R10" s="96">
        <f t="shared" si="0"/>
        <v>24</v>
      </c>
      <c r="S10" s="94">
        <f t="shared" si="1"/>
        <v>8.3333333333333343E-2</v>
      </c>
      <c r="T10" s="94">
        <f t="shared" si="2"/>
        <v>9</v>
      </c>
      <c r="U10" s="97">
        <f t="shared" si="3"/>
        <v>0.22222222222222221</v>
      </c>
      <c r="V10" s="96">
        <f>IF(Variable_Management!$B$20=3,2,IF((S10*R10/T10)&lt;((T10*(1-(T10/R10)))/(2*Lm*Fsw)),1,2))</f>
        <v>1</v>
      </c>
      <c r="W10" s="94">
        <f t="shared" si="13"/>
        <v>0.25264037779782383</v>
      </c>
      <c r="X10" s="97">
        <f t="shared" si="4"/>
        <v>0.15158422667869428</v>
      </c>
      <c r="Y10" s="96">
        <f t="shared" si="5"/>
        <v>1.0994987428338561</v>
      </c>
      <c r="Z10" s="94">
        <f t="shared" si="14"/>
        <v>1.0994987428338561</v>
      </c>
      <c r="AA10" s="94">
        <f t="shared" si="15"/>
        <v>0.403594725736168</v>
      </c>
      <c r="AB10" s="94">
        <v>0</v>
      </c>
      <c r="AC10" s="94">
        <f t="shared" si="6"/>
        <v>3.2577740528410534E-4</v>
      </c>
      <c r="AD10" s="97">
        <f t="shared" si="16"/>
        <v>3.2577740528410534E-4</v>
      </c>
      <c r="AE10" s="96">
        <f t="shared" si="29"/>
        <v>5.6142306177294182E-2</v>
      </c>
      <c r="AF10" s="94">
        <f t="shared" si="17"/>
        <v>0.31906964623931711</v>
      </c>
      <c r="AG10" s="94">
        <f t="shared" si="7"/>
        <v>8.9588786453129014E-4</v>
      </c>
      <c r="AH10" s="94">
        <f t="shared" si="18"/>
        <v>2.3055445420588051E-2</v>
      </c>
      <c r="AI10" s="97">
        <f t="shared" si="19"/>
        <v>2.3951333285119343E-2</v>
      </c>
      <c r="AJ10" s="96">
        <f t="shared" si="20"/>
        <v>3.3685383706376505E-2</v>
      </c>
      <c r="AK10" s="94">
        <f t="shared" si="21"/>
        <v>0.2471502852330334</v>
      </c>
      <c r="AL10" s="94">
        <f t="shared" si="8"/>
        <v>5.3753271871877391E-4</v>
      </c>
      <c r="AM10" s="94">
        <f t="shared" si="22"/>
        <v>0.36009600000000008</v>
      </c>
      <c r="AN10" s="237">
        <f t="shared" si="23"/>
        <v>7.7404711495503466E-3</v>
      </c>
      <c r="AO10" s="97">
        <f t="shared" si="24"/>
        <v>0.36837400386826918</v>
      </c>
      <c r="AP10" s="96">
        <f t="shared" si="25"/>
        <v>4.8866610792615793E-4</v>
      </c>
      <c r="AQ10" s="257">
        <f t="shared" si="9"/>
        <v>3.2577740528410534E-4</v>
      </c>
      <c r="AR10" s="257">
        <f t="shared" si="10"/>
        <v>2.9827836302301465E-2</v>
      </c>
      <c r="AS10" s="94">
        <f t="shared" si="11"/>
        <v>4.3999999999999997E-2</v>
      </c>
      <c r="AT10" s="97">
        <f t="shared" si="12"/>
        <v>2.9699999999999997E-5</v>
      </c>
      <c r="AU10" s="96">
        <f t="shared" si="26"/>
        <v>0.46732309437418434</v>
      </c>
      <c r="AV10" s="94">
        <f t="shared" si="27"/>
        <v>2</v>
      </c>
      <c r="AW10" s="97">
        <f t="shared" si="28"/>
        <v>81.059509577819725</v>
      </c>
    </row>
    <row r="11" spans="1:49" x14ac:dyDescent="0.3">
      <c r="N11" s="94" t="s">
        <v>268</v>
      </c>
      <c r="O11" s="94">
        <v>150</v>
      </c>
      <c r="Q11">
        <v>4</v>
      </c>
      <c r="R11" s="96">
        <f t="shared" si="0"/>
        <v>24</v>
      </c>
      <c r="S11" s="94">
        <f t="shared" si="1"/>
        <v>0.11111111111111112</v>
      </c>
      <c r="T11" s="94">
        <f t="shared" si="2"/>
        <v>9</v>
      </c>
      <c r="U11" s="97">
        <f t="shared" si="3"/>
        <v>0.29629629629629634</v>
      </c>
      <c r="V11" s="96">
        <f>IF(Variable_Management!$B$20=3,2,IF((S11*R11/T11)&lt;((T11*(1-(T11/R11)))/(2*Lm*Fsw)),1,2))</f>
        <v>1</v>
      </c>
      <c r="W11" s="94">
        <f t="shared" si="13"/>
        <v>0.29172398025948471</v>
      </c>
      <c r="X11" s="97">
        <f t="shared" si="4"/>
        <v>0.17503438815569083</v>
      </c>
      <c r="Y11" s="96">
        <f t="shared" si="5"/>
        <v>1.269591790297564</v>
      </c>
      <c r="Z11" s="94">
        <f t="shared" si="14"/>
        <v>1.269591790297564</v>
      </c>
      <c r="AA11" s="94">
        <f t="shared" si="15"/>
        <v>0.5007829505040764</v>
      </c>
      <c r="AB11" s="94">
        <v>0</v>
      </c>
      <c r="AC11" s="94">
        <f t="shared" si="6"/>
        <v>5.0156712703113644E-4</v>
      </c>
      <c r="AD11" s="97">
        <f t="shared" si="16"/>
        <v>5.0156712703113644E-4</v>
      </c>
      <c r="AE11" s="96">
        <f t="shared" si="29"/>
        <v>8.6436734891699188E-2</v>
      </c>
      <c r="AF11" s="94">
        <f t="shared" si="17"/>
        <v>0.39590368424306199</v>
      </c>
      <c r="AG11" s="94">
        <f t="shared" si="7"/>
        <v>1.3793095993356254E-3</v>
      </c>
      <c r="AH11" s="94">
        <f t="shared" si="18"/>
        <v>3.0740593894117409E-2</v>
      </c>
      <c r="AI11" s="97">
        <f t="shared" si="19"/>
        <v>3.2119903493453034E-2</v>
      </c>
      <c r="AJ11" s="96">
        <f t="shared" si="20"/>
        <v>5.1862040935019511E-2</v>
      </c>
      <c r="AK11" s="94">
        <f t="shared" si="21"/>
        <v>0.30666567515510779</v>
      </c>
      <c r="AL11" s="94">
        <f t="shared" si="8"/>
        <v>8.2758575960137533E-4</v>
      </c>
      <c r="AM11" s="94">
        <f t="shared" si="22"/>
        <v>0.36009600000000008</v>
      </c>
      <c r="AN11" s="237">
        <f t="shared" si="23"/>
        <v>8.9379262036948515E-3</v>
      </c>
      <c r="AO11" s="97">
        <f t="shared" si="24"/>
        <v>0.36986151196329631</v>
      </c>
      <c r="AP11" s="96">
        <f t="shared" si="25"/>
        <v>7.5235069054670472E-4</v>
      </c>
      <c r="AQ11" s="257">
        <f t="shared" si="9"/>
        <v>5.0156712703113644E-4</v>
      </c>
      <c r="AR11" s="257">
        <f t="shared" si="10"/>
        <v>4.1548100700449099E-2</v>
      </c>
      <c r="AS11" s="94">
        <f t="shared" si="11"/>
        <v>4.3999999999999997E-2</v>
      </c>
      <c r="AT11" s="97">
        <f t="shared" si="12"/>
        <v>2.9699999999999997E-5</v>
      </c>
      <c r="AU11" s="96">
        <f t="shared" si="26"/>
        <v>0.48931470110180747</v>
      </c>
      <c r="AV11" s="94">
        <f t="shared" si="27"/>
        <v>2.666666666666667</v>
      </c>
      <c r="AW11" s="97">
        <f t="shared" si="28"/>
        <v>84.495640370405894</v>
      </c>
    </row>
    <row r="12" spans="1:49" x14ac:dyDescent="0.3">
      <c r="N12" s="94" t="s">
        <v>269</v>
      </c>
      <c r="O12" s="94">
        <f>IOUT/(O11)</f>
        <v>2.777777777777778E-2</v>
      </c>
      <c r="Q12">
        <v>5</v>
      </c>
      <c r="R12" s="96">
        <f t="shared" si="0"/>
        <v>24</v>
      </c>
      <c r="S12" s="94">
        <f t="shared" si="1"/>
        <v>0.1388888888888889</v>
      </c>
      <c r="T12" s="94">
        <f t="shared" si="2"/>
        <v>9</v>
      </c>
      <c r="U12" s="97">
        <f t="shared" si="3"/>
        <v>0.37037037037037041</v>
      </c>
      <c r="V12" s="96">
        <f>IF(Variable_Management!$B$20=3,2,IF((S12*R12/T12)&lt;((T12*(1-(T12/R12)))/(2*Lm*Fsw)),1,2))</f>
        <v>1</v>
      </c>
      <c r="W12" s="94">
        <f t="shared" si="13"/>
        <v>0.32615732526350727</v>
      </c>
      <c r="X12" s="97">
        <f t="shared" si="4"/>
        <v>0.19569439515810436</v>
      </c>
      <c r="Y12" s="96">
        <f t="shared" si="5"/>
        <v>1.4194467733905054</v>
      </c>
      <c r="Z12" s="94">
        <f t="shared" si="14"/>
        <v>1.4194467733905054</v>
      </c>
      <c r="AA12" s="94">
        <f t="shared" si="15"/>
        <v>0.59201409171385366</v>
      </c>
      <c r="AB12" s="94">
        <v>0</v>
      </c>
      <c r="AC12" s="94">
        <f t="shared" si="6"/>
        <v>7.0096136957555836E-4</v>
      </c>
      <c r="AD12" s="97">
        <f t="shared" si="16"/>
        <v>7.0096136957555836E-4</v>
      </c>
      <c r="AE12" s="96">
        <f t="shared" si="29"/>
        <v>0.12079900935685456</v>
      </c>
      <c r="AF12" s="94">
        <f t="shared" si="17"/>
        <v>0.46802823418289835</v>
      </c>
      <c r="AG12" s="94">
        <f t="shared" si="7"/>
        <v>1.9276437663327851E-3</v>
      </c>
      <c r="AH12" s="94">
        <f t="shared" si="18"/>
        <v>3.8425742367646759E-2</v>
      </c>
      <c r="AI12" s="97">
        <f t="shared" si="19"/>
        <v>4.0353386133979541E-2</v>
      </c>
      <c r="AJ12" s="96">
        <f t="shared" si="20"/>
        <v>7.247940561411273E-2</v>
      </c>
      <c r="AK12" s="94">
        <f t="shared" si="21"/>
        <v>0.36253311130904603</v>
      </c>
      <c r="AL12" s="94">
        <f t="shared" si="8"/>
        <v>1.1565862597996712E-3</v>
      </c>
      <c r="AM12" s="94">
        <f t="shared" si="22"/>
        <v>0.36009600000000008</v>
      </c>
      <c r="AN12" s="237">
        <f t="shared" si="23"/>
        <v>9.9929052846691579E-3</v>
      </c>
      <c r="AO12" s="97">
        <f t="shared" si="24"/>
        <v>0.37124549154446895</v>
      </c>
      <c r="AP12" s="96">
        <f t="shared" si="25"/>
        <v>1.0514420543633375E-3</v>
      </c>
      <c r="AQ12" s="257">
        <f t="shared" si="9"/>
        <v>7.0096136957555836E-4</v>
      </c>
      <c r="AR12" s="257">
        <f t="shared" si="10"/>
        <v>5.3726866313281725E-2</v>
      </c>
      <c r="AS12" s="94">
        <f t="shared" si="11"/>
        <v>4.3999999999999997E-2</v>
      </c>
      <c r="AT12" s="97">
        <f t="shared" si="12"/>
        <v>2.9699999999999997E-5</v>
      </c>
      <c r="AU12" s="96">
        <f t="shared" si="26"/>
        <v>0.51180880878524471</v>
      </c>
      <c r="AV12" s="94">
        <f t="shared" si="27"/>
        <v>3.3333333333333335</v>
      </c>
      <c r="AW12" s="97">
        <f t="shared" si="28"/>
        <v>86.689469729115118</v>
      </c>
    </row>
    <row r="13" spans="1:49" x14ac:dyDescent="0.3">
      <c r="Q13">
        <v>6</v>
      </c>
      <c r="R13" s="96">
        <f t="shared" si="0"/>
        <v>24</v>
      </c>
      <c r="S13" s="94">
        <f t="shared" si="1"/>
        <v>0.16666666666666669</v>
      </c>
      <c r="T13" s="94">
        <f t="shared" si="2"/>
        <v>9</v>
      </c>
      <c r="U13" s="97">
        <f t="shared" si="3"/>
        <v>0.44444444444444442</v>
      </c>
      <c r="V13" s="96">
        <f>IF(Variable_Management!$B$20=3,2,IF((S13*R13/T13)&lt;((T13*(1-(T13/R13)))/(2*Lm*Fsw)),1,2))</f>
        <v>1</v>
      </c>
      <c r="W13" s="94">
        <f t="shared" si="13"/>
        <v>0.35728744868474505</v>
      </c>
      <c r="X13" s="97">
        <f t="shared" si="4"/>
        <v>0.21437246921084699</v>
      </c>
      <c r="Y13" s="96">
        <f t="shared" si="5"/>
        <v>1.554926033927807</v>
      </c>
      <c r="Z13" s="94">
        <f t="shared" si="14"/>
        <v>1.554926033927807</v>
      </c>
      <c r="AA13" s="94">
        <f t="shared" si="15"/>
        <v>0.67876271617369965</v>
      </c>
      <c r="AB13" s="94">
        <v>0</v>
      </c>
      <c r="AC13" s="94">
        <f t="shared" si="6"/>
        <v>9.2143764973499681E-4</v>
      </c>
      <c r="AD13" s="97">
        <f t="shared" si="16"/>
        <v>9.2143764973499681E-4</v>
      </c>
      <c r="AE13" s="96">
        <f t="shared" si="29"/>
        <v>0.15879442163766447</v>
      </c>
      <c r="AF13" s="94">
        <f t="shared" si="17"/>
        <v>0.53660904347782512</v>
      </c>
      <c r="AG13" s="94">
        <f t="shared" si="7"/>
        <v>2.5339535367712406E-3</v>
      </c>
      <c r="AH13" s="94">
        <f t="shared" si="18"/>
        <v>4.6110890841176103E-2</v>
      </c>
      <c r="AI13" s="97">
        <f t="shared" si="19"/>
        <v>4.8644844377947347E-2</v>
      </c>
      <c r="AJ13" s="96">
        <f t="shared" si="20"/>
        <v>9.5276652982598659E-2</v>
      </c>
      <c r="AK13" s="94">
        <f t="shared" si="21"/>
        <v>0.41565557776278167</v>
      </c>
      <c r="AL13" s="94">
        <f t="shared" si="8"/>
        <v>1.5203721220627443E-3</v>
      </c>
      <c r="AM13" s="94">
        <f t="shared" si="22"/>
        <v>0.36009600000000008</v>
      </c>
      <c r="AN13" s="237">
        <f t="shared" si="23"/>
        <v>1.0946679278851762E-2</v>
      </c>
      <c r="AO13" s="97">
        <f t="shared" si="24"/>
        <v>0.37256305140091461</v>
      </c>
      <c r="AP13" s="96">
        <f t="shared" si="25"/>
        <v>1.3821564746024952E-3</v>
      </c>
      <c r="AQ13" s="257">
        <f t="shared" si="9"/>
        <v>9.2143764973499681E-4</v>
      </c>
      <c r="AR13" s="257">
        <f t="shared" si="10"/>
        <v>6.6283938544764887E-2</v>
      </c>
      <c r="AS13" s="94">
        <f t="shared" si="11"/>
        <v>4.3999999999999997E-2</v>
      </c>
      <c r="AT13" s="97">
        <f t="shared" si="12"/>
        <v>2.9699999999999997E-5</v>
      </c>
      <c r="AU13" s="96">
        <f t="shared" si="26"/>
        <v>0.53474656609769933</v>
      </c>
      <c r="AV13" s="94">
        <f t="shared" si="27"/>
        <v>4</v>
      </c>
      <c r="AW13" s="97">
        <f t="shared" si="28"/>
        <v>88.20779599690249</v>
      </c>
    </row>
    <row r="14" spans="1:49" x14ac:dyDescent="0.3">
      <c r="Q14" s="32">
        <v>7</v>
      </c>
      <c r="R14" s="96">
        <f t="shared" si="0"/>
        <v>24</v>
      </c>
      <c r="S14" s="94">
        <f t="shared" si="1"/>
        <v>0.19444444444444445</v>
      </c>
      <c r="T14" s="94">
        <f t="shared" si="2"/>
        <v>9</v>
      </c>
      <c r="U14" s="97">
        <f t="shared" si="3"/>
        <v>0.5185185185185186</v>
      </c>
      <c r="V14" s="96">
        <f>IF(Variable_Management!$B$20=3,2,IF((S14*R14/T14)&lt;((T14*(1-(T14/R14)))/(2*Lm*Fsw)),1,2))</f>
        <v>1</v>
      </c>
      <c r="W14" s="94">
        <f t="shared" si="13"/>
        <v>0.38591455162025617</v>
      </c>
      <c r="X14" s="97">
        <f t="shared" si="4"/>
        <v>0.2315487309721537</v>
      </c>
      <c r="Y14" s="96">
        <f t="shared" si="5"/>
        <v>1.6795120718483103</v>
      </c>
      <c r="Z14" s="94">
        <f t="shared" si="14"/>
        <v>1.6795120718483103</v>
      </c>
      <c r="AA14" s="94">
        <f t="shared" si="15"/>
        <v>0.76195280314411151</v>
      </c>
      <c r="AB14" s="94">
        <v>0</v>
      </c>
      <c r="AC14" s="94">
        <f t="shared" si="6"/>
        <v>1.1611441484383382E-3</v>
      </c>
      <c r="AD14" s="97">
        <f t="shared" si="16"/>
        <v>1.1611441484383382E-3</v>
      </c>
      <c r="AE14" s="96">
        <f t="shared" si="29"/>
        <v>0.2001038415808736</v>
      </c>
      <c r="AF14" s="94">
        <f t="shared" si="17"/>
        <v>0.60237658187132459</v>
      </c>
      <c r="AG14" s="94">
        <f t="shared" si="7"/>
        <v>3.1931464082054295E-3</v>
      </c>
      <c r="AH14" s="94">
        <f t="shared" si="18"/>
        <v>5.379603931470546E-2</v>
      </c>
      <c r="AI14" s="97">
        <f t="shared" si="19"/>
        <v>5.6989185722910889E-2</v>
      </c>
      <c r="AJ14" s="96">
        <f t="shared" si="20"/>
        <v>0.12006230494852416</v>
      </c>
      <c r="AK14" s="94">
        <f t="shared" si="21"/>
        <v>0.46659889394659781</v>
      </c>
      <c r="AL14" s="94">
        <f t="shared" si="8"/>
        <v>1.9158878449232585E-3</v>
      </c>
      <c r="AM14" s="94">
        <f t="shared" si="22"/>
        <v>0.36009600000000008</v>
      </c>
      <c r="AN14" s="237">
        <f t="shared" si="23"/>
        <v>1.1823764985812104E-2</v>
      </c>
      <c r="AO14" s="97">
        <f t="shared" si="24"/>
        <v>0.37383565283073544</v>
      </c>
      <c r="AP14" s="96">
        <f t="shared" si="25"/>
        <v>1.7417162226575074E-3</v>
      </c>
      <c r="AQ14" s="257">
        <f t="shared" si="9"/>
        <v>1.1611441484383382E-3</v>
      </c>
      <c r="AR14" s="257">
        <f t="shared" si="10"/>
        <v>7.9164597433093398E-2</v>
      </c>
      <c r="AS14" s="94">
        <f t="shared" si="11"/>
        <v>4.3999999999999997E-2</v>
      </c>
      <c r="AT14" s="97">
        <f t="shared" si="12"/>
        <v>2.9699999999999997E-5</v>
      </c>
      <c r="AU14" s="96">
        <f t="shared" si="26"/>
        <v>0.55808314050627383</v>
      </c>
      <c r="AV14" s="94">
        <f t="shared" si="27"/>
        <v>4.666666666666667</v>
      </c>
      <c r="AW14" s="97">
        <f t="shared" si="28"/>
        <v>89.318471484699728</v>
      </c>
    </row>
    <row r="15" spans="1:49" x14ac:dyDescent="0.3">
      <c r="O15">
        <f>0.205*2.5/(Lm*Fsw)</f>
        <v>0.24782398452611215</v>
      </c>
      <c r="Q15" s="32">
        <v>8</v>
      </c>
      <c r="R15" s="96">
        <f t="shared" si="0"/>
        <v>24</v>
      </c>
      <c r="S15" s="94">
        <f t="shared" si="1"/>
        <v>0.22222222222222224</v>
      </c>
      <c r="T15" s="94">
        <f t="shared" si="2"/>
        <v>9</v>
      </c>
      <c r="U15" s="97">
        <f t="shared" si="3"/>
        <v>0.59259259259259267</v>
      </c>
      <c r="V15" s="96">
        <f>IF(Variable_Management!$B$20=3,2,IF((S15*R15/T15)&lt;((T15*(1-(T15/R15)))/(2*Lm*Fsw)),1,2))</f>
        <v>1</v>
      </c>
      <c r="W15" s="94">
        <f t="shared" si="13"/>
        <v>0.41256000935242432</v>
      </c>
      <c r="X15" s="97">
        <f t="shared" si="4"/>
        <v>0.24753600561145456</v>
      </c>
      <c r="Y15" s="96">
        <f t="shared" si="5"/>
        <v>1.7954739285163532</v>
      </c>
      <c r="Z15" s="94">
        <f t="shared" si="14"/>
        <v>1.7954739285163532</v>
      </c>
      <c r="AA15" s="94">
        <f t="shared" si="15"/>
        <v>0.84221317579811228</v>
      </c>
      <c r="AB15" s="94">
        <v>0</v>
      </c>
      <c r="AC15" s="94">
        <f t="shared" si="6"/>
        <v>1.418646066975884E-3</v>
      </c>
      <c r="AD15" s="97">
        <f t="shared" si="16"/>
        <v>1.418646066975884E-3</v>
      </c>
      <c r="AE15" s="96">
        <f t="shared" si="29"/>
        <v>0.24448000554217741</v>
      </c>
      <c r="AF15" s="94">
        <f t="shared" si="17"/>
        <v>0.66582797773145863</v>
      </c>
      <c r="AG15" s="94">
        <f t="shared" si="7"/>
        <v>3.9012766841836815E-3</v>
      </c>
      <c r="AH15" s="94">
        <f t="shared" si="18"/>
        <v>6.1481187788234817E-2</v>
      </c>
      <c r="AI15" s="97">
        <f t="shared" si="19"/>
        <v>6.5382464472418494E-2</v>
      </c>
      <c r="AJ15" s="96">
        <f t="shared" si="20"/>
        <v>0.14668800332530643</v>
      </c>
      <c r="AK15" s="94">
        <f t="shared" si="21"/>
        <v>0.51574813383858042</v>
      </c>
      <c r="AL15" s="94">
        <f t="shared" si="8"/>
        <v>2.3407660105102088E-3</v>
      </c>
      <c r="AM15" s="94">
        <f t="shared" si="22"/>
        <v>0.36009600000000008</v>
      </c>
      <c r="AN15" s="237">
        <f t="shared" si="23"/>
        <v>1.2640136456755127E-2</v>
      </c>
      <c r="AO15" s="97">
        <f t="shared" si="24"/>
        <v>0.37507690246726538</v>
      </c>
      <c r="AP15" s="96">
        <f t="shared" si="25"/>
        <v>2.127969100463826E-3</v>
      </c>
      <c r="AQ15" s="257">
        <f t="shared" si="9"/>
        <v>1.418646066975884E-3</v>
      </c>
      <c r="AR15" s="257">
        <f t="shared" si="10"/>
        <v>9.2328914694619638E-2</v>
      </c>
      <c r="AS15" s="94">
        <f t="shared" si="11"/>
        <v>4.3999999999999997E-2</v>
      </c>
      <c r="AT15" s="97">
        <f t="shared" si="12"/>
        <v>2.9699999999999997E-5</v>
      </c>
      <c r="AU15" s="96">
        <f t="shared" si="26"/>
        <v>0.58178324286871907</v>
      </c>
      <c r="AV15" s="94">
        <f t="shared" si="27"/>
        <v>5.3333333333333339</v>
      </c>
      <c r="AW15" s="97">
        <f t="shared" si="28"/>
        <v>90.1644669995284</v>
      </c>
    </row>
    <row r="16" spans="1:49" x14ac:dyDescent="0.3">
      <c r="Q16" s="32">
        <v>9</v>
      </c>
      <c r="R16" s="96">
        <f t="shared" si="0"/>
        <v>24</v>
      </c>
      <c r="S16" s="94">
        <f t="shared" si="1"/>
        <v>0.25</v>
      </c>
      <c r="T16" s="94">
        <f t="shared" si="2"/>
        <v>9</v>
      </c>
      <c r="U16" s="97">
        <f t="shared" si="3"/>
        <v>0.66666666666666663</v>
      </c>
      <c r="V16" s="96">
        <f>IF(Variable_Management!$B$20=3,2,IF((S16*R16/T16)&lt;((T16*(1-(T16/R16)))/(2*Lm*Fsw)),1,2))</f>
        <v>1</v>
      </c>
      <c r="W16" s="94">
        <f t="shared" si="13"/>
        <v>0.43758597038922703</v>
      </c>
      <c r="X16" s="97">
        <f t="shared" si="4"/>
        <v>0.2625515822335362</v>
      </c>
      <c r="Y16" s="96">
        <f t="shared" si="5"/>
        <v>1.904387685446346</v>
      </c>
      <c r="Z16" s="94">
        <f t="shared" ref="Z16:Z79" si="30">CHOOSE(V16,Y16,U16+(0.5*Y16))</f>
        <v>1.904387685446346</v>
      </c>
      <c r="AA16" s="94">
        <f t="shared" ref="AA16:AA79" si="31">CHOOSE(V16,Z16*SQRT((W16+X16)/3),SQRT((U16^2)+((Y16^2)/12)))</f>
        <v>0.91999702546532325</v>
      </c>
      <c r="AB16" s="94">
        <v>0</v>
      </c>
      <c r="AC16" s="94">
        <f t="shared" si="6"/>
        <v>1.6927890537300854E-3</v>
      </c>
      <c r="AD16" s="97">
        <f t="shared" si="16"/>
        <v>1.6927890537300854E-3</v>
      </c>
      <c r="AE16" s="96">
        <f t="shared" si="29"/>
        <v>0.29172398025948465</v>
      </c>
      <c r="AF16" s="94">
        <f t="shared" si="17"/>
        <v>0.72732151026258784</v>
      </c>
      <c r="AG16" s="94">
        <f t="shared" si="7"/>
        <v>4.6551698977577351E-3</v>
      </c>
      <c r="AH16" s="94">
        <f t="shared" si="18"/>
        <v>6.9166336261764161E-2</v>
      </c>
      <c r="AI16" s="97">
        <f t="shared" si="19"/>
        <v>7.3821506159521891E-2</v>
      </c>
      <c r="AJ16" s="96">
        <f t="shared" si="20"/>
        <v>0.17503438815569078</v>
      </c>
      <c r="AK16" s="94">
        <f t="shared" si="21"/>
        <v>0.56338081931708583</v>
      </c>
      <c r="AL16" s="94">
        <f t="shared" si="8"/>
        <v>2.7931019386546402E-3</v>
      </c>
      <c r="AM16" s="94">
        <f t="shared" si="22"/>
        <v>0.36009600000000008</v>
      </c>
      <c r="AN16" s="237">
        <f t="shared" si="23"/>
        <v>1.3406889305542275E-2</v>
      </c>
      <c r="AO16" s="97">
        <f t="shared" si="24"/>
        <v>0.37629599124419699</v>
      </c>
      <c r="AP16" s="96">
        <f t="shared" si="25"/>
        <v>2.5391835805951279E-3</v>
      </c>
      <c r="AQ16" s="257">
        <f t="shared" si="9"/>
        <v>1.6927890537300854E-3</v>
      </c>
      <c r="AR16" s="257">
        <f t="shared" si="10"/>
        <v>0.10574636228699338</v>
      </c>
      <c r="AS16" s="94">
        <f t="shared" si="11"/>
        <v>4.3999999999999997E-2</v>
      </c>
      <c r="AT16" s="97">
        <f t="shared" si="12"/>
        <v>2.9699999999999997E-5</v>
      </c>
      <c r="AU16" s="96">
        <f t="shared" si="26"/>
        <v>0.60581832137876757</v>
      </c>
      <c r="AV16" s="94">
        <f t="shared" si="27"/>
        <v>6</v>
      </c>
      <c r="AW16" s="97">
        <f t="shared" si="28"/>
        <v>90.829019329548856</v>
      </c>
    </row>
    <row r="17" spans="17:49" x14ac:dyDescent="0.3">
      <c r="Q17" s="32">
        <v>10</v>
      </c>
      <c r="R17" s="96">
        <f t="shared" si="0"/>
        <v>24</v>
      </c>
      <c r="S17" s="94">
        <f t="shared" si="1"/>
        <v>0.27777777777777779</v>
      </c>
      <c r="T17" s="94">
        <f t="shared" si="2"/>
        <v>9</v>
      </c>
      <c r="U17" s="97">
        <f t="shared" si="3"/>
        <v>0.74074074074074081</v>
      </c>
      <c r="V17" s="96">
        <f>IF(Variable_Management!$B$20=3,2,IF((S17*R17/T17)&lt;((T17*(1-(T17/R17)))/(2*Lm*Fsw)),1,2))</f>
        <v>1</v>
      </c>
      <c r="W17" s="94">
        <f t="shared" si="13"/>
        <v>0.46125611285498486</v>
      </c>
      <c r="X17" s="97">
        <f t="shared" si="4"/>
        <v>0.27675366771299093</v>
      </c>
      <c r="Y17" s="96">
        <f t="shared" si="5"/>
        <v>2.0074008779955821</v>
      </c>
      <c r="Z17" s="94">
        <f t="shared" si="30"/>
        <v>2.0074008779955821</v>
      </c>
      <c r="AA17" s="94">
        <f t="shared" si="31"/>
        <v>0.99564505500372669</v>
      </c>
      <c r="AB17" s="94">
        <v>0</v>
      </c>
      <c r="AC17" s="94">
        <f t="shared" si="6"/>
        <v>1.982618151106748E-3</v>
      </c>
      <c r="AD17" s="97">
        <f t="shared" si="16"/>
        <v>1.982618151106748E-3</v>
      </c>
      <c r="AE17" s="96">
        <f t="shared" si="29"/>
        <v>0.34167119470739621</v>
      </c>
      <c r="AF17" s="94">
        <f t="shared" si="17"/>
        <v>0.78712652872385047</v>
      </c>
      <c r="AG17" s="94">
        <f t="shared" si="7"/>
        <v>5.4521999155435555E-3</v>
      </c>
      <c r="AH17" s="94">
        <f t="shared" si="18"/>
        <v>7.6851484735293518E-2</v>
      </c>
      <c r="AI17" s="97">
        <f t="shared" si="19"/>
        <v>8.2303684650837067E-2</v>
      </c>
      <c r="AJ17" s="96">
        <f t="shared" si="20"/>
        <v>0.20500271682443774</v>
      </c>
      <c r="AK17" s="94">
        <f t="shared" si="21"/>
        <v>0.60970558742110548</v>
      </c>
      <c r="AL17" s="94">
        <f t="shared" si="8"/>
        <v>3.271319949326135E-3</v>
      </c>
      <c r="AM17" s="94">
        <f t="shared" si="22"/>
        <v>0.36009600000000008</v>
      </c>
      <c r="AN17" s="237">
        <f t="shared" si="23"/>
        <v>1.4132102181088898E-2</v>
      </c>
      <c r="AO17" s="97">
        <f t="shared" si="24"/>
        <v>0.3774994221304151</v>
      </c>
      <c r="AP17" s="96">
        <f t="shared" si="25"/>
        <v>2.9739272266601216E-3</v>
      </c>
      <c r="AQ17" s="257">
        <f t="shared" si="9"/>
        <v>1.982618151106748E-3</v>
      </c>
      <c r="AR17" s="257">
        <f t="shared" si="10"/>
        <v>0.11939278024794528</v>
      </c>
      <c r="AS17" s="94">
        <f t="shared" si="11"/>
        <v>4.3999999999999997E-2</v>
      </c>
      <c r="AT17" s="97">
        <f t="shared" si="12"/>
        <v>2.9699999999999997E-5</v>
      </c>
      <c r="AU17" s="96">
        <f t="shared" si="26"/>
        <v>0.63016475055807109</v>
      </c>
      <c r="AV17" s="94">
        <f t="shared" si="27"/>
        <v>6.666666666666667</v>
      </c>
      <c r="AW17" s="97">
        <f t="shared" si="28"/>
        <v>91.363857618109165</v>
      </c>
    </row>
    <row r="18" spans="17:49" x14ac:dyDescent="0.3">
      <c r="Q18" s="32">
        <v>11</v>
      </c>
      <c r="R18" s="96">
        <f t="shared" si="0"/>
        <v>24</v>
      </c>
      <c r="S18" s="94">
        <f t="shared" si="1"/>
        <v>0.30555555555555558</v>
      </c>
      <c r="T18" s="94">
        <f t="shared" si="2"/>
        <v>9</v>
      </c>
      <c r="U18" s="97">
        <f t="shared" si="3"/>
        <v>0.81481481481481488</v>
      </c>
      <c r="V18" s="96">
        <f>IF(Variable_Management!$B$20=3,2,IF((S18*R18/T18)&lt;((T18*(1-(T18/R18)))/(2*Lm*Fsw)),1,2))</f>
        <v>1</v>
      </c>
      <c r="W18" s="94">
        <f t="shared" si="13"/>
        <v>0.48376949243487805</v>
      </c>
      <c r="X18" s="97">
        <f t="shared" si="4"/>
        <v>0.29026169546092684</v>
      </c>
      <c r="Y18" s="96">
        <f t="shared" si="5"/>
        <v>2.1053798026662971</v>
      </c>
      <c r="Z18" s="94">
        <f t="shared" si="30"/>
        <v>2.1053798026662971</v>
      </c>
      <c r="AA18" s="94">
        <f t="shared" si="31"/>
        <v>1.0694218544068221</v>
      </c>
      <c r="AB18" s="94">
        <v>0</v>
      </c>
      <c r="AC18" s="94">
        <f t="shared" si="6"/>
        <v>2.2873262053658525E-3</v>
      </c>
      <c r="AD18" s="97">
        <f t="shared" si="16"/>
        <v>2.2873262053658525E-3</v>
      </c>
      <c r="AE18" s="96">
        <f t="shared" si="29"/>
        <v>0.39418254939138214</v>
      </c>
      <c r="AF18" s="94">
        <f t="shared" si="17"/>
        <v>0.84545220987163383</v>
      </c>
      <c r="AG18" s="94">
        <f t="shared" si="7"/>
        <v>6.2901470647560966E-3</v>
      </c>
      <c r="AH18" s="94">
        <f t="shared" si="18"/>
        <v>8.4536633208822876E-2</v>
      </c>
      <c r="AI18" s="97">
        <f t="shared" si="19"/>
        <v>9.0826780273578975E-2</v>
      </c>
      <c r="AJ18" s="96">
        <f t="shared" si="20"/>
        <v>0.2365095296348293</v>
      </c>
      <c r="AK18" s="94">
        <f t="shared" si="21"/>
        <v>0.65488446576941917</v>
      </c>
      <c r="AL18" s="94">
        <f t="shared" si="8"/>
        <v>3.7740882388536587E-3</v>
      </c>
      <c r="AM18" s="94">
        <f t="shared" si="22"/>
        <v>0.36009600000000008</v>
      </c>
      <c r="AN18" s="237">
        <f t="shared" si="23"/>
        <v>1.4821873810770733E-2</v>
      </c>
      <c r="AO18" s="97">
        <f t="shared" si="24"/>
        <v>0.37869196204962446</v>
      </c>
      <c r="AP18" s="96">
        <f t="shared" si="25"/>
        <v>3.4309893080487789E-3</v>
      </c>
      <c r="AQ18" s="257">
        <f t="shared" si="9"/>
        <v>2.2873262053658525E-3</v>
      </c>
      <c r="AR18" s="257">
        <f t="shared" si="10"/>
        <v>0.1332485337628832</v>
      </c>
      <c r="AS18" s="94">
        <f t="shared" si="11"/>
        <v>4.3999999999999997E-2</v>
      </c>
      <c r="AT18" s="97">
        <f t="shared" si="12"/>
        <v>2.9699999999999997E-5</v>
      </c>
      <c r="AU18" s="96">
        <f t="shared" si="26"/>
        <v>0.65480261780486715</v>
      </c>
      <c r="AV18" s="94">
        <f t="shared" si="27"/>
        <v>7.3333333333333339</v>
      </c>
      <c r="AW18" s="97">
        <f t="shared" si="28"/>
        <v>91.802810795783131</v>
      </c>
    </row>
    <row r="19" spans="17:49" x14ac:dyDescent="0.3">
      <c r="Q19" s="32">
        <v>12</v>
      </c>
      <c r="R19" s="96">
        <f t="shared" si="0"/>
        <v>24</v>
      </c>
      <c r="S19" s="94">
        <f t="shared" si="1"/>
        <v>0.33333333333333337</v>
      </c>
      <c r="T19" s="94">
        <f t="shared" si="2"/>
        <v>9</v>
      </c>
      <c r="U19" s="97">
        <f t="shared" si="3"/>
        <v>0.88888888888888884</v>
      </c>
      <c r="V19" s="96">
        <f>IF(Variable_Management!$B$20=3,2,IF((S19*R19/T19)&lt;((T19*(1-(T19/R19)))/(2*Lm*Fsw)),1,2))</f>
        <v>1</v>
      </c>
      <c r="W19" s="94">
        <f t="shared" si="13"/>
        <v>0.50528075559564767</v>
      </c>
      <c r="X19" s="97">
        <f t="shared" si="4"/>
        <v>0.30316845335738857</v>
      </c>
      <c r="Y19" s="96">
        <f t="shared" si="5"/>
        <v>2.1989974856677121</v>
      </c>
      <c r="Z19" s="94">
        <f t="shared" si="30"/>
        <v>2.1989974856677121</v>
      </c>
      <c r="AA19" s="94">
        <f t="shared" si="31"/>
        <v>1.1415382696766769</v>
      </c>
      <c r="AB19" s="94">
        <v>0</v>
      </c>
      <c r="AC19" s="94">
        <f t="shared" si="6"/>
        <v>2.6062192422728432E-3</v>
      </c>
      <c r="AD19" s="97">
        <f t="shared" si="16"/>
        <v>2.6062192422728432E-3</v>
      </c>
      <c r="AE19" s="96">
        <f t="shared" si="29"/>
        <v>0.44913844941835346</v>
      </c>
      <c r="AF19" s="94">
        <f t="shared" si="17"/>
        <v>0.90246524210645562</v>
      </c>
      <c r="AG19" s="94">
        <f t="shared" si="7"/>
        <v>7.1671029162503194E-3</v>
      </c>
      <c r="AH19" s="94">
        <f t="shared" si="18"/>
        <v>9.2221781682352205E-2</v>
      </c>
      <c r="AI19" s="97">
        <f t="shared" si="19"/>
        <v>9.9388884598602525E-2</v>
      </c>
      <c r="AJ19" s="96">
        <f t="shared" si="20"/>
        <v>0.26948306965101204</v>
      </c>
      <c r="AK19" s="94">
        <f t="shared" si="21"/>
        <v>0.69904657064186948</v>
      </c>
      <c r="AL19" s="94">
        <f t="shared" si="8"/>
        <v>4.300261749750193E-3</v>
      </c>
      <c r="AM19" s="94">
        <f t="shared" si="22"/>
        <v>0.36009600000000008</v>
      </c>
      <c r="AN19" s="237">
        <f t="shared" si="23"/>
        <v>1.5480942299100693E-2</v>
      </c>
      <c r="AO19" s="97">
        <f t="shared" si="24"/>
        <v>0.37987720404885095</v>
      </c>
      <c r="AP19" s="96">
        <f t="shared" si="25"/>
        <v>3.9093288634092643E-3</v>
      </c>
      <c r="AQ19" s="257">
        <f t="shared" si="9"/>
        <v>2.6062192422728432E-3</v>
      </c>
      <c r="AR19" s="257">
        <f t="shared" si="10"/>
        <v>0.14729732537345214</v>
      </c>
      <c r="AS19" s="94">
        <f t="shared" si="11"/>
        <v>4.3999999999999997E-2</v>
      </c>
      <c r="AT19" s="97">
        <f t="shared" si="12"/>
        <v>2.9699999999999997E-5</v>
      </c>
      <c r="AU19" s="96">
        <f t="shared" si="26"/>
        <v>0.67971488136886071</v>
      </c>
      <c r="AV19" s="94">
        <f t="shared" si="27"/>
        <v>8</v>
      </c>
      <c r="AW19" s="97">
        <f t="shared" si="28"/>
        <v>92.168926161066892</v>
      </c>
    </row>
    <row r="20" spans="17:49" x14ac:dyDescent="0.3">
      <c r="Q20" s="32">
        <v>13</v>
      </c>
      <c r="R20" s="96">
        <f t="shared" si="0"/>
        <v>24</v>
      </c>
      <c r="S20" s="94">
        <f t="shared" si="1"/>
        <v>0.36111111111111116</v>
      </c>
      <c r="T20" s="94">
        <f t="shared" si="2"/>
        <v>9</v>
      </c>
      <c r="U20" s="97">
        <f t="shared" si="3"/>
        <v>0.96296296296296313</v>
      </c>
      <c r="V20" s="96">
        <f>IF(Variable_Management!$B$20=3,2,IF((S20*R20/T20)&lt;((T20*(1-(T20/R20)))/(2*Lm*Fsw)),1,2))</f>
        <v>1</v>
      </c>
      <c r="W20" s="94">
        <f t="shared" si="13"/>
        <v>0.52591288455400831</v>
      </c>
      <c r="X20" s="97">
        <f t="shared" si="4"/>
        <v>0.315547730732405</v>
      </c>
      <c r="Y20" s="96">
        <f t="shared" si="5"/>
        <v>2.2887891494129957</v>
      </c>
      <c r="Z20" s="94">
        <f t="shared" si="30"/>
        <v>2.2887891494129957</v>
      </c>
      <c r="AA20" s="94">
        <f t="shared" si="31"/>
        <v>1.2121658799895385</v>
      </c>
      <c r="AB20" s="94">
        <v>0</v>
      </c>
      <c r="AC20" s="94">
        <f t="shared" si="6"/>
        <v>2.9386922412216244E-3</v>
      </c>
      <c r="AD20" s="97">
        <f t="shared" si="16"/>
        <v>2.9386922412216244E-3</v>
      </c>
      <c r="AE20" s="96">
        <f t="shared" si="29"/>
        <v>0.50643462957052665</v>
      </c>
      <c r="AF20" s="94">
        <f t="shared" si="17"/>
        <v>0.95830127067731552</v>
      </c>
      <c r="AG20" s="94">
        <f t="shared" si="7"/>
        <v>8.0814036633594672E-3</v>
      </c>
      <c r="AH20" s="94">
        <f t="shared" si="18"/>
        <v>9.9906930155881576E-2</v>
      </c>
      <c r="AI20" s="97">
        <f t="shared" si="19"/>
        <v>0.10798833381924104</v>
      </c>
      <c r="AJ20" s="96">
        <f t="shared" si="20"/>
        <v>0.30386077774231596</v>
      </c>
      <c r="AK20" s="94">
        <f t="shared" si="21"/>
        <v>0.74229697239652992</v>
      </c>
      <c r="AL20" s="94">
        <f t="shared" si="8"/>
        <v>4.848842198015681E-3</v>
      </c>
      <c r="AM20" s="94">
        <f t="shared" si="22"/>
        <v>0.36009600000000008</v>
      </c>
      <c r="AN20" s="237">
        <f t="shared" si="23"/>
        <v>1.6113075611867492E-2</v>
      </c>
      <c r="AO20" s="97">
        <f t="shared" si="24"/>
        <v>0.38105791780988324</v>
      </c>
      <c r="AP20" s="96">
        <f t="shared" si="25"/>
        <v>4.4080383618324368E-3</v>
      </c>
      <c r="AQ20" s="257">
        <f t="shared" si="9"/>
        <v>2.9386922412216244E-3</v>
      </c>
      <c r="AR20" s="257">
        <f t="shared" si="10"/>
        <v>0.16152539338128932</v>
      </c>
      <c r="AS20" s="94">
        <f t="shared" si="11"/>
        <v>4.3999999999999997E-2</v>
      </c>
      <c r="AT20" s="97">
        <f t="shared" si="12"/>
        <v>2.9699999999999997E-5</v>
      </c>
      <c r="AU20" s="96">
        <f t="shared" si="26"/>
        <v>0.7048867678546894</v>
      </c>
      <c r="AV20" s="94">
        <f t="shared" si="27"/>
        <v>8.6666666666666679</v>
      </c>
      <c r="AW20" s="97">
        <f t="shared" si="28"/>
        <v>92.478442631953143</v>
      </c>
    </row>
    <row r="21" spans="17:49" x14ac:dyDescent="0.3">
      <c r="Q21" s="32">
        <v>14</v>
      </c>
      <c r="R21" s="96">
        <f t="shared" si="0"/>
        <v>24</v>
      </c>
      <c r="S21" s="94">
        <f t="shared" si="1"/>
        <v>0.3888888888888889</v>
      </c>
      <c r="T21" s="94">
        <f t="shared" si="2"/>
        <v>9</v>
      </c>
      <c r="U21" s="97">
        <f t="shared" si="3"/>
        <v>1.0370370370370372</v>
      </c>
      <c r="V21" s="96">
        <f>IF(Variable_Management!$B$20=3,2,IF((S21*R21/T21)&lt;((T21*(1-(T21/R21)))/(2*Lm*Fsw)),1,2))</f>
        <v>1</v>
      </c>
      <c r="W21" s="94">
        <f t="shared" si="13"/>
        <v>0.54576559281849812</v>
      </c>
      <c r="X21" s="97">
        <f t="shared" si="4"/>
        <v>0.3274593556910988</v>
      </c>
      <c r="Y21" s="96">
        <f t="shared" si="5"/>
        <v>2.375188750177216</v>
      </c>
      <c r="Z21" s="94">
        <f t="shared" si="30"/>
        <v>2.375188750177216</v>
      </c>
      <c r="AA21" s="94">
        <f t="shared" si="31"/>
        <v>1.2814467615128047</v>
      </c>
      <c r="AB21" s="94">
        <v>0</v>
      </c>
      <c r="AC21" s="94">
        <f t="shared" si="6"/>
        <v>3.2842116051833097E-3</v>
      </c>
      <c r="AD21" s="97">
        <f t="shared" si="16"/>
        <v>3.2842116051833097E-3</v>
      </c>
      <c r="AE21" s="96">
        <f t="shared" si="29"/>
        <v>0.56597913329325744</v>
      </c>
      <c r="AF21" s="94">
        <f t="shared" si="17"/>
        <v>1.013072616656765</v>
      </c>
      <c r="AG21" s="94">
        <f t="shared" si="7"/>
        <v>9.031581914254105E-3</v>
      </c>
      <c r="AH21" s="94">
        <f t="shared" si="18"/>
        <v>0.10759207862941092</v>
      </c>
      <c r="AI21" s="97">
        <f t="shared" si="19"/>
        <v>0.11662366054366502</v>
      </c>
      <c r="AJ21" s="96">
        <f t="shared" si="20"/>
        <v>0.33958747997595434</v>
      </c>
      <c r="AK21" s="94">
        <f t="shared" si="21"/>
        <v>0.78472267456208411</v>
      </c>
      <c r="AL21" s="94">
        <f t="shared" si="8"/>
        <v>5.4189491485524622E-3</v>
      </c>
      <c r="AM21" s="94">
        <f t="shared" si="22"/>
        <v>0.36009600000000008</v>
      </c>
      <c r="AN21" s="237">
        <f t="shared" si="23"/>
        <v>1.67213288012476E-2</v>
      </c>
      <c r="AO21" s="97">
        <f t="shared" si="24"/>
        <v>0.38223627794980014</v>
      </c>
      <c r="AP21" s="96">
        <f t="shared" si="25"/>
        <v>4.9263174077749643E-3</v>
      </c>
      <c r="AQ21" s="257">
        <f t="shared" si="9"/>
        <v>3.2842116051833097E-3</v>
      </c>
      <c r="AR21" s="257">
        <f t="shared" si="10"/>
        <v>0.17592095041675346</v>
      </c>
      <c r="AS21" s="94">
        <f t="shared" si="11"/>
        <v>4.3999999999999997E-2</v>
      </c>
      <c r="AT21" s="97">
        <f t="shared" si="12"/>
        <v>2.9699999999999997E-5</v>
      </c>
      <c r="AU21" s="96">
        <f t="shared" si="26"/>
        <v>0.73030532952836025</v>
      </c>
      <c r="AV21" s="94">
        <f t="shared" si="27"/>
        <v>9.3333333333333339</v>
      </c>
      <c r="AW21" s="97">
        <f t="shared" si="28"/>
        <v>92.743128464822192</v>
      </c>
    </row>
    <row r="22" spans="17:49" x14ac:dyDescent="0.3">
      <c r="Q22" s="32">
        <v>15</v>
      </c>
      <c r="R22" s="96">
        <f t="shared" si="0"/>
        <v>24</v>
      </c>
      <c r="S22" s="94">
        <f t="shared" si="1"/>
        <v>0.41666666666666669</v>
      </c>
      <c r="T22" s="94">
        <f t="shared" si="2"/>
        <v>9</v>
      </c>
      <c r="U22" s="97">
        <f t="shared" si="3"/>
        <v>1.1111111111111112</v>
      </c>
      <c r="V22" s="96">
        <f>IF(Variable_Management!$B$20=3,2,IF((S22*R22/T22)&lt;((T22*(1-(T22/R22)))/(2*Lm*Fsw)),1,2))</f>
        <v>1</v>
      </c>
      <c r="W22" s="94">
        <f t="shared" si="13"/>
        <v>0.56492105861716269</v>
      </c>
      <c r="X22" s="97">
        <f t="shared" si="4"/>
        <v>0.33895263517029761</v>
      </c>
      <c r="Y22" s="96">
        <f t="shared" si="5"/>
        <v>2.4585539301520618</v>
      </c>
      <c r="Z22" s="94">
        <f t="shared" si="30"/>
        <v>2.4585539301520618</v>
      </c>
      <c r="AA22" s="94">
        <f t="shared" si="31"/>
        <v>1.349500299878402</v>
      </c>
      <c r="AB22" s="94">
        <v>0</v>
      </c>
      <c r="AC22" s="94">
        <f t="shared" si="6"/>
        <v>3.6423021187437939E-3</v>
      </c>
      <c r="AD22" s="97">
        <f t="shared" si="16"/>
        <v>3.6423021187437939E-3</v>
      </c>
      <c r="AE22" s="96">
        <f t="shared" si="29"/>
        <v>0.62769006513018077</v>
      </c>
      <c r="AF22" s="94">
        <f t="shared" si="17"/>
        <v>1.0668736626740001</v>
      </c>
      <c r="AG22" s="94">
        <f t="shared" si="7"/>
        <v>1.0016330826545438E-2</v>
      </c>
      <c r="AH22" s="94">
        <f t="shared" si="18"/>
        <v>0.11527722710294028</v>
      </c>
      <c r="AI22" s="97">
        <f t="shared" si="19"/>
        <v>0.12529355792948571</v>
      </c>
      <c r="AJ22" s="96">
        <f t="shared" si="20"/>
        <v>0.37661403907810848</v>
      </c>
      <c r="AK22" s="94">
        <f t="shared" si="21"/>
        <v>0.82639678560874219</v>
      </c>
      <c r="AL22" s="94">
        <f t="shared" si="8"/>
        <v>6.0097984959272613E-3</v>
      </c>
      <c r="AM22" s="94">
        <f t="shared" si="22"/>
        <v>0.36009600000000008</v>
      </c>
      <c r="AN22" s="237">
        <f t="shared" si="23"/>
        <v>1.7308219668270515E-2</v>
      </c>
      <c r="AO22" s="97">
        <f t="shared" si="24"/>
        <v>0.38341401816419785</v>
      </c>
      <c r="AP22" s="96">
        <f t="shared" si="25"/>
        <v>5.4634531781156907E-3</v>
      </c>
      <c r="AQ22" s="257">
        <f t="shared" si="9"/>
        <v>3.6423021187437939E-3</v>
      </c>
      <c r="AR22" s="257">
        <f t="shared" si="10"/>
        <v>0.19047377798807219</v>
      </c>
      <c r="AS22" s="94">
        <f t="shared" si="11"/>
        <v>4.3999999999999997E-2</v>
      </c>
      <c r="AT22" s="97">
        <f t="shared" si="12"/>
        <v>2.9699999999999997E-5</v>
      </c>
      <c r="AU22" s="96">
        <f t="shared" si="26"/>
        <v>0.75595911149735917</v>
      </c>
      <c r="AV22" s="94">
        <f t="shared" si="27"/>
        <v>10</v>
      </c>
      <c r="AW22" s="97">
        <f t="shared" si="28"/>
        <v>92.971718247893932</v>
      </c>
    </row>
    <row r="23" spans="17:49" x14ac:dyDescent="0.3">
      <c r="Q23" s="32">
        <v>16</v>
      </c>
      <c r="R23" s="96">
        <f t="shared" si="0"/>
        <v>24</v>
      </c>
      <c r="S23" s="94">
        <f t="shared" si="1"/>
        <v>0.44444444444444448</v>
      </c>
      <c r="T23" s="94">
        <f t="shared" si="2"/>
        <v>9</v>
      </c>
      <c r="U23" s="97">
        <f t="shared" si="3"/>
        <v>1.1851851851851853</v>
      </c>
      <c r="V23" s="96">
        <f>IF(Variable_Management!$B$20=3,2,IF((S23*R23/T23)&lt;((T23*(1-(T23/R23)))/(2*Lm*Fsw)),1,2))</f>
        <v>1</v>
      </c>
      <c r="W23" s="94">
        <f t="shared" si="13"/>
        <v>0.58344796051896941</v>
      </c>
      <c r="X23" s="97">
        <f t="shared" si="4"/>
        <v>0.35006877631138167</v>
      </c>
      <c r="Y23" s="96">
        <f t="shared" si="5"/>
        <v>2.5391835805951279</v>
      </c>
      <c r="Z23" s="94">
        <f t="shared" si="30"/>
        <v>2.5391835805951279</v>
      </c>
      <c r="AA23" s="94">
        <f t="shared" si="31"/>
        <v>1.4164280808161585</v>
      </c>
      <c r="AB23" s="94">
        <v>0</v>
      </c>
      <c r="AC23" s="94">
        <f t="shared" si="6"/>
        <v>4.0125370162490915E-3</v>
      </c>
      <c r="AD23" s="97">
        <f t="shared" si="16"/>
        <v>4.0125370162490915E-3</v>
      </c>
      <c r="AE23" s="96">
        <f t="shared" si="29"/>
        <v>0.6914938791335935</v>
      </c>
      <c r="AF23" s="94">
        <f t="shared" si="17"/>
        <v>1.1197847193000272</v>
      </c>
      <c r="AG23" s="94">
        <f t="shared" si="7"/>
        <v>1.1034476794685E-2</v>
      </c>
      <c r="AH23" s="94">
        <f t="shared" si="18"/>
        <v>0.12296237557646963</v>
      </c>
      <c r="AI23" s="97">
        <f t="shared" si="19"/>
        <v>0.13399685237115463</v>
      </c>
      <c r="AJ23" s="96">
        <f t="shared" si="20"/>
        <v>0.41489632748015609</v>
      </c>
      <c r="AK23" s="94">
        <f t="shared" si="21"/>
        <v>0.86738151383731066</v>
      </c>
      <c r="AL23" s="94">
        <f t="shared" si="8"/>
        <v>6.6206860768110026E-3</v>
      </c>
      <c r="AM23" s="94">
        <f t="shared" si="22"/>
        <v>0.36009600000000008</v>
      </c>
      <c r="AN23" s="237">
        <f t="shared" si="23"/>
        <v>1.7875852407389703E-2</v>
      </c>
      <c r="AO23" s="97">
        <f t="shared" si="24"/>
        <v>0.38459253848420077</v>
      </c>
      <c r="AP23" s="96">
        <f t="shared" si="25"/>
        <v>6.0188055243736377E-3</v>
      </c>
      <c r="AQ23" s="257">
        <f t="shared" si="9"/>
        <v>4.0125370162490915E-3</v>
      </c>
      <c r="AR23" s="257">
        <f t="shared" si="10"/>
        <v>0.20517492604888685</v>
      </c>
      <c r="AS23" s="94">
        <f t="shared" si="11"/>
        <v>4.3999999999999997E-2</v>
      </c>
      <c r="AT23" s="97">
        <f t="shared" si="12"/>
        <v>2.9699999999999997E-5</v>
      </c>
      <c r="AU23" s="96">
        <f t="shared" si="26"/>
        <v>0.78183789646111401</v>
      </c>
      <c r="AV23" s="94">
        <f t="shared" si="27"/>
        <v>10.666666666666668</v>
      </c>
      <c r="AW23" s="97">
        <f t="shared" si="28"/>
        <v>93.170829498734875</v>
      </c>
    </row>
    <row r="24" spans="17:49" x14ac:dyDescent="0.3">
      <c r="Q24" s="32">
        <v>17</v>
      </c>
      <c r="R24" s="96">
        <f t="shared" si="0"/>
        <v>24</v>
      </c>
      <c r="S24" s="94">
        <f t="shared" si="1"/>
        <v>0.47222222222222227</v>
      </c>
      <c r="T24" s="94">
        <f t="shared" si="2"/>
        <v>9</v>
      </c>
      <c r="U24" s="97">
        <f t="shared" si="3"/>
        <v>1.2592592592592593</v>
      </c>
      <c r="V24" s="96">
        <f>IF(Variable_Management!$B$20=3,2,IF((S24*R24/T24)&lt;((T24*(1-(T24/R24)))/(2*Lm*Fsw)),1,2))</f>
        <v>1</v>
      </c>
      <c r="W24" s="94">
        <f t="shared" si="13"/>
        <v>0.60140439206772833</v>
      </c>
      <c r="X24" s="97">
        <f t="shared" si="4"/>
        <v>0.36084263524063698</v>
      </c>
      <c r="Y24" s="96">
        <f t="shared" si="5"/>
        <v>2.6173305264069411</v>
      </c>
      <c r="Z24" s="94">
        <f t="shared" si="30"/>
        <v>2.6173305264069411</v>
      </c>
      <c r="AA24" s="94">
        <f t="shared" si="31"/>
        <v>1.482317487342</v>
      </c>
      <c r="AB24" s="94">
        <v>0</v>
      </c>
      <c r="AC24" s="94">
        <f t="shared" si="6"/>
        <v>4.3945302665598009E-3</v>
      </c>
      <c r="AD24" s="97">
        <f t="shared" si="16"/>
        <v>4.3945302665598009E-3</v>
      </c>
      <c r="AE24" s="96">
        <f t="shared" si="29"/>
        <v>0.7573240492704727</v>
      </c>
      <c r="AF24" s="94">
        <f t="shared" si="17"/>
        <v>1.1718748688746328</v>
      </c>
      <c r="AG24" s="94">
        <f t="shared" si="7"/>
        <v>1.2084958233039452E-2</v>
      </c>
      <c r="AH24" s="94">
        <f t="shared" si="18"/>
        <v>0.13064752404999896</v>
      </c>
      <c r="AI24" s="97">
        <f t="shared" si="19"/>
        <v>0.14273248228303842</v>
      </c>
      <c r="AJ24" s="96">
        <f t="shared" si="20"/>
        <v>0.4543944295622836</v>
      </c>
      <c r="AK24" s="94">
        <f t="shared" si="21"/>
        <v>0.90773037019809066</v>
      </c>
      <c r="AL24" s="94">
        <f t="shared" si="8"/>
        <v>7.2509749398236723E-3</v>
      </c>
      <c r="AM24" s="94">
        <f t="shared" si="22"/>
        <v>0.36009600000000008</v>
      </c>
      <c r="AN24" s="237">
        <f t="shared" si="23"/>
        <v>1.8426006905904867E-2</v>
      </c>
      <c r="AO24" s="97">
        <f t="shared" si="24"/>
        <v>0.38577298184572861</v>
      </c>
      <c r="AP24" s="96">
        <f t="shared" si="25"/>
        <v>6.5917953998397005E-3</v>
      </c>
      <c r="AQ24" s="257">
        <f t="shared" si="9"/>
        <v>4.3945302665598009E-3</v>
      </c>
      <c r="AR24" s="257">
        <f t="shared" si="10"/>
        <v>0.2200164854522427</v>
      </c>
      <c r="AS24" s="94">
        <f t="shared" si="11"/>
        <v>4.3999999999999997E-2</v>
      </c>
      <c r="AT24" s="97">
        <f t="shared" si="12"/>
        <v>2.9699999999999997E-5</v>
      </c>
      <c r="AU24" s="96">
        <f t="shared" si="26"/>
        <v>0.80793250551396911</v>
      </c>
      <c r="AV24" s="94">
        <f t="shared" si="27"/>
        <v>11.333333333333334</v>
      </c>
      <c r="AW24" s="97">
        <f t="shared" si="28"/>
        <v>93.345566135872744</v>
      </c>
    </row>
    <row r="25" spans="17:49" x14ac:dyDescent="0.3">
      <c r="Q25" s="32">
        <v>18</v>
      </c>
      <c r="R25" s="96">
        <f t="shared" si="0"/>
        <v>24</v>
      </c>
      <c r="S25" s="94">
        <f t="shared" si="1"/>
        <v>0.5</v>
      </c>
      <c r="T25" s="94">
        <f t="shared" si="2"/>
        <v>9</v>
      </c>
      <c r="U25" s="97">
        <f t="shared" si="3"/>
        <v>1.3333333333333333</v>
      </c>
      <c r="V25" s="96">
        <f>IF(Variable_Management!$B$20=3,2,IF((S25*R25/T25)&lt;((T25*(1-(T25/R25)))/(2*Lm*Fsw)),1,2))</f>
        <v>1</v>
      </c>
      <c r="W25" s="94">
        <f t="shared" si="13"/>
        <v>0.61884001402863642</v>
      </c>
      <c r="X25" s="97">
        <f t="shared" si="4"/>
        <v>0.37130400841718186</v>
      </c>
      <c r="Y25" s="96">
        <f t="shared" si="5"/>
        <v>2.69321089277453</v>
      </c>
      <c r="Z25" s="94">
        <f t="shared" si="30"/>
        <v>2.69321089277453</v>
      </c>
      <c r="AA25" s="94">
        <f t="shared" si="31"/>
        <v>1.5472444015157412</v>
      </c>
      <c r="AB25" s="94">
        <v>0</v>
      </c>
      <c r="AC25" s="94">
        <f t="shared" si="6"/>
        <v>4.7879304760436083E-3</v>
      </c>
      <c r="AD25" s="97">
        <f t="shared" si="16"/>
        <v>4.7879304760436083E-3</v>
      </c>
      <c r="AE25" s="96">
        <f t="shared" si="29"/>
        <v>0.82512001870484852</v>
      </c>
      <c r="AF25" s="94">
        <f t="shared" si="17"/>
        <v>1.2232041014334556</v>
      </c>
      <c r="AG25" s="94">
        <f t="shared" si="7"/>
        <v>1.3166808809119922E-2</v>
      </c>
      <c r="AH25" s="94">
        <f t="shared" si="18"/>
        <v>0.13833267252352832</v>
      </c>
      <c r="AI25" s="97">
        <f t="shared" si="19"/>
        <v>0.15149948133264823</v>
      </c>
      <c r="AJ25" s="96">
        <f t="shared" si="20"/>
        <v>0.49507201122290911</v>
      </c>
      <c r="AK25" s="94">
        <f t="shared" si="21"/>
        <v>0.94748982277287641</v>
      </c>
      <c r="AL25" s="94">
        <f t="shared" si="8"/>
        <v>7.9000852854719562E-3</v>
      </c>
      <c r="AM25" s="94">
        <f t="shared" si="22"/>
        <v>0.36009600000000008</v>
      </c>
      <c r="AN25" s="237">
        <f t="shared" si="23"/>
        <v>1.8960204685132691E-2</v>
      </c>
      <c r="AO25" s="97">
        <f t="shared" si="24"/>
        <v>0.38695628997060477</v>
      </c>
      <c r="AP25" s="96">
        <f t="shared" si="25"/>
        <v>7.1818957140654125E-3</v>
      </c>
      <c r="AQ25" s="257">
        <f t="shared" si="9"/>
        <v>4.7879304760436083E-3</v>
      </c>
      <c r="AR25" s="257">
        <f t="shared" si="10"/>
        <v>0.23499141232120438</v>
      </c>
      <c r="AS25" s="94">
        <f t="shared" si="11"/>
        <v>4.3999999999999997E-2</v>
      </c>
      <c r="AT25" s="97">
        <f t="shared" si="12"/>
        <v>2.9699999999999997E-5</v>
      </c>
      <c r="AU25" s="96">
        <f t="shared" si="26"/>
        <v>0.83423464029061012</v>
      </c>
      <c r="AV25" s="94">
        <f t="shared" si="27"/>
        <v>12</v>
      </c>
      <c r="AW25" s="97">
        <f t="shared" si="28"/>
        <v>93.499926846656749</v>
      </c>
    </row>
    <row r="26" spans="17:49" x14ac:dyDescent="0.3">
      <c r="Q26" s="32">
        <v>19</v>
      </c>
      <c r="R26" s="96">
        <f t="shared" si="0"/>
        <v>24</v>
      </c>
      <c r="S26" s="94">
        <f t="shared" si="1"/>
        <v>0.52777777777777779</v>
      </c>
      <c r="T26" s="94">
        <f t="shared" si="2"/>
        <v>9</v>
      </c>
      <c r="U26" s="97">
        <f t="shared" si="3"/>
        <v>1.4074074074074074</v>
      </c>
      <c r="V26" s="96">
        <f>IF(Variable_Management!$B$20=3,2,IF((S26*R26/T26)&lt;((T26*(1-(T26/R26)))/(2*Lm*Fsw)),1,2))</f>
        <v>2</v>
      </c>
      <c r="W26" s="94">
        <f t="shared" si="13"/>
        <v>0.625</v>
      </c>
      <c r="X26" s="97">
        <f t="shared" si="4"/>
        <v>0.375</v>
      </c>
      <c r="Y26" s="96">
        <f t="shared" si="5"/>
        <v>2.7200193423597678</v>
      </c>
      <c r="Z26" s="94">
        <f t="shared" si="30"/>
        <v>2.7674170785872914</v>
      </c>
      <c r="AA26" s="94">
        <f t="shared" si="31"/>
        <v>1.6116257978594717</v>
      </c>
      <c r="AB26" s="94">
        <v>0</v>
      </c>
      <c r="AC26" s="94">
        <f t="shared" si="6"/>
        <v>5.1946754246523568E-3</v>
      </c>
      <c r="AD26" s="97">
        <f t="shared" si="16"/>
        <v>5.1946754246523568E-3</v>
      </c>
      <c r="AE26" s="96">
        <f t="shared" si="29"/>
        <v>0.87962962962962965</v>
      </c>
      <c r="AF26" s="94">
        <f t="shared" si="17"/>
        <v>1.2741020642805121</v>
      </c>
      <c r="AG26" s="94">
        <f t="shared" si="7"/>
        <v>1.4285357417793987E-2</v>
      </c>
      <c r="AH26" s="94">
        <f t="shared" si="18"/>
        <v>0.14601782099705768</v>
      </c>
      <c r="AI26" s="97">
        <f t="shared" si="19"/>
        <v>0.16030317841485167</v>
      </c>
      <c r="AJ26" s="96">
        <f t="shared" si="20"/>
        <v>0.52777777777777779</v>
      </c>
      <c r="AK26" s="94">
        <f t="shared" si="21"/>
        <v>0.98691521526538306</v>
      </c>
      <c r="AL26" s="94">
        <f t="shared" si="8"/>
        <v>8.5712144506763944E-3</v>
      </c>
      <c r="AM26" s="94">
        <f t="shared" si="22"/>
        <v>0.36009600000000008</v>
      </c>
      <c r="AN26" s="237">
        <f t="shared" si="23"/>
        <v>1.9482616233254531E-2</v>
      </c>
      <c r="AO26" s="97">
        <f t="shared" si="24"/>
        <v>0.388149830683931</v>
      </c>
      <c r="AP26" s="96">
        <f t="shared" si="25"/>
        <v>7.7920131369785357E-3</v>
      </c>
      <c r="AQ26" s="257">
        <f t="shared" si="9"/>
        <v>5.1946754246523568E-3</v>
      </c>
      <c r="AR26" s="257">
        <f t="shared" si="10"/>
        <v>0.24041576743369195</v>
      </c>
      <c r="AS26" s="94">
        <f t="shared" si="11"/>
        <v>4.3999999999999997E-2</v>
      </c>
      <c r="AT26" s="97">
        <f t="shared" si="12"/>
        <v>2.9699999999999997E-5</v>
      </c>
      <c r="AU26" s="96">
        <f t="shared" si="26"/>
        <v>0.85107984051875796</v>
      </c>
      <c r="AV26" s="94">
        <f t="shared" si="27"/>
        <v>12.666666666666668</v>
      </c>
      <c r="AW26" s="97">
        <f t="shared" si="28"/>
        <v>93.703981354685411</v>
      </c>
    </row>
    <row r="27" spans="17:49" x14ac:dyDescent="0.3">
      <c r="Q27" s="32">
        <v>20</v>
      </c>
      <c r="R27" s="96">
        <f t="shared" si="0"/>
        <v>24</v>
      </c>
      <c r="S27" s="94">
        <f t="shared" si="1"/>
        <v>0.55555555555555558</v>
      </c>
      <c r="T27" s="94">
        <f t="shared" si="2"/>
        <v>9</v>
      </c>
      <c r="U27" s="97">
        <f t="shared" si="3"/>
        <v>1.4814814814814816</v>
      </c>
      <c r="V27" s="96">
        <f>IF(Variable_Management!$B$20=3,2,IF((S27*R27/T27)&lt;((T27*(1-(T27/R27)))/(2*Lm*Fsw)),1,2))</f>
        <v>2</v>
      </c>
      <c r="W27" s="94">
        <f t="shared" si="13"/>
        <v>0.625</v>
      </c>
      <c r="X27" s="97">
        <f t="shared" si="4"/>
        <v>0.375</v>
      </c>
      <c r="Y27" s="96">
        <f t="shared" si="5"/>
        <v>2.7200193423597678</v>
      </c>
      <c r="Z27" s="94">
        <f t="shared" si="30"/>
        <v>2.8414911526613658</v>
      </c>
      <c r="AA27" s="94">
        <f t="shared" si="31"/>
        <v>1.6767019657272142</v>
      </c>
      <c r="AB27" s="94">
        <v>0</v>
      </c>
      <c r="AC27" s="94">
        <f t="shared" si="6"/>
        <v>5.6226589637470084E-3</v>
      </c>
      <c r="AD27" s="97">
        <f t="shared" si="16"/>
        <v>5.6226589637470084E-3</v>
      </c>
      <c r="AE27" s="96">
        <f t="shared" si="29"/>
        <v>0.92592592592592604</v>
      </c>
      <c r="AF27" s="94">
        <f t="shared" si="17"/>
        <v>1.3255492922448946</v>
      </c>
      <c r="AG27" s="94">
        <f t="shared" si="7"/>
        <v>1.5462312150304282E-2</v>
      </c>
      <c r="AH27" s="94">
        <f t="shared" si="18"/>
        <v>0.15370296947058704</v>
      </c>
      <c r="AI27" s="97">
        <f t="shared" si="19"/>
        <v>0.16916528162089131</v>
      </c>
      <c r="AJ27" s="96">
        <f t="shared" si="20"/>
        <v>0.55555555555555558</v>
      </c>
      <c r="AK27" s="94">
        <f t="shared" si="21"/>
        <v>1.0267660666883009</v>
      </c>
      <c r="AL27" s="94">
        <f t="shared" si="8"/>
        <v>9.2773872901825687E-3</v>
      </c>
      <c r="AM27" s="94">
        <f t="shared" si="22"/>
        <v>0.36009600000000008</v>
      </c>
      <c r="AN27" s="237">
        <f t="shared" si="23"/>
        <v>2.0004097714736015E-2</v>
      </c>
      <c r="AO27" s="97">
        <f t="shared" si="24"/>
        <v>0.38937748500491864</v>
      </c>
      <c r="AP27" s="96">
        <f t="shared" si="25"/>
        <v>8.4339884456205126E-3</v>
      </c>
      <c r="AQ27" s="257">
        <f t="shared" si="9"/>
        <v>5.6226589637470084E-3</v>
      </c>
      <c r="AR27" s="257">
        <f t="shared" si="10"/>
        <v>0.24041576743369195</v>
      </c>
      <c r="AS27" s="94">
        <f t="shared" si="11"/>
        <v>4.3999999999999997E-2</v>
      </c>
      <c r="AT27" s="97">
        <f t="shared" si="12"/>
        <v>2.9699999999999997E-5</v>
      </c>
      <c r="AU27" s="96">
        <f t="shared" si="26"/>
        <v>0.86266754043261651</v>
      </c>
      <c r="AV27" s="94">
        <f t="shared" si="27"/>
        <v>13.333333333333334</v>
      </c>
      <c r="AW27" s="97">
        <f t="shared" si="28"/>
        <v>93.923165065262737</v>
      </c>
    </row>
    <row r="28" spans="17:49" x14ac:dyDescent="0.3">
      <c r="Q28" s="32">
        <v>21</v>
      </c>
      <c r="R28" s="96">
        <f t="shared" si="0"/>
        <v>24</v>
      </c>
      <c r="S28" s="94">
        <f t="shared" si="1"/>
        <v>0.58333333333333337</v>
      </c>
      <c r="T28" s="94">
        <f t="shared" si="2"/>
        <v>9</v>
      </c>
      <c r="U28" s="97">
        <f t="shared" si="3"/>
        <v>1.5555555555555556</v>
      </c>
      <c r="V28" s="96">
        <f>IF(Variable_Management!$B$20=3,2,IF((S28*R28/T28)&lt;((T28*(1-(T28/R28)))/(2*Lm*Fsw)),1,2))</f>
        <v>2</v>
      </c>
      <c r="W28" s="94">
        <f t="shared" si="13"/>
        <v>0.625</v>
      </c>
      <c r="X28" s="97">
        <f t="shared" si="4"/>
        <v>0.375</v>
      </c>
      <c r="Y28" s="96">
        <f t="shared" si="5"/>
        <v>2.7200193423597678</v>
      </c>
      <c r="Z28" s="94">
        <f t="shared" si="30"/>
        <v>2.9155652267354393</v>
      </c>
      <c r="AA28" s="94">
        <f t="shared" si="31"/>
        <v>1.7424968259140938</v>
      </c>
      <c r="AB28" s="94">
        <v>0</v>
      </c>
      <c r="AC28" s="94">
        <f t="shared" si="6"/>
        <v>6.072590376641384E-3</v>
      </c>
      <c r="AD28" s="97">
        <f t="shared" si="16"/>
        <v>6.072590376641384E-3</v>
      </c>
      <c r="AE28" s="96">
        <f t="shared" si="29"/>
        <v>0.97222222222222221</v>
      </c>
      <c r="AF28" s="94">
        <f t="shared" si="17"/>
        <v>1.3775646963756121</v>
      </c>
      <c r="AG28" s="94">
        <f t="shared" si="7"/>
        <v>1.6699623535763805E-2</v>
      </c>
      <c r="AH28" s="94">
        <f t="shared" si="18"/>
        <v>0.16138811794411639</v>
      </c>
      <c r="AI28" s="97">
        <f t="shared" si="19"/>
        <v>0.17808774147988021</v>
      </c>
      <c r="AJ28" s="96">
        <f t="shared" si="20"/>
        <v>0.58333333333333337</v>
      </c>
      <c r="AK28" s="94">
        <f t="shared" si="21"/>
        <v>1.0670570254772045</v>
      </c>
      <c r="AL28" s="94">
        <f t="shared" si="8"/>
        <v>1.0019774121458285E-2</v>
      </c>
      <c r="AM28" s="94">
        <f t="shared" si="22"/>
        <v>0.36009600000000008</v>
      </c>
      <c r="AN28" s="237">
        <f t="shared" si="23"/>
        <v>2.0525579196217492E-2</v>
      </c>
      <c r="AO28" s="97">
        <f t="shared" si="24"/>
        <v>0.39064135331767585</v>
      </c>
      <c r="AP28" s="96">
        <f t="shared" si="25"/>
        <v>9.108885564962076E-3</v>
      </c>
      <c r="AQ28" s="257">
        <f t="shared" si="9"/>
        <v>6.072590376641384E-3</v>
      </c>
      <c r="AR28" s="257">
        <f t="shared" si="10"/>
        <v>0.24041576743369195</v>
      </c>
      <c r="AS28" s="94">
        <f t="shared" si="11"/>
        <v>4.3999999999999997E-2</v>
      </c>
      <c r="AT28" s="97">
        <f t="shared" si="12"/>
        <v>2.9699999999999997E-5</v>
      </c>
      <c r="AU28" s="96">
        <f t="shared" si="26"/>
        <v>0.8744286285494931</v>
      </c>
      <c r="AV28" s="94">
        <f t="shared" si="27"/>
        <v>14</v>
      </c>
      <c r="AW28" s="97">
        <f t="shared" si="28"/>
        <v>94.12126240014932</v>
      </c>
    </row>
    <row r="29" spans="17:49" x14ac:dyDescent="0.3">
      <c r="Q29" s="32">
        <v>22</v>
      </c>
      <c r="R29" s="96">
        <f t="shared" si="0"/>
        <v>24</v>
      </c>
      <c r="S29" s="94">
        <f t="shared" si="1"/>
        <v>0.61111111111111116</v>
      </c>
      <c r="T29" s="94">
        <f t="shared" si="2"/>
        <v>9</v>
      </c>
      <c r="U29" s="97">
        <f t="shared" si="3"/>
        <v>1.6296296296296298</v>
      </c>
      <c r="V29" s="96">
        <f>IF(Variable_Management!$B$20=3,2,IF((S29*R29/T29)&lt;((T29*(1-(T29/R29)))/(2*Lm*Fsw)),1,2))</f>
        <v>2</v>
      </c>
      <c r="W29" s="94">
        <f t="shared" si="13"/>
        <v>0.625</v>
      </c>
      <c r="X29" s="97">
        <f t="shared" si="4"/>
        <v>0.375</v>
      </c>
      <c r="Y29" s="96">
        <f t="shared" si="5"/>
        <v>2.7200193423597678</v>
      </c>
      <c r="Z29" s="94">
        <f t="shared" si="30"/>
        <v>2.9896393008095137</v>
      </c>
      <c r="AA29" s="94">
        <f t="shared" si="31"/>
        <v>1.8089319588275683</v>
      </c>
      <c r="AB29" s="94">
        <v>0</v>
      </c>
      <c r="AC29" s="94">
        <f t="shared" si="6"/>
        <v>6.5444696633354862E-3</v>
      </c>
      <c r="AD29" s="97">
        <f t="shared" si="16"/>
        <v>6.5444696633354862E-3</v>
      </c>
      <c r="AE29" s="96">
        <f t="shared" si="29"/>
        <v>1.0185185185185186</v>
      </c>
      <c r="AF29" s="94">
        <f t="shared" si="17"/>
        <v>1.4300862805412615</v>
      </c>
      <c r="AG29" s="94">
        <f t="shared" si="7"/>
        <v>1.799729157417259E-2</v>
      </c>
      <c r="AH29" s="94">
        <f t="shared" si="18"/>
        <v>0.16907326641764575</v>
      </c>
      <c r="AI29" s="97">
        <f t="shared" si="19"/>
        <v>0.18707055799181835</v>
      </c>
      <c r="AJ29" s="96">
        <f t="shared" si="20"/>
        <v>0.61111111111111116</v>
      </c>
      <c r="AK29" s="94">
        <f t="shared" si="21"/>
        <v>1.1077400696352027</v>
      </c>
      <c r="AL29" s="94">
        <f t="shared" si="8"/>
        <v>1.0798374944503553E-2</v>
      </c>
      <c r="AM29" s="94">
        <f t="shared" si="22"/>
        <v>0.36009600000000008</v>
      </c>
      <c r="AN29" s="237">
        <f t="shared" si="23"/>
        <v>2.1047060677698976E-2</v>
      </c>
      <c r="AO29" s="97">
        <f t="shared" si="24"/>
        <v>0.39194143562220257</v>
      </c>
      <c r="AP29" s="96">
        <f t="shared" si="25"/>
        <v>9.8167044950032301E-3</v>
      </c>
      <c r="AQ29" s="257">
        <f t="shared" si="9"/>
        <v>6.5444696633354862E-3</v>
      </c>
      <c r="AR29" s="257">
        <f t="shared" si="10"/>
        <v>0.24041576743369195</v>
      </c>
      <c r="AS29" s="94">
        <f t="shared" si="11"/>
        <v>4.3999999999999997E-2</v>
      </c>
      <c r="AT29" s="97">
        <f t="shared" si="12"/>
        <v>2.9699999999999997E-5</v>
      </c>
      <c r="AU29" s="96">
        <f t="shared" si="26"/>
        <v>0.88636310486938708</v>
      </c>
      <c r="AV29" s="94">
        <f t="shared" si="27"/>
        <v>14.666666666666668</v>
      </c>
      <c r="AW29" s="97">
        <f t="shared" si="28"/>
        <v>94.301026115879111</v>
      </c>
    </row>
    <row r="30" spans="17:49" x14ac:dyDescent="0.3">
      <c r="Q30" s="32">
        <v>23</v>
      </c>
      <c r="R30" s="96">
        <f t="shared" si="0"/>
        <v>24</v>
      </c>
      <c r="S30" s="94">
        <f t="shared" si="1"/>
        <v>0.63888888888888895</v>
      </c>
      <c r="T30" s="94">
        <f t="shared" si="2"/>
        <v>9</v>
      </c>
      <c r="U30" s="97">
        <f t="shared" si="3"/>
        <v>1.7037037037037039</v>
      </c>
      <c r="V30" s="96">
        <f>IF(Variable_Management!$B$20=3,2,IF((S30*R30/T30)&lt;((T30*(1-(T30/R30)))/(2*Lm*Fsw)),1,2))</f>
        <v>2</v>
      </c>
      <c r="W30" s="94">
        <f t="shared" si="13"/>
        <v>0.625</v>
      </c>
      <c r="X30" s="97">
        <f t="shared" si="4"/>
        <v>0.375</v>
      </c>
      <c r="Y30" s="96">
        <f t="shared" si="5"/>
        <v>2.7200193423597678</v>
      </c>
      <c r="Z30" s="94">
        <f t="shared" si="30"/>
        <v>3.0637133748835881</v>
      </c>
      <c r="AA30" s="94">
        <f t="shared" si="31"/>
        <v>1.8759393412140641</v>
      </c>
      <c r="AB30" s="94">
        <v>0</v>
      </c>
      <c r="AC30" s="94">
        <f t="shared" si="6"/>
        <v>7.0382968238293141E-3</v>
      </c>
      <c r="AD30" s="97">
        <f t="shared" si="16"/>
        <v>7.0382968238293141E-3</v>
      </c>
      <c r="AE30" s="96">
        <f t="shared" si="29"/>
        <v>1.0648148148148149</v>
      </c>
      <c r="AF30" s="94">
        <f t="shared" si="17"/>
        <v>1.4830602676380555</v>
      </c>
      <c r="AG30" s="94">
        <f t="shared" si="7"/>
        <v>1.9355316265530616E-2</v>
      </c>
      <c r="AH30" s="94">
        <f t="shared" si="18"/>
        <v>0.17675841489117508</v>
      </c>
      <c r="AI30" s="97">
        <f t="shared" si="19"/>
        <v>0.19611373115670569</v>
      </c>
      <c r="AJ30" s="96">
        <f t="shared" si="20"/>
        <v>0.63888888888888895</v>
      </c>
      <c r="AK30" s="94">
        <f t="shared" si="21"/>
        <v>1.1487735435968209</v>
      </c>
      <c r="AL30" s="94">
        <f t="shared" si="8"/>
        <v>1.1613189759318375E-2</v>
      </c>
      <c r="AM30" s="94">
        <f t="shared" si="22"/>
        <v>0.36009600000000008</v>
      </c>
      <c r="AN30" s="237">
        <f t="shared" si="23"/>
        <v>2.156854215918046E-2</v>
      </c>
      <c r="AO30" s="97">
        <f t="shared" si="24"/>
        <v>0.39327773191849891</v>
      </c>
      <c r="AP30" s="96">
        <f t="shared" si="25"/>
        <v>1.0557445235743972E-2</v>
      </c>
      <c r="AQ30" s="257">
        <f t="shared" si="9"/>
        <v>7.0382968238293141E-3</v>
      </c>
      <c r="AR30" s="257">
        <f t="shared" si="10"/>
        <v>0.24041576743369195</v>
      </c>
      <c r="AS30" s="94">
        <f t="shared" si="11"/>
        <v>4.3999999999999997E-2</v>
      </c>
      <c r="AT30" s="97">
        <f t="shared" si="12"/>
        <v>2.9699999999999997E-5</v>
      </c>
      <c r="AU30" s="96">
        <f t="shared" si="26"/>
        <v>0.8984709693922992</v>
      </c>
      <c r="AV30" s="94">
        <f t="shared" si="27"/>
        <v>15.333333333333336</v>
      </c>
      <c r="AW30" s="97">
        <f t="shared" si="28"/>
        <v>94.464749866153639</v>
      </c>
    </row>
    <row r="31" spans="17:49" x14ac:dyDescent="0.3">
      <c r="Q31" s="32">
        <v>24</v>
      </c>
      <c r="R31" s="96">
        <f t="shared" si="0"/>
        <v>24</v>
      </c>
      <c r="S31" s="94">
        <f t="shared" si="1"/>
        <v>0.66666666666666674</v>
      </c>
      <c r="T31" s="94">
        <f t="shared" si="2"/>
        <v>9</v>
      </c>
      <c r="U31" s="97">
        <f t="shared" si="3"/>
        <v>1.7777777777777777</v>
      </c>
      <c r="V31" s="96">
        <f>IF(Variable_Management!$B$20=3,2,IF((S31*R31/T31)&lt;((T31*(1-(T31/R31)))/(2*Lm*Fsw)),1,2))</f>
        <v>2</v>
      </c>
      <c r="W31" s="94">
        <f t="shared" si="13"/>
        <v>0.625</v>
      </c>
      <c r="X31" s="97">
        <f t="shared" si="4"/>
        <v>0.375</v>
      </c>
      <c r="Y31" s="96">
        <f t="shared" si="5"/>
        <v>2.7200193423597678</v>
      </c>
      <c r="Z31" s="94">
        <f t="shared" si="30"/>
        <v>3.1377874489576616</v>
      </c>
      <c r="AA31" s="94">
        <f t="shared" si="31"/>
        <v>1.9434597832374696</v>
      </c>
      <c r="AB31" s="94">
        <v>0</v>
      </c>
      <c r="AC31" s="94">
        <f t="shared" si="6"/>
        <v>7.5540718581228652E-3</v>
      </c>
      <c r="AD31" s="97">
        <f t="shared" si="16"/>
        <v>7.5540718581228652E-3</v>
      </c>
      <c r="AE31" s="96">
        <f t="shared" si="29"/>
        <v>1.1111111111111112</v>
      </c>
      <c r="AF31" s="94">
        <f t="shared" si="17"/>
        <v>1.5364398639918828</v>
      </c>
      <c r="AG31" s="94">
        <f t="shared" si="7"/>
        <v>2.0773697609837879E-2</v>
      </c>
      <c r="AH31" s="94">
        <f t="shared" si="18"/>
        <v>0.18444356336470441</v>
      </c>
      <c r="AI31" s="97">
        <f t="shared" si="19"/>
        <v>0.20521726097454229</v>
      </c>
      <c r="AJ31" s="96">
        <f t="shared" si="20"/>
        <v>0.66666666666666663</v>
      </c>
      <c r="AK31" s="94">
        <f t="shared" si="21"/>
        <v>1.1901212011379501</v>
      </c>
      <c r="AL31" s="94">
        <f t="shared" si="8"/>
        <v>1.2464218565902727E-2</v>
      </c>
      <c r="AM31" s="94">
        <f t="shared" si="22"/>
        <v>0.36009600000000008</v>
      </c>
      <c r="AN31" s="237">
        <f t="shared" si="23"/>
        <v>2.2090023640661937E-2</v>
      </c>
      <c r="AO31" s="97">
        <f t="shared" si="24"/>
        <v>0.39465024220656475</v>
      </c>
      <c r="AP31" s="96">
        <f t="shared" si="25"/>
        <v>1.1331107787184297E-2</v>
      </c>
      <c r="AQ31" s="257">
        <f t="shared" si="9"/>
        <v>7.5540718581228652E-3</v>
      </c>
      <c r="AR31" s="257">
        <f t="shared" si="10"/>
        <v>0.24041576743369195</v>
      </c>
      <c r="AS31" s="94">
        <f t="shared" si="11"/>
        <v>4.3999999999999997E-2</v>
      </c>
      <c r="AT31" s="97">
        <f t="shared" si="12"/>
        <v>2.9699999999999997E-5</v>
      </c>
      <c r="AU31" s="96">
        <f t="shared" si="26"/>
        <v>0.91075222211822904</v>
      </c>
      <c r="AV31" s="94">
        <f t="shared" si="27"/>
        <v>16</v>
      </c>
      <c r="AW31" s="97">
        <f t="shared" si="28"/>
        <v>94.614360081942294</v>
      </c>
    </row>
    <row r="32" spans="17:49" x14ac:dyDescent="0.3">
      <c r="Q32" s="32">
        <v>25</v>
      </c>
      <c r="R32" s="96">
        <f t="shared" si="0"/>
        <v>24</v>
      </c>
      <c r="S32" s="94">
        <f t="shared" si="1"/>
        <v>0.69444444444444453</v>
      </c>
      <c r="T32" s="94">
        <f t="shared" si="2"/>
        <v>9</v>
      </c>
      <c r="U32" s="97">
        <f t="shared" si="3"/>
        <v>1.8518518518518521</v>
      </c>
      <c r="V32" s="96">
        <f>IF(Variable_Management!$B$20=3,2,IF((S32*R32/T32)&lt;((T32*(1-(T32/R32)))/(2*Lm*Fsw)),1,2))</f>
        <v>2</v>
      </c>
      <c r="W32" s="94">
        <f t="shared" si="13"/>
        <v>0.625</v>
      </c>
      <c r="X32" s="97">
        <f t="shared" si="4"/>
        <v>0.375</v>
      </c>
      <c r="Y32" s="96">
        <f t="shared" si="5"/>
        <v>2.7200193423597678</v>
      </c>
      <c r="Z32" s="94">
        <f t="shared" si="30"/>
        <v>3.211861523031736</v>
      </c>
      <c r="AA32" s="94">
        <f t="shared" si="31"/>
        <v>2.0114416181207129</v>
      </c>
      <c r="AB32" s="94">
        <v>0</v>
      </c>
      <c r="AC32" s="94">
        <f t="shared" si="6"/>
        <v>8.0917947662161437E-3</v>
      </c>
      <c r="AD32" s="97">
        <f t="shared" si="16"/>
        <v>8.0917947662161437E-3</v>
      </c>
      <c r="AE32" s="96">
        <f t="shared" si="29"/>
        <v>1.1574074074074074</v>
      </c>
      <c r="AF32" s="94">
        <f t="shared" si="17"/>
        <v>1.5901842234290167</v>
      </c>
      <c r="AG32" s="94">
        <f t="shared" si="7"/>
        <v>2.2252435607094397E-2</v>
      </c>
      <c r="AH32" s="94">
        <f t="shared" si="18"/>
        <v>0.19212871183823382</v>
      </c>
      <c r="AI32" s="97">
        <f t="shared" si="19"/>
        <v>0.21438114744532821</v>
      </c>
      <c r="AJ32" s="96">
        <f t="shared" si="20"/>
        <v>0.69444444444444453</v>
      </c>
      <c r="AK32" s="94">
        <f t="shared" si="21"/>
        <v>1.2317514029484711</v>
      </c>
      <c r="AL32" s="94">
        <f t="shared" si="8"/>
        <v>1.3351461364256637E-2</v>
      </c>
      <c r="AM32" s="94">
        <f t="shared" si="22"/>
        <v>0.36009600000000008</v>
      </c>
      <c r="AN32" s="237">
        <f t="shared" si="23"/>
        <v>2.2611505122143421E-2</v>
      </c>
      <c r="AO32" s="97">
        <f t="shared" si="24"/>
        <v>0.39605896648640015</v>
      </c>
      <c r="AP32" s="96">
        <f t="shared" si="25"/>
        <v>1.2137692149324215E-2</v>
      </c>
      <c r="AQ32" s="257">
        <f t="shared" si="9"/>
        <v>8.0917947662161437E-3</v>
      </c>
      <c r="AR32" s="257">
        <f t="shared" si="10"/>
        <v>0.24041576743369195</v>
      </c>
      <c r="AS32" s="94">
        <f t="shared" si="11"/>
        <v>4.3999999999999997E-2</v>
      </c>
      <c r="AT32" s="97">
        <f t="shared" si="12"/>
        <v>2.9699999999999997E-5</v>
      </c>
      <c r="AU32" s="96">
        <f t="shared" si="26"/>
        <v>0.92320686304717681</v>
      </c>
      <c r="AV32" s="94">
        <f t="shared" si="27"/>
        <v>16.666666666666668</v>
      </c>
      <c r="AW32" s="97">
        <f t="shared" si="28"/>
        <v>94.751486635264087</v>
      </c>
    </row>
    <row r="33" spans="17:49" x14ac:dyDescent="0.3">
      <c r="Q33" s="32">
        <v>26</v>
      </c>
      <c r="R33" s="96">
        <f t="shared" si="0"/>
        <v>24</v>
      </c>
      <c r="S33" s="94">
        <f t="shared" si="1"/>
        <v>0.72222222222222232</v>
      </c>
      <c r="T33" s="94">
        <f t="shared" si="2"/>
        <v>9</v>
      </c>
      <c r="U33" s="97">
        <f t="shared" si="3"/>
        <v>1.9259259259259263</v>
      </c>
      <c r="V33" s="96">
        <f>IF(Variable_Management!$B$20=3,2,IF((S33*R33/T33)&lt;((T33*(1-(T33/R33)))/(2*Lm*Fsw)),1,2))</f>
        <v>2</v>
      </c>
      <c r="W33" s="94">
        <f t="shared" si="13"/>
        <v>0.625</v>
      </c>
      <c r="X33" s="97">
        <f t="shared" si="4"/>
        <v>0.375</v>
      </c>
      <c r="Y33" s="96">
        <f t="shared" si="5"/>
        <v>2.7200193423597678</v>
      </c>
      <c r="Z33" s="94">
        <f t="shared" si="30"/>
        <v>3.2859355971058104</v>
      </c>
      <c r="AA33" s="94">
        <f t="shared" si="31"/>
        <v>2.0798396029633088</v>
      </c>
      <c r="AB33" s="94">
        <v>0</v>
      </c>
      <c r="AC33" s="94">
        <f t="shared" si="6"/>
        <v>8.6514655481091472E-3</v>
      </c>
      <c r="AD33" s="97">
        <f t="shared" si="16"/>
        <v>8.6514655481091472E-3</v>
      </c>
      <c r="AE33" s="96">
        <f t="shared" si="29"/>
        <v>1.2037037037037039</v>
      </c>
      <c r="AF33" s="94">
        <f t="shared" si="17"/>
        <v>1.644257578296086</v>
      </c>
      <c r="AG33" s="94">
        <f t="shared" si="7"/>
        <v>2.3791530257300162E-2</v>
      </c>
      <c r="AH33" s="94">
        <f t="shared" si="18"/>
        <v>0.19981386031176315</v>
      </c>
      <c r="AI33" s="97">
        <f t="shared" si="19"/>
        <v>0.22360539056906331</v>
      </c>
      <c r="AJ33" s="96">
        <f t="shared" si="20"/>
        <v>0.72222222222222232</v>
      </c>
      <c r="AK33" s="94">
        <f t="shared" si="21"/>
        <v>1.2736364435232159</v>
      </c>
      <c r="AL33" s="94">
        <f t="shared" si="8"/>
        <v>1.4274918154380102E-2</v>
      </c>
      <c r="AM33" s="94">
        <f t="shared" si="22"/>
        <v>0.36009600000000008</v>
      </c>
      <c r="AN33" s="237">
        <f t="shared" si="23"/>
        <v>2.3132986603624905E-2</v>
      </c>
      <c r="AO33" s="97">
        <f t="shared" si="24"/>
        <v>0.39750390475800507</v>
      </c>
      <c r="AP33" s="96">
        <f t="shared" si="25"/>
        <v>1.2977198322163722E-2</v>
      </c>
      <c r="AQ33" s="257">
        <f t="shared" si="9"/>
        <v>8.6514655481091472E-3</v>
      </c>
      <c r="AR33" s="257">
        <f t="shared" si="10"/>
        <v>0.24041576743369195</v>
      </c>
      <c r="AS33" s="94">
        <f t="shared" si="11"/>
        <v>4.3999999999999997E-2</v>
      </c>
      <c r="AT33" s="97">
        <f t="shared" si="12"/>
        <v>2.9699999999999997E-5</v>
      </c>
      <c r="AU33" s="96">
        <f t="shared" si="26"/>
        <v>0.9358348921791424</v>
      </c>
      <c r="AV33" s="94">
        <f t="shared" si="27"/>
        <v>17.333333333333336</v>
      </c>
      <c r="AW33" s="97">
        <f t="shared" si="28"/>
        <v>94.877517790480098</v>
      </c>
    </row>
    <row r="34" spans="17:49" x14ac:dyDescent="0.3">
      <c r="Q34" s="32">
        <v>27</v>
      </c>
      <c r="R34" s="96">
        <f t="shared" si="0"/>
        <v>24</v>
      </c>
      <c r="S34" s="94">
        <f t="shared" si="1"/>
        <v>0.75</v>
      </c>
      <c r="T34" s="94">
        <f t="shared" si="2"/>
        <v>9</v>
      </c>
      <c r="U34" s="97">
        <f t="shared" si="3"/>
        <v>2</v>
      </c>
      <c r="V34" s="96">
        <f>IF(Variable_Management!$B$20=3,2,IF((S34*R34/T34)&lt;((T34*(1-(T34/R34)))/(2*Lm*Fsw)),1,2))</f>
        <v>2</v>
      </c>
      <c r="W34" s="94">
        <f t="shared" si="13"/>
        <v>0.625</v>
      </c>
      <c r="X34" s="97">
        <f t="shared" si="4"/>
        <v>0.375</v>
      </c>
      <c r="Y34" s="96">
        <f t="shared" si="5"/>
        <v>2.7200193423597678</v>
      </c>
      <c r="Z34" s="94">
        <f t="shared" si="30"/>
        <v>3.3600096711798839</v>
      </c>
      <c r="AA34" s="94">
        <f t="shared" si="31"/>
        <v>2.1486139955564236</v>
      </c>
      <c r="AB34" s="94">
        <v>0</v>
      </c>
      <c r="AC34" s="94">
        <f t="shared" si="6"/>
        <v>9.2330842038018789E-3</v>
      </c>
      <c r="AD34" s="97">
        <f t="shared" si="16"/>
        <v>9.2330842038018789E-3</v>
      </c>
      <c r="AE34" s="96">
        <f t="shared" si="29"/>
        <v>1.25</v>
      </c>
      <c r="AF34" s="94">
        <f t="shared" si="17"/>
        <v>1.6986285096183</v>
      </c>
      <c r="AG34" s="94">
        <f t="shared" si="7"/>
        <v>2.5390981560455168E-2</v>
      </c>
      <c r="AH34" s="94">
        <f t="shared" si="18"/>
        <v>0.20749900878529248</v>
      </c>
      <c r="AI34" s="97">
        <f t="shared" si="19"/>
        <v>0.23288999034574764</v>
      </c>
      <c r="AJ34" s="96">
        <f t="shared" si="20"/>
        <v>0.75</v>
      </c>
      <c r="AK34" s="94">
        <f t="shared" si="21"/>
        <v>1.3157519858289604</v>
      </c>
      <c r="AL34" s="94">
        <f t="shared" si="8"/>
        <v>1.5234588936273104E-2</v>
      </c>
      <c r="AM34" s="94">
        <f t="shared" si="22"/>
        <v>0.36009600000000008</v>
      </c>
      <c r="AN34" s="237">
        <f t="shared" si="23"/>
        <v>2.3654468085106385E-2</v>
      </c>
      <c r="AO34" s="97">
        <f t="shared" si="24"/>
        <v>0.3989850570213796</v>
      </c>
      <c r="AP34" s="96">
        <f t="shared" si="25"/>
        <v>1.3849626305702818E-2</v>
      </c>
      <c r="AQ34" s="257">
        <f t="shared" si="9"/>
        <v>9.2330842038018789E-3</v>
      </c>
      <c r="AR34" s="257">
        <f t="shared" si="10"/>
        <v>0.24041576743369195</v>
      </c>
      <c r="AS34" s="94">
        <f t="shared" si="11"/>
        <v>4.3999999999999997E-2</v>
      </c>
      <c r="AT34" s="97">
        <f t="shared" si="12"/>
        <v>2.9699999999999997E-5</v>
      </c>
      <c r="AU34" s="96">
        <f t="shared" si="26"/>
        <v>0.94863630951412581</v>
      </c>
      <c r="AV34" s="94">
        <f t="shared" si="27"/>
        <v>18</v>
      </c>
      <c r="AW34" s="97">
        <f t="shared" si="28"/>
        <v>94.993643373492716</v>
      </c>
    </row>
    <row r="35" spans="17:49" x14ac:dyDescent="0.3">
      <c r="Q35" s="32">
        <v>28</v>
      </c>
      <c r="R35" s="96">
        <f t="shared" si="0"/>
        <v>24</v>
      </c>
      <c r="S35" s="94">
        <f t="shared" si="1"/>
        <v>0.77777777777777779</v>
      </c>
      <c r="T35" s="94">
        <f t="shared" si="2"/>
        <v>9</v>
      </c>
      <c r="U35" s="97">
        <f t="shared" si="3"/>
        <v>2.0740740740740744</v>
      </c>
      <c r="V35" s="96">
        <f>IF(Variable_Management!$B$20=3,2,IF((S35*R35/T35)&lt;((T35*(1-(T35/R35)))/(2*Lm*Fsw)),1,2))</f>
        <v>2</v>
      </c>
      <c r="W35" s="94">
        <f t="shared" si="13"/>
        <v>0.625</v>
      </c>
      <c r="X35" s="97">
        <f t="shared" si="4"/>
        <v>0.375</v>
      </c>
      <c r="Y35" s="96">
        <f t="shared" si="5"/>
        <v>2.7200193423597678</v>
      </c>
      <c r="Z35" s="94">
        <f t="shared" si="30"/>
        <v>3.4340837452539583</v>
      </c>
      <c r="AA35" s="94">
        <f t="shared" si="31"/>
        <v>2.217729777643608</v>
      </c>
      <c r="AB35" s="94">
        <v>0</v>
      </c>
      <c r="AC35" s="94">
        <f t="shared" si="6"/>
        <v>9.8366507332943338E-3</v>
      </c>
      <c r="AD35" s="97">
        <f t="shared" si="16"/>
        <v>9.8366507332943338E-3</v>
      </c>
      <c r="AE35" s="96">
        <f t="shared" si="29"/>
        <v>1.2962962962962965</v>
      </c>
      <c r="AF35" s="94">
        <f t="shared" si="17"/>
        <v>1.7532693330331426</v>
      </c>
      <c r="AG35" s="94">
        <f t="shared" si="7"/>
        <v>2.7050789516559433E-2</v>
      </c>
      <c r="AH35" s="94">
        <f t="shared" si="18"/>
        <v>0.21518415725882184</v>
      </c>
      <c r="AI35" s="97">
        <f t="shared" si="19"/>
        <v>0.24223494677538127</v>
      </c>
      <c r="AJ35" s="96">
        <f t="shared" si="20"/>
        <v>0.7777777777777779</v>
      </c>
      <c r="AK35" s="94">
        <f t="shared" si="21"/>
        <v>1.3580765856507093</v>
      </c>
      <c r="AL35" s="94">
        <f t="shared" si="8"/>
        <v>1.6230473709935658E-2</v>
      </c>
      <c r="AM35" s="94">
        <f t="shared" si="22"/>
        <v>0.36009600000000008</v>
      </c>
      <c r="AN35" s="237">
        <f t="shared" si="23"/>
        <v>2.4175949566587869E-2</v>
      </c>
      <c r="AO35" s="97">
        <f t="shared" si="24"/>
        <v>0.40050242327652358</v>
      </c>
      <c r="AP35" s="96">
        <f t="shared" si="25"/>
        <v>1.4754976099941502E-2</v>
      </c>
      <c r="AQ35" s="257">
        <f t="shared" si="9"/>
        <v>9.8366507332943338E-3</v>
      </c>
      <c r="AR35" s="257">
        <f t="shared" si="10"/>
        <v>0.24041576743369195</v>
      </c>
      <c r="AS35" s="94">
        <f t="shared" si="11"/>
        <v>4.3999999999999997E-2</v>
      </c>
      <c r="AT35" s="97">
        <f t="shared" si="12"/>
        <v>2.9699999999999997E-5</v>
      </c>
      <c r="AU35" s="96">
        <f t="shared" si="26"/>
        <v>0.96161111505212704</v>
      </c>
      <c r="AV35" s="94">
        <f t="shared" si="27"/>
        <v>18.666666666666668</v>
      </c>
      <c r="AW35" s="97">
        <f t="shared" si="28"/>
        <v>95.100889004394759</v>
      </c>
    </row>
    <row r="36" spans="17:49" x14ac:dyDescent="0.3">
      <c r="Q36" s="32">
        <v>29</v>
      </c>
      <c r="R36" s="96">
        <f t="shared" si="0"/>
        <v>24</v>
      </c>
      <c r="S36" s="94">
        <f t="shared" si="1"/>
        <v>0.80555555555555558</v>
      </c>
      <c r="T36" s="94">
        <f t="shared" si="2"/>
        <v>9</v>
      </c>
      <c r="U36" s="97">
        <f t="shared" si="3"/>
        <v>2.1481481481481484</v>
      </c>
      <c r="V36" s="96">
        <f>IF(Variable_Management!$B$20=3,2,IF((S36*R36/T36)&lt;((T36*(1-(T36/R36)))/(2*Lm*Fsw)),1,2))</f>
        <v>2</v>
      </c>
      <c r="W36" s="94">
        <f t="shared" si="13"/>
        <v>0.625</v>
      </c>
      <c r="X36" s="97">
        <f t="shared" si="4"/>
        <v>0.375</v>
      </c>
      <c r="Y36" s="96">
        <f t="shared" si="5"/>
        <v>2.7200193423597678</v>
      </c>
      <c r="Z36" s="94">
        <f t="shared" si="30"/>
        <v>3.5081578193280323</v>
      </c>
      <c r="AA36" s="94">
        <f t="shared" si="31"/>
        <v>2.2871559999906559</v>
      </c>
      <c r="AB36" s="94">
        <v>0</v>
      </c>
      <c r="AC36" s="94">
        <f t="shared" si="6"/>
        <v>1.0462165136586514E-2</v>
      </c>
      <c r="AD36" s="97">
        <f t="shared" si="16"/>
        <v>1.0462165136586514E-2</v>
      </c>
      <c r="AE36" s="96">
        <f t="shared" si="29"/>
        <v>1.3425925925925928</v>
      </c>
      <c r="AF36" s="94">
        <f t="shared" si="17"/>
        <v>1.8081555810226302</v>
      </c>
      <c r="AG36" s="94">
        <f t="shared" si="7"/>
        <v>2.8770954125612914E-2</v>
      </c>
      <c r="AH36" s="94">
        <f t="shared" si="18"/>
        <v>0.22286930573235117</v>
      </c>
      <c r="AI36" s="97">
        <f t="shared" si="19"/>
        <v>0.25164025985796407</v>
      </c>
      <c r="AJ36" s="96">
        <f t="shared" si="20"/>
        <v>0.80555555555555558</v>
      </c>
      <c r="AK36" s="94">
        <f t="shared" si="21"/>
        <v>1.4005912905305284</v>
      </c>
      <c r="AL36" s="94">
        <f t="shared" si="8"/>
        <v>1.7262572475367746E-2</v>
      </c>
      <c r="AM36" s="94">
        <f t="shared" si="22"/>
        <v>0.36009600000000008</v>
      </c>
      <c r="AN36" s="237">
        <f t="shared" si="23"/>
        <v>2.4697431048069349E-2</v>
      </c>
      <c r="AO36" s="97">
        <f t="shared" si="24"/>
        <v>0.40205600352343718</v>
      </c>
      <c r="AP36" s="96">
        <f t="shared" si="25"/>
        <v>1.569324770487977E-2</v>
      </c>
      <c r="AQ36" s="257">
        <f t="shared" si="9"/>
        <v>1.0462165136586514E-2</v>
      </c>
      <c r="AR36" s="257">
        <f t="shared" si="10"/>
        <v>0.24041576743369195</v>
      </c>
      <c r="AS36" s="94">
        <f t="shared" si="11"/>
        <v>4.3999999999999997E-2</v>
      </c>
      <c r="AT36" s="97">
        <f t="shared" si="12"/>
        <v>2.9699999999999997E-5</v>
      </c>
      <c r="AU36" s="96">
        <f t="shared" si="26"/>
        <v>0.9747593087931461</v>
      </c>
      <c r="AV36" s="94">
        <f t="shared" si="27"/>
        <v>19.333333333333336</v>
      </c>
      <c r="AW36" s="97">
        <f t="shared" si="28"/>
        <v>95.200143479889704</v>
      </c>
    </row>
    <row r="37" spans="17:49" x14ac:dyDescent="0.3">
      <c r="Q37" s="32">
        <v>30</v>
      </c>
      <c r="R37" s="96">
        <f t="shared" si="0"/>
        <v>24</v>
      </c>
      <c r="S37" s="94">
        <f t="shared" si="1"/>
        <v>0.83333333333333337</v>
      </c>
      <c r="T37" s="94">
        <f t="shared" si="2"/>
        <v>9</v>
      </c>
      <c r="U37" s="97">
        <f t="shared" si="3"/>
        <v>2.2222222222222223</v>
      </c>
      <c r="V37" s="96">
        <f>IF(Variable_Management!$B$20=3,2,IF((S37*R37/T37)&lt;((T37*(1-(T37/R37)))/(2*Lm*Fsw)),1,2))</f>
        <v>2</v>
      </c>
      <c r="W37" s="94">
        <f t="shared" si="13"/>
        <v>0.625</v>
      </c>
      <c r="X37" s="97">
        <f t="shared" si="4"/>
        <v>0.375</v>
      </c>
      <c r="Y37" s="96">
        <f t="shared" si="5"/>
        <v>2.7200193423597678</v>
      </c>
      <c r="Z37" s="94">
        <f t="shared" si="30"/>
        <v>3.5822318934021062</v>
      </c>
      <c r="AA37" s="94">
        <f t="shared" si="31"/>
        <v>2.3568652288239162</v>
      </c>
      <c r="AB37" s="94">
        <v>0</v>
      </c>
      <c r="AC37" s="94">
        <f t="shared" si="6"/>
        <v>1.1109627413678424E-2</v>
      </c>
      <c r="AD37" s="97">
        <f t="shared" si="16"/>
        <v>1.1109627413678424E-2</v>
      </c>
      <c r="AE37" s="96">
        <f t="shared" si="29"/>
        <v>1.3888888888888888</v>
      </c>
      <c r="AF37" s="94">
        <f t="shared" si="17"/>
        <v>1.8632655652843764</v>
      </c>
      <c r="AG37" s="94">
        <f t="shared" si="7"/>
        <v>3.055147538761566E-2</v>
      </c>
      <c r="AH37" s="94">
        <f t="shared" si="18"/>
        <v>0.23055445420588055</v>
      </c>
      <c r="AI37" s="97">
        <f t="shared" si="19"/>
        <v>0.26110592959349621</v>
      </c>
      <c r="AJ37" s="96">
        <f t="shared" si="20"/>
        <v>0.83333333333333337</v>
      </c>
      <c r="AK37" s="94">
        <f t="shared" si="21"/>
        <v>1.4432793007816276</v>
      </c>
      <c r="AL37" s="94">
        <f t="shared" si="8"/>
        <v>1.8330885232569392E-2</v>
      </c>
      <c r="AM37" s="94">
        <f t="shared" si="22"/>
        <v>0.36009600000000008</v>
      </c>
      <c r="AN37" s="237">
        <f t="shared" si="23"/>
        <v>2.521891252955083E-2</v>
      </c>
      <c r="AO37" s="97">
        <f t="shared" si="24"/>
        <v>0.40364579776212028</v>
      </c>
      <c r="AP37" s="96">
        <f t="shared" si="25"/>
        <v>1.6664441120517636E-2</v>
      </c>
      <c r="AQ37" s="257">
        <f t="shared" si="9"/>
        <v>1.1109627413678424E-2</v>
      </c>
      <c r="AR37" s="257">
        <f t="shared" si="10"/>
        <v>0.24041576743369195</v>
      </c>
      <c r="AS37" s="94">
        <f t="shared" si="11"/>
        <v>4.3999999999999997E-2</v>
      </c>
      <c r="AT37" s="97">
        <f t="shared" si="12"/>
        <v>2.9699999999999997E-5</v>
      </c>
      <c r="AU37" s="96">
        <f t="shared" si="26"/>
        <v>0.98808089073718297</v>
      </c>
      <c r="AV37" s="94">
        <f t="shared" si="27"/>
        <v>20</v>
      </c>
      <c r="AW37" s="97">
        <f t="shared" si="28"/>
        <v>95.292180853118111</v>
      </c>
    </row>
    <row r="38" spans="17:49" x14ac:dyDescent="0.3">
      <c r="Q38" s="32">
        <v>31</v>
      </c>
      <c r="R38" s="96">
        <f t="shared" si="0"/>
        <v>24</v>
      </c>
      <c r="S38" s="94">
        <f t="shared" si="1"/>
        <v>0.86111111111111116</v>
      </c>
      <c r="T38" s="94">
        <f t="shared" si="2"/>
        <v>9</v>
      </c>
      <c r="U38" s="97">
        <f t="shared" si="3"/>
        <v>2.2962962962962963</v>
      </c>
      <c r="V38" s="96">
        <f>IF(Variable_Management!$B$20=3,2,IF((S38*R38/T38)&lt;((T38*(1-(T38/R38)))/(2*Lm*Fsw)),1,2))</f>
        <v>2</v>
      </c>
      <c r="W38" s="94">
        <f t="shared" si="13"/>
        <v>0.625</v>
      </c>
      <c r="X38" s="97">
        <f t="shared" si="4"/>
        <v>0.375</v>
      </c>
      <c r="Y38" s="96">
        <f t="shared" si="5"/>
        <v>2.7200193423597678</v>
      </c>
      <c r="Z38" s="94">
        <f t="shared" si="30"/>
        <v>3.6563059674761802</v>
      </c>
      <c r="AA38" s="94">
        <f t="shared" si="31"/>
        <v>2.42683307672469</v>
      </c>
      <c r="AB38" s="94">
        <v>0</v>
      </c>
      <c r="AC38" s="94">
        <f t="shared" si="6"/>
        <v>1.177903756457005E-2</v>
      </c>
      <c r="AD38" s="97">
        <f t="shared" si="16"/>
        <v>1.177903756457005E-2</v>
      </c>
      <c r="AE38" s="96">
        <f t="shared" si="29"/>
        <v>1.4351851851851851</v>
      </c>
      <c r="AF38" s="94">
        <f t="shared" si="17"/>
        <v>1.9185800058710456</v>
      </c>
      <c r="AG38" s="94">
        <f t="shared" si="7"/>
        <v>3.2392353302567643E-2</v>
      </c>
      <c r="AH38" s="94">
        <f t="shared" si="18"/>
        <v>0.23823960267940991</v>
      </c>
      <c r="AI38" s="97">
        <f t="shared" si="19"/>
        <v>0.27063195598197753</v>
      </c>
      <c r="AJ38" s="96">
        <f t="shared" si="20"/>
        <v>0.86111111111111116</v>
      </c>
      <c r="AK38" s="94">
        <f t="shared" si="21"/>
        <v>1.4861256822210176</v>
      </c>
      <c r="AL38" s="94">
        <f t="shared" si="8"/>
        <v>1.9435411981540588E-2</v>
      </c>
      <c r="AM38" s="94">
        <f t="shared" si="22"/>
        <v>0.36009600000000008</v>
      </c>
      <c r="AN38" s="237">
        <f t="shared" si="23"/>
        <v>2.574039401103231E-2</v>
      </c>
      <c r="AO38" s="97">
        <f t="shared" si="24"/>
        <v>0.40527180599257295</v>
      </c>
      <c r="AP38" s="96">
        <f t="shared" si="25"/>
        <v>1.7668556346855074E-2</v>
      </c>
      <c r="AQ38" s="257">
        <f t="shared" si="9"/>
        <v>1.177903756457005E-2</v>
      </c>
      <c r="AR38" s="257">
        <f t="shared" si="10"/>
        <v>0.24041576743369195</v>
      </c>
      <c r="AS38" s="94">
        <f t="shared" si="11"/>
        <v>4.3999999999999997E-2</v>
      </c>
      <c r="AT38" s="97">
        <f t="shared" si="12"/>
        <v>2.9699999999999997E-5</v>
      </c>
      <c r="AU38" s="96">
        <f t="shared" si="26"/>
        <v>1.0015758608842378</v>
      </c>
      <c r="AV38" s="94">
        <f t="shared" si="27"/>
        <v>20.666666666666668</v>
      </c>
      <c r="AW38" s="97">
        <f t="shared" si="28"/>
        <v>95.37767837141962</v>
      </c>
    </row>
    <row r="39" spans="17:49" x14ac:dyDescent="0.3">
      <c r="Q39" s="32">
        <v>32</v>
      </c>
      <c r="R39" s="96">
        <f t="shared" si="0"/>
        <v>24</v>
      </c>
      <c r="S39" s="94">
        <f t="shared" ref="S39:S70" si="32">Q39*$O$12</f>
        <v>0.88888888888888895</v>
      </c>
      <c r="T39" s="94">
        <f t="shared" si="2"/>
        <v>9</v>
      </c>
      <c r="U39" s="97">
        <f t="shared" ref="U39:U70" si="33">(R39*S39)/(T39*EFF_est)</f>
        <v>2.3703703703703707</v>
      </c>
      <c r="V39" s="96">
        <f>IF(Variable_Management!$B$20=3,2,IF((S39*R39/T39)&lt;((T39*(1-(T39/R39)))/(2*Lm*Fsw)),1,2))</f>
        <v>2</v>
      </c>
      <c r="W39" s="94">
        <f t="shared" ref="W39:W70" si="34">CHOOSE(V39,SQRT((2*S39*Lm*Fsw*(R39-T39))/((T39)^2)),1-(T39/R39))</f>
        <v>0.625</v>
      </c>
      <c r="X39" s="97">
        <f t="shared" ref="X39:X70" si="35">CHOOSE(V39,(Lm*Z39*Fsw)/(R39-T39),1-W39)</f>
        <v>0.375</v>
      </c>
      <c r="Y39" s="96">
        <f t="shared" ref="Y39:Y70" si="36">(T39*W39)/(Lm*Fsw)</f>
        <v>2.7200193423597678</v>
      </c>
      <c r="Z39" s="94">
        <f t="shared" si="30"/>
        <v>3.7303800415502546</v>
      </c>
      <c r="AA39" s="94">
        <f t="shared" si="31"/>
        <v>2.4970378040051187</v>
      </c>
      <c r="AB39" s="94">
        <v>0</v>
      </c>
      <c r="AC39" s="94">
        <f t="shared" ref="AC39:AC70" si="37">(AA39^2)*Rdcr</f>
        <v>1.2470395589261411E-2</v>
      </c>
      <c r="AD39" s="97">
        <f t="shared" si="16"/>
        <v>1.2470395589261411E-2</v>
      </c>
      <c r="AE39" s="96">
        <f t="shared" si="29"/>
        <v>1.4814814814814816</v>
      </c>
      <c r="AF39" s="94">
        <f t="shared" si="17"/>
        <v>1.9740817160503241</v>
      </c>
      <c r="AG39" s="94">
        <f t="shared" ref="AG39:AG70" si="38">(AF39^2)*RDS_on</f>
        <v>3.4293587870468899E-2</v>
      </c>
      <c r="AH39" s="94">
        <f t="shared" ref="AH39:AH70" si="39">((R39*U39)/2)*Fsw*(tr_sw+tf_sw)</f>
        <v>0.24592475115293927</v>
      </c>
      <c r="AI39" s="97">
        <f t="shared" si="19"/>
        <v>0.28021833902340815</v>
      </c>
      <c r="AJ39" s="96">
        <f t="shared" si="20"/>
        <v>0.88888888888888906</v>
      </c>
      <c r="AK39" s="94">
        <f t="shared" ref="AK39:AK70" si="40">CHOOSE(V39,Z39*SQRT(X39/3),SQRT(X39*((Z39^2)+((Y39^2)/3)-(Y39*Z39))))</f>
        <v>1.5291171220630928</v>
      </c>
      <c r="AL39" s="94">
        <f t="shared" ref="AL39:AL70" si="41">(AK39^2)*RDS_on_HS</f>
        <v>2.0576152722281336E-2</v>
      </c>
      <c r="AM39" s="94">
        <f t="shared" si="22"/>
        <v>0.36009600000000008</v>
      </c>
      <c r="AN39" s="237">
        <f t="shared" ref="AN39:AN70" si="42">Vd_rect*t_dead*Fsw*Z39</f>
        <v>2.6261875492513794E-2</v>
      </c>
      <c r="AO39" s="97">
        <f t="shared" si="24"/>
        <v>0.40693402821479524</v>
      </c>
      <c r="AP39" s="96">
        <f t="shared" ref="AP39:AP70" si="43">(AA39^2)*R_cs</f>
        <v>1.8705593383892116E-2</v>
      </c>
      <c r="AQ39" s="257">
        <f t="shared" ref="AQ39:AQ70" si="44">Rdcr*AA39^2</f>
        <v>1.2470395589261411E-2</v>
      </c>
      <c r="AR39" s="257">
        <f t="shared" ref="AR39:AR70" si="45">ABS(7.759*10^-3*Fsw^0.9458*(0.00787*Y39)^2.304)</f>
        <v>0.24041576743369195</v>
      </c>
      <c r="AS39" s="94">
        <f t="shared" ref="AS39:AS70" si="46">(Qg_tot+Qg_tot_HS)*Vcc*Fsw</f>
        <v>4.3999999999999997E-2</v>
      </c>
      <c r="AT39" s="97">
        <f t="shared" ref="AT39:AT70" si="47">IQ*T39</f>
        <v>2.9699999999999997E-5</v>
      </c>
      <c r="AU39" s="96">
        <f t="shared" si="26"/>
        <v>1.0152442192343103</v>
      </c>
      <c r="AV39" s="94">
        <f t="shared" si="27"/>
        <v>21.333333333333336</v>
      </c>
      <c r="AW39" s="97">
        <f t="shared" si="28"/>
        <v>95.457231151082055</v>
      </c>
    </row>
    <row r="40" spans="17:49" x14ac:dyDescent="0.3">
      <c r="Q40" s="32">
        <v>33</v>
      </c>
      <c r="R40" s="96">
        <f t="shared" si="0"/>
        <v>24</v>
      </c>
      <c r="S40" s="94">
        <f t="shared" si="32"/>
        <v>0.91666666666666674</v>
      </c>
      <c r="T40" s="94">
        <f t="shared" si="2"/>
        <v>9</v>
      </c>
      <c r="U40" s="97">
        <f t="shared" si="33"/>
        <v>2.4444444444444446</v>
      </c>
      <c r="V40" s="96">
        <f>IF(Variable_Management!$B$20=3,2,IF((S40*R40/T40)&lt;((T40*(1-(T40/R40)))/(2*Lm*Fsw)),1,2))</f>
        <v>2</v>
      </c>
      <c r="W40" s="94">
        <f t="shared" si="34"/>
        <v>0.625</v>
      </c>
      <c r="X40" s="97">
        <f t="shared" si="35"/>
        <v>0.375</v>
      </c>
      <c r="Y40" s="96">
        <f t="shared" si="36"/>
        <v>2.7200193423597678</v>
      </c>
      <c r="Z40" s="94">
        <f t="shared" si="30"/>
        <v>3.8044541156243286</v>
      </c>
      <c r="AA40" s="94">
        <f t="shared" si="31"/>
        <v>2.5674599790213377</v>
      </c>
      <c r="AB40" s="94">
        <v>0</v>
      </c>
      <c r="AC40" s="94">
        <f t="shared" si="37"/>
        <v>1.3183701487752495E-2</v>
      </c>
      <c r="AD40" s="97">
        <f t="shared" si="16"/>
        <v>1.3183701487752495E-2</v>
      </c>
      <c r="AE40" s="96">
        <f t="shared" si="29"/>
        <v>1.5277777777777779</v>
      </c>
      <c r="AF40" s="94">
        <f t="shared" si="17"/>
        <v>2.0297553337588883</v>
      </c>
      <c r="AG40" s="94">
        <f t="shared" si="38"/>
        <v>3.6255179091319374E-2</v>
      </c>
      <c r="AH40" s="94">
        <f t="shared" si="39"/>
        <v>0.25360989962646863</v>
      </c>
      <c r="AI40" s="97">
        <f t="shared" si="19"/>
        <v>0.28986507871778799</v>
      </c>
      <c r="AJ40" s="96">
        <f t="shared" si="20"/>
        <v>0.91666666666666674</v>
      </c>
      <c r="AK40" s="94">
        <f t="shared" si="40"/>
        <v>1.5722417209047701</v>
      </c>
      <c r="AL40" s="94">
        <f t="shared" si="41"/>
        <v>2.1753107454791618E-2</v>
      </c>
      <c r="AM40" s="94">
        <f t="shared" ref="AM40:AM71" si="48">CHOOSE(V40,(R40+Vd_rect)*Qrr*Fsw,(R40+Vd_rect)*Qrr*Fsw)</f>
        <v>0.36009600000000008</v>
      </c>
      <c r="AN40" s="237">
        <f t="shared" si="42"/>
        <v>2.6783356973995275E-2</v>
      </c>
      <c r="AO40" s="97">
        <f t="shared" si="24"/>
        <v>0.40863246442878698</v>
      </c>
      <c r="AP40" s="96">
        <f t="shared" si="43"/>
        <v>1.9775552231628742E-2</v>
      </c>
      <c r="AQ40" s="257">
        <f t="shared" si="44"/>
        <v>1.3183701487752495E-2</v>
      </c>
      <c r="AR40" s="257">
        <f t="shared" si="45"/>
        <v>0.24041576743369195</v>
      </c>
      <c r="AS40" s="94">
        <f t="shared" si="46"/>
        <v>4.3999999999999997E-2</v>
      </c>
      <c r="AT40" s="97">
        <f t="shared" si="47"/>
        <v>2.9699999999999997E-5</v>
      </c>
      <c r="AU40" s="96">
        <f t="shared" si="26"/>
        <v>1.0290859657874007</v>
      </c>
      <c r="AV40" s="94">
        <f t="shared" si="27"/>
        <v>22</v>
      </c>
      <c r="AW40" s="97">
        <f t="shared" si="28"/>
        <v>95.531364261194568</v>
      </c>
    </row>
    <row r="41" spans="17:49" x14ac:dyDescent="0.3">
      <c r="Q41" s="32">
        <v>34</v>
      </c>
      <c r="R41" s="96">
        <f t="shared" si="0"/>
        <v>24</v>
      </c>
      <c r="S41" s="94">
        <f t="shared" si="32"/>
        <v>0.94444444444444453</v>
      </c>
      <c r="T41" s="94">
        <f t="shared" si="2"/>
        <v>9</v>
      </c>
      <c r="U41" s="97">
        <f t="shared" si="33"/>
        <v>2.5185185185185186</v>
      </c>
      <c r="V41" s="96">
        <f>IF(Variable_Management!$B$20=3,2,IF((S41*R41/T41)&lt;((T41*(1-(T41/R41)))/(2*Lm*Fsw)),1,2))</f>
        <v>2</v>
      </c>
      <c r="W41" s="94">
        <f t="shared" si="34"/>
        <v>0.625</v>
      </c>
      <c r="X41" s="97">
        <f t="shared" si="35"/>
        <v>0.375</v>
      </c>
      <c r="Y41" s="96">
        <f t="shared" si="36"/>
        <v>2.7200193423597678</v>
      </c>
      <c r="Z41" s="94">
        <f t="shared" si="30"/>
        <v>3.8785281896984025</v>
      </c>
      <c r="AA41" s="94">
        <f t="shared" si="31"/>
        <v>2.6380821878822602</v>
      </c>
      <c r="AB41" s="94">
        <v>0</v>
      </c>
      <c r="AC41" s="94">
        <f t="shared" si="37"/>
        <v>1.3918955260043307E-2</v>
      </c>
      <c r="AD41" s="97">
        <f t="shared" si="16"/>
        <v>1.3918955260043307E-2</v>
      </c>
      <c r="AE41" s="96">
        <f t="shared" si="29"/>
        <v>1.5740740740740742</v>
      </c>
      <c r="AF41" s="94">
        <f t="shared" si="17"/>
        <v>2.0855870921070481</v>
      </c>
      <c r="AG41" s="94">
        <f t="shared" si="38"/>
        <v>3.827712696511909E-2</v>
      </c>
      <c r="AH41" s="94">
        <f t="shared" si="39"/>
        <v>0.26129504809999793</v>
      </c>
      <c r="AI41" s="97">
        <f t="shared" si="19"/>
        <v>0.29957217506511702</v>
      </c>
      <c r="AJ41" s="96">
        <f t="shared" si="20"/>
        <v>0.94444444444444442</v>
      </c>
      <c r="AK41" s="94">
        <f t="shared" si="40"/>
        <v>1.61548881495915</v>
      </c>
      <c r="AL41" s="94">
        <f t="shared" si="41"/>
        <v>2.2966276179071446E-2</v>
      </c>
      <c r="AM41" s="94">
        <f t="shared" si="48"/>
        <v>0.36009600000000008</v>
      </c>
      <c r="AN41" s="237">
        <f t="shared" si="42"/>
        <v>2.7304838455476755E-2</v>
      </c>
      <c r="AO41" s="97">
        <f t="shared" si="24"/>
        <v>0.41036711463454828</v>
      </c>
      <c r="AP41" s="96">
        <f t="shared" si="43"/>
        <v>2.0878432890064962E-2</v>
      </c>
      <c r="AQ41" s="257">
        <f t="shared" si="44"/>
        <v>1.3918955260043307E-2</v>
      </c>
      <c r="AR41" s="257">
        <f t="shared" si="45"/>
        <v>0.24041576743369195</v>
      </c>
      <c r="AS41" s="94">
        <f t="shared" si="46"/>
        <v>4.3999999999999997E-2</v>
      </c>
      <c r="AT41" s="97">
        <f t="shared" si="47"/>
        <v>2.9699999999999997E-5</v>
      </c>
      <c r="AU41" s="96">
        <f t="shared" si="26"/>
        <v>1.0431011005435089</v>
      </c>
      <c r="AV41" s="94">
        <f t="shared" si="27"/>
        <v>22.666666666666668</v>
      </c>
      <c r="AW41" s="97">
        <f t="shared" si="28"/>
        <v>95.600542735023822</v>
      </c>
    </row>
    <row r="42" spans="17:49" x14ac:dyDescent="0.3">
      <c r="Q42" s="32">
        <v>35</v>
      </c>
      <c r="R42" s="96">
        <f t="shared" si="0"/>
        <v>24</v>
      </c>
      <c r="S42" s="94">
        <f t="shared" si="32"/>
        <v>0.97222222222222232</v>
      </c>
      <c r="T42" s="94">
        <f t="shared" si="2"/>
        <v>9</v>
      </c>
      <c r="U42" s="97">
        <f t="shared" si="33"/>
        <v>2.592592592592593</v>
      </c>
      <c r="V42" s="96">
        <f>IF(Variable_Management!$B$20=3,2,IF((S42*R42/T42)&lt;((T42*(1-(T42/R42)))/(2*Lm*Fsw)),1,2))</f>
        <v>2</v>
      </c>
      <c r="W42" s="94">
        <f t="shared" si="34"/>
        <v>0.625</v>
      </c>
      <c r="X42" s="97">
        <f t="shared" si="35"/>
        <v>0.375</v>
      </c>
      <c r="Y42" s="96">
        <f t="shared" si="36"/>
        <v>2.7200193423597678</v>
      </c>
      <c r="Z42" s="94">
        <f t="shared" si="30"/>
        <v>3.9526022637724769</v>
      </c>
      <c r="AA42" s="94">
        <f t="shared" si="31"/>
        <v>2.7088887856585995</v>
      </c>
      <c r="AB42" s="94">
        <v>0</v>
      </c>
      <c r="AC42" s="94">
        <f t="shared" si="37"/>
        <v>1.4676156906133844E-2</v>
      </c>
      <c r="AD42" s="97">
        <f t="shared" si="16"/>
        <v>1.4676156906133844E-2</v>
      </c>
      <c r="AE42" s="96">
        <f t="shared" si="29"/>
        <v>1.6203703703703707</v>
      </c>
      <c r="AF42" s="94">
        <f t="shared" si="17"/>
        <v>2.1415646226922096</v>
      </c>
      <c r="AG42" s="94">
        <f t="shared" si="38"/>
        <v>4.0359431491868075E-2</v>
      </c>
      <c r="AH42" s="94">
        <f t="shared" si="39"/>
        <v>0.26898019657352729</v>
      </c>
      <c r="AI42" s="97">
        <f t="shared" si="19"/>
        <v>0.30933962806539539</v>
      </c>
      <c r="AJ42" s="96">
        <f t="shared" si="20"/>
        <v>0.97222222222222232</v>
      </c>
      <c r="AK42" s="94">
        <f t="shared" si="40"/>
        <v>1.6588488237027794</v>
      </c>
      <c r="AL42" s="94">
        <f t="shared" si="41"/>
        <v>2.421565889512084E-2</v>
      </c>
      <c r="AM42" s="94">
        <f t="shared" si="48"/>
        <v>0.36009600000000008</v>
      </c>
      <c r="AN42" s="237">
        <f t="shared" si="42"/>
        <v>2.7826319936958239E-2</v>
      </c>
      <c r="AO42" s="97">
        <f t="shared" si="24"/>
        <v>0.41213797883207914</v>
      </c>
      <c r="AP42" s="96">
        <f t="shared" si="43"/>
        <v>2.2014235359200766E-2</v>
      </c>
      <c r="AQ42" s="257">
        <f t="shared" si="44"/>
        <v>1.4676156906133844E-2</v>
      </c>
      <c r="AR42" s="257">
        <f t="shared" si="45"/>
        <v>0.24041576743369195</v>
      </c>
      <c r="AS42" s="94">
        <f t="shared" si="46"/>
        <v>4.3999999999999997E-2</v>
      </c>
      <c r="AT42" s="97">
        <f t="shared" si="47"/>
        <v>2.9699999999999997E-5</v>
      </c>
      <c r="AU42" s="96">
        <f t="shared" si="26"/>
        <v>1.057289623502635</v>
      </c>
      <c r="AV42" s="94">
        <f t="shared" si="27"/>
        <v>23.333333333333336</v>
      </c>
      <c r="AW42" s="97">
        <f t="shared" si="28"/>
        <v>95.665179912076397</v>
      </c>
    </row>
    <row r="43" spans="17:49" x14ac:dyDescent="0.3">
      <c r="Q43" s="32">
        <v>36</v>
      </c>
      <c r="R43" s="96">
        <f t="shared" si="0"/>
        <v>24</v>
      </c>
      <c r="S43" s="94">
        <f t="shared" si="32"/>
        <v>1</v>
      </c>
      <c r="T43" s="94">
        <f t="shared" si="2"/>
        <v>9</v>
      </c>
      <c r="U43" s="97">
        <f t="shared" si="33"/>
        <v>2.6666666666666665</v>
      </c>
      <c r="V43" s="96">
        <f>IF(Variable_Management!$B$20=3,2,IF((S43*R43/T43)&lt;((T43*(1-(T43/R43)))/(2*Lm*Fsw)),1,2))</f>
        <v>2</v>
      </c>
      <c r="W43" s="94">
        <f t="shared" si="34"/>
        <v>0.625</v>
      </c>
      <c r="X43" s="97">
        <f t="shared" si="35"/>
        <v>0.375</v>
      </c>
      <c r="Y43" s="96">
        <f t="shared" si="36"/>
        <v>2.7200193423597678</v>
      </c>
      <c r="Z43" s="94">
        <f t="shared" si="30"/>
        <v>4.0266763378465509</v>
      </c>
      <c r="AA43" s="94">
        <f t="shared" si="31"/>
        <v>2.779865682548718</v>
      </c>
      <c r="AB43" s="94">
        <v>0</v>
      </c>
      <c r="AC43" s="94">
        <f t="shared" si="37"/>
        <v>1.54553064260241E-2</v>
      </c>
      <c r="AD43" s="97">
        <f t="shared" si="16"/>
        <v>1.54553064260241E-2</v>
      </c>
      <c r="AE43" s="96">
        <f t="shared" si="29"/>
        <v>1.6666666666666665</v>
      </c>
      <c r="AF43" s="94">
        <f t="shared" si="17"/>
        <v>2.1976767865481337</v>
      </c>
      <c r="AG43" s="94">
        <f t="shared" si="38"/>
        <v>4.250209267156628E-2</v>
      </c>
      <c r="AH43" s="94">
        <f t="shared" si="39"/>
        <v>0.27666534504705664</v>
      </c>
      <c r="AI43" s="97">
        <f t="shared" si="19"/>
        <v>0.31916743771862294</v>
      </c>
      <c r="AJ43" s="96">
        <f t="shared" si="20"/>
        <v>1</v>
      </c>
      <c r="AK43" s="94">
        <f t="shared" si="40"/>
        <v>1.7023131189295109</v>
      </c>
      <c r="AL43" s="94">
        <f t="shared" si="41"/>
        <v>2.5501255602939768E-2</v>
      </c>
      <c r="AM43" s="94">
        <f t="shared" si="48"/>
        <v>0.36009600000000008</v>
      </c>
      <c r="AN43" s="237">
        <f t="shared" si="42"/>
        <v>2.8347801418439719E-2</v>
      </c>
      <c r="AO43" s="97">
        <f t="shared" si="24"/>
        <v>0.41394505702137957</v>
      </c>
      <c r="AP43" s="96">
        <f t="shared" si="43"/>
        <v>2.318295963903615E-2</v>
      </c>
      <c r="AQ43" s="257">
        <f t="shared" si="44"/>
        <v>1.54553064260241E-2</v>
      </c>
      <c r="AR43" s="257">
        <f t="shared" si="45"/>
        <v>0.24041576743369195</v>
      </c>
      <c r="AS43" s="94">
        <f t="shared" si="46"/>
        <v>4.3999999999999997E-2</v>
      </c>
      <c r="AT43" s="97">
        <f t="shared" si="47"/>
        <v>2.9699999999999997E-5</v>
      </c>
      <c r="AU43" s="96">
        <f t="shared" si="26"/>
        <v>1.0716515346647788</v>
      </c>
      <c r="AV43" s="94">
        <f t="shared" si="27"/>
        <v>24</v>
      </c>
      <c r="AW43" s="97">
        <f t="shared" si="28"/>
        <v>95.725644426801793</v>
      </c>
    </row>
    <row r="44" spans="17:49" x14ac:dyDescent="0.3">
      <c r="Q44" s="32">
        <v>37</v>
      </c>
      <c r="R44" s="96">
        <f t="shared" si="0"/>
        <v>24</v>
      </c>
      <c r="S44" s="94">
        <f t="shared" si="32"/>
        <v>1.0277777777777779</v>
      </c>
      <c r="T44" s="94">
        <f t="shared" si="2"/>
        <v>9</v>
      </c>
      <c r="U44" s="97">
        <f t="shared" si="33"/>
        <v>2.7407407407407414</v>
      </c>
      <c r="V44" s="96">
        <f>IF(Variable_Management!$B$20=3,2,IF((S44*R44/T44)&lt;((T44*(1-(T44/R44)))/(2*Lm*Fsw)),1,2))</f>
        <v>2</v>
      </c>
      <c r="W44" s="94">
        <f t="shared" si="34"/>
        <v>0.625</v>
      </c>
      <c r="X44" s="97">
        <f t="shared" si="35"/>
        <v>0.375</v>
      </c>
      <c r="Y44" s="96">
        <f t="shared" si="36"/>
        <v>2.7200193423597678</v>
      </c>
      <c r="Z44" s="94">
        <f t="shared" si="30"/>
        <v>4.1007504119206253</v>
      </c>
      <c r="AA44" s="94">
        <f t="shared" si="31"/>
        <v>2.8510001595680503</v>
      </c>
      <c r="AB44" s="94">
        <v>0</v>
      </c>
      <c r="AC44" s="94">
        <f t="shared" si="37"/>
        <v>1.6256403819714098E-2</v>
      </c>
      <c r="AD44" s="97">
        <f t="shared" si="16"/>
        <v>1.6256403819714098E-2</v>
      </c>
      <c r="AE44" s="96">
        <f t="shared" si="29"/>
        <v>1.7129629629629632</v>
      </c>
      <c r="AF44" s="94">
        <f t="shared" si="17"/>
        <v>2.2539135284346323</v>
      </c>
      <c r="AG44" s="94">
        <f t="shared" si="38"/>
        <v>4.470511050421376E-2</v>
      </c>
      <c r="AH44" s="94">
        <f t="shared" si="39"/>
        <v>0.28435049352058606</v>
      </c>
      <c r="AI44" s="97">
        <f t="shared" si="19"/>
        <v>0.32905560402479983</v>
      </c>
      <c r="AJ44" s="96">
        <f t="shared" si="20"/>
        <v>1.0277777777777781</v>
      </c>
      <c r="AK44" s="94">
        <f t="shared" si="40"/>
        <v>1.7458739118837854</v>
      </c>
      <c r="AL44" s="94">
        <f t="shared" si="41"/>
        <v>2.6823066302528245E-2</v>
      </c>
      <c r="AM44" s="94">
        <f t="shared" si="48"/>
        <v>0.36009600000000008</v>
      </c>
      <c r="AN44" s="237">
        <f t="shared" si="42"/>
        <v>2.8869282899921203E-2</v>
      </c>
      <c r="AO44" s="97">
        <f t="shared" si="24"/>
        <v>0.4157883492024495</v>
      </c>
      <c r="AP44" s="96">
        <f t="shared" si="43"/>
        <v>2.4384605729571147E-2</v>
      </c>
      <c r="AQ44" s="257">
        <f t="shared" si="44"/>
        <v>1.6256403819714098E-2</v>
      </c>
      <c r="AR44" s="257">
        <f t="shared" si="45"/>
        <v>0.24041576743369195</v>
      </c>
      <c r="AS44" s="94">
        <f t="shared" si="46"/>
        <v>4.3999999999999997E-2</v>
      </c>
      <c r="AT44" s="97">
        <f t="shared" si="47"/>
        <v>2.9699999999999997E-5</v>
      </c>
      <c r="AU44" s="96">
        <f t="shared" si="26"/>
        <v>1.0861868340299405</v>
      </c>
      <c r="AV44" s="94">
        <f t="shared" si="27"/>
        <v>24.666666666666671</v>
      </c>
      <c r="AW44" s="97">
        <f t="shared" si="28"/>
        <v>95.782266093345498</v>
      </c>
    </row>
    <row r="45" spans="17:49" x14ac:dyDescent="0.3">
      <c r="Q45" s="32">
        <v>38</v>
      </c>
      <c r="R45" s="96">
        <f t="shared" si="0"/>
        <v>24</v>
      </c>
      <c r="S45" s="94">
        <f t="shared" si="32"/>
        <v>1.0555555555555556</v>
      </c>
      <c r="T45" s="94">
        <f t="shared" si="2"/>
        <v>9</v>
      </c>
      <c r="U45" s="97">
        <f t="shared" si="33"/>
        <v>2.8148148148148149</v>
      </c>
      <c r="V45" s="96">
        <f>IF(Variable_Management!$B$20=3,2,IF((S45*R45/T45)&lt;((T45*(1-(T45/R45)))/(2*Lm*Fsw)),1,2))</f>
        <v>2</v>
      </c>
      <c r="W45" s="94">
        <f t="shared" si="34"/>
        <v>0.625</v>
      </c>
      <c r="X45" s="97">
        <f t="shared" si="35"/>
        <v>0.375</v>
      </c>
      <c r="Y45" s="96">
        <f t="shared" si="36"/>
        <v>2.7200193423597678</v>
      </c>
      <c r="Z45" s="94">
        <f t="shared" si="30"/>
        <v>4.1748244859946988</v>
      </c>
      <c r="AA45" s="94">
        <f t="shared" si="31"/>
        <v>2.9222807092409688</v>
      </c>
      <c r="AB45" s="94">
        <v>0</v>
      </c>
      <c r="AC45" s="94">
        <f t="shared" si="37"/>
        <v>1.70794490872038E-2</v>
      </c>
      <c r="AD45" s="97">
        <f t="shared" si="16"/>
        <v>1.70794490872038E-2</v>
      </c>
      <c r="AE45" s="96">
        <f t="shared" si="29"/>
        <v>1.7592592592592593</v>
      </c>
      <c r="AF45" s="94">
        <f t="shared" si="17"/>
        <v>2.3102657508934303</v>
      </c>
      <c r="AG45" s="94">
        <f t="shared" si="38"/>
        <v>4.6968484989810433E-2</v>
      </c>
      <c r="AH45" s="94">
        <f t="shared" si="39"/>
        <v>0.29203564199411536</v>
      </c>
      <c r="AI45" s="97">
        <f t="shared" si="19"/>
        <v>0.33900412698392579</v>
      </c>
      <c r="AJ45" s="96">
        <f t="shared" si="20"/>
        <v>1.0555555555555556</v>
      </c>
      <c r="AK45" s="94">
        <f t="shared" si="40"/>
        <v>1.7895241557047257</v>
      </c>
      <c r="AL45" s="94">
        <f t="shared" si="41"/>
        <v>2.818109099388626E-2</v>
      </c>
      <c r="AM45" s="94">
        <f t="shared" si="48"/>
        <v>0.36009600000000008</v>
      </c>
      <c r="AN45" s="237">
        <f t="shared" si="42"/>
        <v>2.939076438140268E-2</v>
      </c>
      <c r="AO45" s="97">
        <f t="shared" si="24"/>
        <v>0.41766785537528905</v>
      </c>
      <c r="AP45" s="96">
        <f t="shared" si="43"/>
        <v>2.5619173630805698E-2</v>
      </c>
      <c r="AQ45" s="257">
        <f t="shared" si="44"/>
        <v>1.70794490872038E-2</v>
      </c>
      <c r="AR45" s="257">
        <f t="shared" si="45"/>
        <v>0.24041576743369195</v>
      </c>
      <c r="AS45" s="94">
        <f t="shared" si="46"/>
        <v>4.3999999999999997E-2</v>
      </c>
      <c r="AT45" s="97">
        <f t="shared" si="47"/>
        <v>2.9699999999999997E-5</v>
      </c>
      <c r="AU45" s="96">
        <f t="shared" si="26"/>
        <v>1.1008955215981202</v>
      </c>
      <c r="AV45" s="94">
        <f t="shared" si="27"/>
        <v>25.333333333333336</v>
      </c>
      <c r="AW45" s="97">
        <f t="shared" si="28"/>
        <v>95.835340884579125</v>
      </c>
    </row>
    <row r="46" spans="17:49" x14ac:dyDescent="0.3">
      <c r="Q46" s="32">
        <v>39</v>
      </c>
      <c r="R46" s="96">
        <f t="shared" si="0"/>
        <v>24</v>
      </c>
      <c r="S46" s="94">
        <f t="shared" si="32"/>
        <v>1.0833333333333335</v>
      </c>
      <c r="T46" s="94">
        <f t="shared" si="2"/>
        <v>9</v>
      </c>
      <c r="U46" s="97">
        <f t="shared" si="33"/>
        <v>2.8888888888888893</v>
      </c>
      <c r="V46" s="96">
        <f>IF(Variable_Management!$B$20=3,2,IF((S46*R46/T46)&lt;((T46*(1-(T46/R46)))/(2*Lm*Fsw)),1,2))</f>
        <v>2</v>
      </c>
      <c r="W46" s="94">
        <f t="shared" si="34"/>
        <v>0.625</v>
      </c>
      <c r="X46" s="97">
        <f t="shared" si="35"/>
        <v>0.375</v>
      </c>
      <c r="Y46" s="96">
        <f t="shared" si="36"/>
        <v>2.7200193423597678</v>
      </c>
      <c r="Z46" s="94">
        <f t="shared" si="30"/>
        <v>4.2488985600687732</v>
      </c>
      <c r="AA46" s="94">
        <f t="shared" si="31"/>
        <v>2.9936968975243001</v>
      </c>
      <c r="AB46" s="94">
        <v>0</v>
      </c>
      <c r="AC46" s="94">
        <f t="shared" si="37"/>
        <v>1.792444222849324E-2</v>
      </c>
      <c r="AD46" s="97">
        <f t="shared" si="16"/>
        <v>1.792444222849324E-2</v>
      </c>
      <c r="AE46" s="96">
        <f t="shared" si="29"/>
        <v>1.8055555555555558</v>
      </c>
      <c r="AF46" s="94">
        <f t="shared" si="17"/>
        <v>2.3667252050891197</v>
      </c>
      <c r="AG46" s="94">
        <f t="shared" si="38"/>
        <v>4.9292216128356395E-2</v>
      </c>
      <c r="AH46" s="94">
        <f t="shared" si="39"/>
        <v>0.29972079046764472</v>
      </c>
      <c r="AI46" s="97">
        <f t="shared" si="19"/>
        <v>0.3490130065960011</v>
      </c>
      <c r="AJ46" s="96">
        <f t="shared" si="20"/>
        <v>1.0833333333333335</v>
      </c>
      <c r="AK46" s="94">
        <f t="shared" si="40"/>
        <v>1.8332574608718988</v>
      </c>
      <c r="AL46" s="94">
        <f t="shared" si="41"/>
        <v>2.9575329677013838E-2</v>
      </c>
      <c r="AM46" s="94">
        <f t="shared" si="48"/>
        <v>0.36009600000000008</v>
      </c>
      <c r="AN46" s="237">
        <f t="shared" si="42"/>
        <v>2.9912245862884164E-2</v>
      </c>
      <c r="AO46" s="97">
        <f t="shared" si="24"/>
        <v>0.41958357553989806</v>
      </c>
      <c r="AP46" s="96">
        <f t="shared" si="43"/>
        <v>2.6886663342739862E-2</v>
      </c>
      <c r="AQ46" s="257">
        <f t="shared" si="44"/>
        <v>1.792444222849324E-2</v>
      </c>
      <c r="AR46" s="257">
        <f t="shared" si="45"/>
        <v>0.24041576743369195</v>
      </c>
      <c r="AS46" s="94">
        <f t="shared" si="46"/>
        <v>4.3999999999999997E-2</v>
      </c>
      <c r="AT46" s="97">
        <f t="shared" si="47"/>
        <v>2.9699999999999997E-5</v>
      </c>
      <c r="AU46" s="96">
        <f t="shared" si="26"/>
        <v>1.1157775973693174</v>
      </c>
      <c r="AV46" s="94">
        <f t="shared" si="27"/>
        <v>26.000000000000004</v>
      </c>
      <c r="AW46" s="97">
        <f t="shared" si="28"/>
        <v>95.885135163973445</v>
      </c>
    </row>
    <row r="47" spans="17:49" x14ac:dyDescent="0.3">
      <c r="Q47" s="32">
        <v>40</v>
      </c>
      <c r="R47" s="96">
        <f t="shared" si="0"/>
        <v>24</v>
      </c>
      <c r="S47" s="94">
        <f t="shared" si="32"/>
        <v>1.1111111111111112</v>
      </c>
      <c r="T47" s="94">
        <f t="shared" si="2"/>
        <v>9</v>
      </c>
      <c r="U47" s="97">
        <f t="shared" si="33"/>
        <v>2.9629629629629632</v>
      </c>
      <c r="V47" s="96">
        <f>IF(Variable_Management!$B$20=3,2,IF((S47*R47/T47)&lt;((T47*(1-(T47/R47)))/(2*Lm*Fsw)),1,2))</f>
        <v>2</v>
      </c>
      <c r="W47" s="94">
        <f t="shared" si="34"/>
        <v>0.625</v>
      </c>
      <c r="X47" s="97">
        <f t="shared" si="35"/>
        <v>0.375</v>
      </c>
      <c r="Y47" s="96">
        <f t="shared" si="36"/>
        <v>2.7200193423597678</v>
      </c>
      <c r="Z47" s="94">
        <f t="shared" si="30"/>
        <v>4.3229726341428467</v>
      </c>
      <c r="AA47" s="94">
        <f t="shared" si="31"/>
        <v>3.0652392438097227</v>
      </c>
      <c r="AB47" s="94">
        <v>0</v>
      </c>
      <c r="AC47" s="94">
        <f t="shared" si="37"/>
        <v>1.8791383243582403E-2</v>
      </c>
      <c r="AD47" s="97">
        <f t="shared" si="16"/>
        <v>1.8791383243582403E-2</v>
      </c>
      <c r="AE47" s="96">
        <f t="shared" si="29"/>
        <v>1.8518518518518521</v>
      </c>
      <c r="AF47" s="94">
        <f t="shared" si="17"/>
        <v>2.423284395942725</v>
      </c>
      <c r="AG47" s="94">
        <f t="shared" si="38"/>
        <v>5.1676303919851584E-2</v>
      </c>
      <c r="AH47" s="94">
        <f t="shared" si="39"/>
        <v>0.30740593894117407</v>
      </c>
      <c r="AI47" s="97">
        <f t="shared" si="19"/>
        <v>0.35908224286102564</v>
      </c>
      <c r="AJ47" s="96">
        <f t="shared" si="20"/>
        <v>1.1111111111111112</v>
      </c>
      <c r="AK47" s="94">
        <f t="shared" si="40"/>
        <v>1.877068021722095</v>
      </c>
      <c r="AL47" s="94">
        <f t="shared" si="41"/>
        <v>3.1005782351910954E-2</v>
      </c>
      <c r="AM47" s="94">
        <f t="shared" si="48"/>
        <v>0.36009600000000008</v>
      </c>
      <c r="AN47" s="237">
        <f t="shared" si="42"/>
        <v>3.0433727344365641E-2</v>
      </c>
      <c r="AO47" s="97">
        <f t="shared" si="24"/>
        <v>0.42153550969627673</v>
      </c>
      <c r="AP47" s="96">
        <f t="shared" si="43"/>
        <v>2.8187074865373602E-2</v>
      </c>
      <c r="AQ47" s="257">
        <f t="shared" si="44"/>
        <v>1.8791383243582403E-2</v>
      </c>
      <c r="AR47" s="257">
        <f t="shared" si="45"/>
        <v>0.24041576743369195</v>
      </c>
      <c r="AS47" s="94">
        <f t="shared" si="46"/>
        <v>4.3999999999999997E-2</v>
      </c>
      <c r="AT47" s="97">
        <f t="shared" si="47"/>
        <v>2.9699999999999997E-5</v>
      </c>
      <c r="AU47" s="96">
        <f t="shared" si="26"/>
        <v>1.1308330613435329</v>
      </c>
      <c r="AV47" s="94">
        <f t="shared" si="27"/>
        <v>26.666666666666668</v>
      </c>
      <c r="AW47" s="97">
        <f t="shared" si="28"/>
        <v>95.931889297928308</v>
      </c>
    </row>
    <row r="48" spans="17:49" x14ac:dyDescent="0.3">
      <c r="Q48" s="32">
        <v>41</v>
      </c>
      <c r="R48" s="96">
        <f t="shared" si="0"/>
        <v>24</v>
      </c>
      <c r="S48" s="94">
        <f t="shared" si="32"/>
        <v>1.1388888888888891</v>
      </c>
      <c r="T48" s="94">
        <f t="shared" si="2"/>
        <v>9</v>
      </c>
      <c r="U48" s="97">
        <f t="shared" si="33"/>
        <v>3.0370370370370372</v>
      </c>
      <c r="V48" s="96">
        <f>IF(Variable_Management!$B$20=3,2,IF((S48*R48/T48)&lt;((T48*(1-(T48/R48)))/(2*Lm*Fsw)),1,2))</f>
        <v>2</v>
      </c>
      <c r="W48" s="94">
        <f t="shared" si="34"/>
        <v>0.625</v>
      </c>
      <c r="X48" s="97">
        <f t="shared" si="35"/>
        <v>0.375</v>
      </c>
      <c r="Y48" s="96">
        <f t="shared" si="36"/>
        <v>2.7200193423597678</v>
      </c>
      <c r="Z48" s="94">
        <f t="shared" si="30"/>
        <v>4.3970467082169211</v>
      </c>
      <c r="AA48" s="94">
        <f t="shared" si="31"/>
        <v>3.13689911636247</v>
      </c>
      <c r="AB48" s="94">
        <v>0</v>
      </c>
      <c r="AC48" s="94">
        <f t="shared" si="37"/>
        <v>1.9680272132471293E-2</v>
      </c>
      <c r="AD48" s="97">
        <f t="shared" si="16"/>
        <v>1.9680272132471293E-2</v>
      </c>
      <c r="AE48" s="96">
        <f t="shared" si="29"/>
        <v>1.8981481481481484</v>
      </c>
      <c r="AF48" s="94">
        <f t="shared" si="17"/>
        <v>2.4799364994687418</v>
      </c>
      <c r="AG48" s="94">
        <f t="shared" si="38"/>
        <v>5.4120748364296041E-2</v>
      </c>
      <c r="AH48" s="94">
        <f t="shared" si="39"/>
        <v>0.31509108741470337</v>
      </c>
      <c r="AI48" s="97">
        <f t="shared" si="19"/>
        <v>0.36921183577899941</v>
      </c>
      <c r="AJ48" s="96">
        <f t="shared" si="20"/>
        <v>1.1388888888888888</v>
      </c>
      <c r="AK48" s="94">
        <f t="shared" si="40"/>
        <v>1.920950552418871</v>
      </c>
      <c r="AL48" s="94">
        <f t="shared" si="41"/>
        <v>3.2472449018577619E-2</v>
      </c>
      <c r="AM48" s="94">
        <f t="shared" si="48"/>
        <v>0.36009600000000008</v>
      </c>
      <c r="AN48" s="237">
        <f t="shared" si="42"/>
        <v>3.0955208825847125E-2</v>
      </c>
      <c r="AO48" s="97">
        <f t="shared" si="24"/>
        <v>0.42352365784442481</v>
      </c>
      <c r="AP48" s="96">
        <f t="shared" si="43"/>
        <v>2.9520408198706938E-2</v>
      </c>
      <c r="AQ48" s="257">
        <f t="shared" si="44"/>
        <v>1.9680272132471293E-2</v>
      </c>
      <c r="AR48" s="257">
        <f t="shared" si="45"/>
        <v>0.24041576743369195</v>
      </c>
      <c r="AS48" s="94">
        <f t="shared" si="46"/>
        <v>4.3999999999999997E-2</v>
      </c>
      <c r="AT48" s="97">
        <f t="shared" si="47"/>
        <v>2.9699999999999997E-5</v>
      </c>
      <c r="AU48" s="96">
        <f t="shared" si="26"/>
        <v>1.1460619135207657</v>
      </c>
      <c r="AV48" s="94">
        <f t="shared" si="27"/>
        <v>27.333333333333336</v>
      </c>
      <c r="AW48" s="97">
        <f t="shared" si="28"/>
        <v>95.975820751856162</v>
      </c>
    </row>
    <row r="49" spans="17:49" x14ac:dyDescent="0.3">
      <c r="Q49" s="32">
        <v>42</v>
      </c>
      <c r="R49" s="96">
        <f t="shared" si="0"/>
        <v>24</v>
      </c>
      <c r="S49" s="94">
        <f t="shared" si="32"/>
        <v>1.1666666666666667</v>
      </c>
      <c r="T49" s="94">
        <f t="shared" si="2"/>
        <v>9</v>
      </c>
      <c r="U49" s="97">
        <f t="shared" si="33"/>
        <v>3.1111111111111112</v>
      </c>
      <c r="V49" s="96">
        <f>IF(Variable_Management!$B$20=3,2,IF((S49*R49/T49)&lt;((T49*(1-(T49/R49)))/(2*Lm*Fsw)),1,2))</f>
        <v>2</v>
      </c>
      <c r="W49" s="94">
        <f t="shared" si="34"/>
        <v>0.625</v>
      </c>
      <c r="X49" s="97">
        <f t="shared" si="35"/>
        <v>0.375</v>
      </c>
      <c r="Y49" s="96">
        <f t="shared" si="36"/>
        <v>2.7200193423597678</v>
      </c>
      <c r="Z49" s="94">
        <f t="shared" si="30"/>
        <v>4.4711207822909955</v>
      </c>
      <c r="AA49" s="94">
        <f t="shared" si="31"/>
        <v>3.2086686409755605</v>
      </c>
      <c r="AB49" s="94">
        <v>0</v>
      </c>
      <c r="AC49" s="94">
        <f t="shared" si="37"/>
        <v>2.0591108895159901E-2</v>
      </c>
      <c r="AD49" s="97">
        <f t="shared" si="16"/>
        <v>2.0591108895159901E-2</v>
      </c>
      <c r="AE49" s="96">
        <f t="shared" si="29"/>
        <v>1.9444444444444444</v>
      </c>
      <c r="AF49" s="94">
        <f t="shared" si="17"/>
        <v>2.5366752905599625</v>
      </c>
      <c r="AG49" s="94">
        <f t="shared" si="38"/>
        <v>5.6625549461689746E-2</v>
      </c>
      <c r="AH49" s="94">
        <f t="shared" si="39"/>
        <v>0.32277623588823279</v>
      </c>
      <c r="AI49" s="97">
        <f t="shared" si="19"/>
        <v>0.37940178534992253</v>
      </c>
      <c r="AJ49" s="96">
        <f t="shared" si="20"/>
        <v>1.1666666666666667</v>
      </c>
      <c r="AK49" s="94">
        <f t="shared" si="40"/>
        <v>1.9649002310149191</v>
      </c>
      <c r="AL49" s="94">
        <f t="shared" si="41"/>
        <v>3.3975329677013846E-2</v>
      </c>
      <c r="AM49" s="94">
        <f t="shared" si="48"/>
        <v>0.36009600000000008</v>
      </c>
      <c r="AN49" s="237">
        <f t="shared" si="42"/>
        <v>3.1476690307328609E-2</v>
      </c>
      <c r="AO49" s="97">
        <f t="shared" si="24"/>
        <v>0.42554801998434255</v>
      </c>
      <c r="AP49" s="96">
        <f t="shared" si="43"/>
        <v>3.0886663342739852E-2</v>
      </c>
      <c r="AQ49" s="257">
        <f t="shared" si="44"/>
        <v>2.0591108895159901E-2</v>
      </c>
      <c r="AR49" s="257">
        <f t="shared" si="45"/>
        <v>0.24041576743369195</v>
      </c>
      <c r="AS49" s="94">
        <f t="shared" si="46"/>
        <v>4.3999999999999997E-2</v>
      </c>
      <c r="AT49" s="97">
        <f t="shared" si="47"/>
        <v>2.9699999999999997E-5</v>
      </c>
      <c r="AU49" s="96">
        <f t="shared" si="26"/>
        <v>1.1614641539010169</v>
      </c>
      <c r="AV49" s="94">
        <f t="shared" si="27"/>
        <v>28</v>
      </c>
      <c r="AW49" s="97">
        <f t="shared" si="28"/>
        <v>96.01712675409118</v>
      </c>
    </row>
    <row r="50" spans="17:49" x14ac:dyDescent="0.3">
      <c r="Q50" s="32">
        <v>43</v>
      </c>
      <c r="R50" s="96">
        <f t="shared" si="0"/>
        <v>24</v>
      </c>
      <c r="S50" s="94">
        <f t="shared" si="32"/>
        <v>1.1944444444444444</v>
      </c>
      <c r="T50" s="94">
        <f t="shared" si="2"/>
        <v>9</v>
      </c>
      <c r="U50" s="97">
        <f t="shared" si="33"/>
        <v>3.1851851851851851</v>
      </c>
      <c r="V50" s="96">
        <f>IF(Variable_Management!$B$20=3,2,IF((S50*R50/T50)&lt;((T50*(1-(T50/R50)))/(2*Lm*Fsw)),1,2))</f>
        <v>2</v>
      </c>
      <c r="W50" s="94">
        <f t="shared" si="34"/>
        <v>0.625</v>
      </c>
      <c r="X50" s="97">
        <f t="shared" si="35"/>
        <v>0.375</v>
      </c>
      <c r="Y50" s="96">
        <f t="shared" si="36"/>
        <v>2.7200193423597678</v>
      </c>
      <c r="Z50" s="94">
        <f t="shared" si="30"/>
        <v>4.545194856365069</v>
      </c>
      <c r="AA50" s="94">
        <f t="shared" si="31"/>
        <v>3.2805406209684587</v>
      </c>
      <c r="AB50" s="94">
        <v>0</v>
      </c>
      <c r="AC50" s="94">
        <f t="shared" si="37"/>
        <v>2.1523893531648242E-2</v>
      </c>
      <c r="AD50" s="97">
        <f t="shared" si="16"/>
        <v>2.1523893531648242E-2</v>
      </c>
      <c r="AE50" s="96">
        <f t="shared" si="29"/>
        <v>1.9907407407407407</v>
      </c>
      <c r="AF50" s="94">
        <f t="shared" si="17"/>
        <v>2.5934950797408649</v>
      </c>
      <c r="AG50" s="94">
        <f t="shared" si="38"/>
        <v>5.9190707212032664E-2</v>
      </c>
      <c r="AH50" s="94">
        <f t="shared" si="39"/>
        <v>0.33046138436176209</v>
      </c>
      <c r="AI50" s="97">
        <f t="shared" si="19"/>
        <v>0.38965209157379477</v>
      </c>
      <c r="AJ50" s="96">
        <f t="shared" si="20"/>
        <v>1.1944444444444444</v>
      </c>
      <c r="AK50" s="94">
        <f t="shared" si="40"/>
        <v>2.0089126504614492</v>
      </c>
      <c r="AL50" s="94">
        <f t="shared" si="41"/>
        <v>3.5514424327219594E-2</v>
      </c>
      <c r="AM50" s="94">
        <f t="shared" si="48"/>
        <v>0.36009600000000008</v>
      </c>
      <c r="AN50" s="237">
        <f t="shared" si="42"/>
        <v>3.1998171788810086E-2</v>
      </c>
      <c r="AO50" s="97">
        <f t="shared" si="24"/>
        <v>0.42760859611602975</v>
      </c>
      <c r="AP50" s="96">
        <f t="shared" si="43"/>
        <v>3.2285840297472362E-2</v>
      </c>
      <c r="AQ50" s="257">
        <f t="shared" si="44"/>
        <v>2.1523893531648242E-2</v>
      </c>
      <c r="AR50" s="257">
        <f t="shared" si="45"/>
        <v>0.24041576743369195</v>
      </c>
      <c r="AS50" s="94">
        <f t="shared" si="46"/>
        <v>4.3999999999999997E-2</v>
      </c>
      <c r="AT50" s="97">
        <f t="shared" si="47"/>
        <v>2.9699999999999997E-5</v>
      </c>
      <c r="AU50" s="96">
        <f t="shared" si="26"/>
        <v>1.1770397824842853</v>
      </c>
      <c r="AV50" s="94">
        <f t="shared" si="27"/>
        <v>28.666666666666664</v>
      </c>
      <c r="AW50" s="97">
        <f t="shared" si="28"/>
        <v>96.055986596404239</v>
      </c>
    </row>
    <row r="51" spans="17:49" x14ac:dyDescent="0.3">
      <c r="Q51" s="32">
        <v>44</v>
      </c>
      <c r="R51" s="96">
        <f t="shared" si="0"/>
        <v>24</v>
      </c>
      <c r="S51" s="94">
        <f t="shared" si="32"/>
        <v>1.2222222222222223</v>
      </c>
      <c r="T51" s="94">
        <f t="shared" si="2"/>
        <v>9</v>
      </c>
      <c r="U51" s="97">
        <f t="shared" si="33"/>
        <v>3.2592592592592595</v>
      </c>
      <c r="V51" s="96">
        <f>IF(Variable_Management!$B$20=3,2,IF((S51*R51/T51)&lt;((T51*(1-(T51/R51)))/(2*Lm*Fsw)),1,2))</f>
        <v>2</v>
      </c>
      <c r="W51" s="94">
        <f t="shared" si="34"/>
        <v>0.625</v>
      </c>
      <c r="X51" s="97">
        <f t="shared" si="35"/>
        <v>0.375</v>
      </c>
      <c r="Y51" s="96">
        <f t="shared" si="36"/>
        <v>2.7200193423597678</v>
      </c>
      <c r="Z51" s="94">
        <f t="shared" si="30"/>
        <v>4.6192689304391434</v>
      </c>
      <c r="AA51" s="94">
        <f t="shared" si="31"/>
        <v>3.3525084669495104</v>
      </c>
      <c r="AB51" s="94">
        <v>0</v>
      </c>
      <c r="AC51" s="94">
        <f t="shared" si="37"/>
        <v>2.2478626041936314E-2</v>
      </c>
      <c r="AD51" s="97">
        <f t="shared" si="16"/>
        <v>2.2478626041936314E-2</v>
      </c>
      <c r="AE51" s="96">
        <f t="shared" si="29"/>
        <v>2.0370370370370372</v>
      </c>
      <c r="AF51" s="94">
        <f t="shared" si="17"/>
        <v>2.6503906576399441</v>
      </c>
      <c r="AG51" s="94">
        <f t="shared" si="38"/>
        <v>6.1816221615324844E-2</v>
      </c>
      <c r="AH51" s="94">
        <f t="shared" si="39"/>
        <v>0.3381465328352915</v>
      </c>
      <c r="AI51" s="97">
        <f t="shared" si="19"/>
        <v>0.39996275445061635</v>
      </c>
      <c r="AJ51" s="96">
        <f t="shared" si="20"/>
        <v>1.2222222222222223</v>
      </c>
      <c r="AK51" s="94">
        <f t="shared" si="40"/>
        <v>2.0529837755966454</v>
      </c>
      <c r="AL51" s="94">
        <f t="shared" si="41"/>
        <v>3.7089732969194905E-2</v>
      </c>
      <c r="AM51" s="94">
        <f t="shared" si="48"/>
        <v>0.36009600000000008</v>
      </c>
      <c r="AN51" s="237">
        <f t="shared" si="42"/>
        <v>3.2519653270291569E-2</v>
      </c>
      <c r="AO51" s="97">
        <f t="shared" si="24"/>
        <v>0.42970538623948656</v>
      </c>
      <c r="AP51" s="96">
        <f t="shared" si="43"/>
        <v>3.3717939062904469E-2</v>
      </c>
      <c r="AQ51" s="257">
        <f t="shared" si="44"/>
        <v>2.2478626041936314E-2</v>
      </c>
      <c r="AR51" s="257">
        <f t="shared" si="45"/>
        <v>0.24041576743369195</v>
      </c>
      <c r="AS51" s="94">
        <f t="shared" si="46"/>
        <v>4.3999999999999997E-2</v>
      </c>
      <c r="AT51" s="97">
        <f t="shared" si="47"/>
        <v>2.9699999999999997E-5</v>
      </c>
      <c r="AU51" s="96">
        <f t="shared" si="26"/>
        <v>1.1927887992705719</v>
      </c>
      <c r="AV51" s="94">
        <f t="shared" si="27"/>
        <v>29.333333333333336</v>
      </c>
      <c r="AW51" s="97">
        <f t="shared" si="28"/>
        <v>96.092563627672192</v>
      </c>
    </row>
    <row r="52" spans="17:49" x14ac:dyDescent="0.3">
      <c r="Q52" s="32">
        <v>45</v>
      </c>
      <c r="R52" s="96">
        <f t="shared" si="0"/>
        <v>24</v>
      </c>
      <c r="S52" s="94">
        <f t="shared" si="32"/>
        <v>1.25</v>
      </c>
      <c r="T52" s="94">
        <f t="shared" si="2"/>
        <v>9</v>
      </c>
      <c r="U52" s="97">
        <f t="shared" si="33"/>
        <v>3.3333333333333335</v>
      </c>
      <c r="V52" s="96">
        <f>IF(Variable_Management!$B$20=3,2,IF((S52*R52/T52)&lt;((T52*(1-(T52/R52)))/(2*Lm*Fsw)),1,2))</f>
        <v>2</v>
      </c>
      <c r="W52" s="94">
        <f t="shared" si="34"/>
        <v>0.625</v>
      </c>
      <c r="X52" s="97">
        <f t="shared" si="35"/>
        <v>0.375</v>
      </c>
      <c r="Y52" s="96">
        <f t="shared" si="36"/>
        <v>2.7200193423597678</v>
      </c>
      <c r="Z52" s="94">
        <f t="shared" si="30"/>
        <v>4.693343004513217</v>
      </c>
      <c r="AA52" s="94">
        <f t="shared" si="31"/>
        <v>3.4245661350033889</v>
      </c>
      <c r="AB52" s="94">
        <v>0</v>
      </c>
      <c r="AC52" s="94">
        <f t="shared" si="37"/>
        <v>2.34553064260241E-2</v>
      </c>
      <c r="AD52" s="97">
        <f t="shared" si="16"/>
        <v>2.34553064260241E-2</v>
      </c>
      <c r="AE52" s="96">
        <f t="shared" si="29"/>
        <v>2.0833333333333335</v>
      </c>
      <c r="AF52" s="94">
        <f t="shared" si="17"/>
        <v>2.7073572461225965</v>
      </c>
      <c r="AG52" s="94">
        <f t="shared" si="38"/>
        <v>6.4502092671566258E-2</v>
      </c>
      <c r="AH52" s="94">
        <f t="shared" si="39"/>
        <v>0.3458316813088208</v>
      </c>
      <c r="AI52" s="97">
        <f t="shared" si="19"/>
        <v>0.41033377398038706</v>
      </c>
      <c r="AJ52" s="96">
        <f t="shared" si="20"/>
        <v>1.25</v>
      </c>
      <c r="AK52" s="94">
        <f t="shared" si="40"/>
        <v>2.0971099052933582</v>
      </c>
      <c r="AL52" s="94">
        <f t="shared" si="41"/>
        <v>3.8701255602939758E-2</v>
      </c>
      <c r="AM52" s="94">
        <f t="shared" si="48"/>
        <v>0.36009600000000008</v>
      </c>
      <c r="AN52" s="237">
        <f t="shared" si="42"/>
        <v>3.3041134751773046E-2</v>
      </c>
      <c r="AO52" s="97">
        <f t="shared" si="24"/>
        <v>0.43183839035471289</v>
      </c>
      <c r="AP52" s="96">
        <f t="shared" si="43"/>
        <v>3.518295963903615E-2</v>
      </c>
      <c r="AQ52" s="257">
        <f t="shared" si="44"/>
        <v>2.34553064260241E-2</v>
      </c>
      <c r="AR52" s="257">
        <f t="shared" si="45"/>
        <v>0.24041576743369195</v>
      </c>
      <c r="AS52" s="94">
        <f t="shared" si="46"/>
        <v>4.3999999999999997E-2</v>
      </c>
      <c r="AT52" s="97">
        <f t="shared" si="47"/>
        <v>2.9699999999999997E-5</v>
      </c>
      <c r="AU52" s="96">
        <f t="shared" si="26"/>
        <v>1.2087112042598764</v>
      </c>
      <c r="AV52" s="94">
        <f t="shared" si="27"/>
        <v>30</v>
      </c>
      <c r="AW52" s="97">
        <f t="shared" si="28"/>
        <v>96.127006987411605</v>
      </c>
    </row>
    <row r="53" spans="17:49" x14ac:dyDescent="0.3">
      <c r="Q53" s="32">
        <v>46</v>
      </c>
      <c r="R53" s="96">
        <f t="shared" si="0"/>
        <v>24</v>
      </c>
      <c r="S53" s="94">
        <f t="shared" si="32"/>
        <v>1.2777777777777779</v>
      </c>
      <c r="T53" s="94">
        <f t="shared" si="2"/>
        <v>9</v>
      </c>
      <c r="U53" s="97">
        <f t="shared" si="33"/>
        <v>3.4074074074074079</v>
      </c>
      <c r="V53" s="96">
        <f>IF(Variable_Management!$B$20=3,2,IF((S53*R53/T53)&lt;((T53*(1-(T53/R53)))/(2*Lm*Fsw)),1,2))</f>
        <v>2</v>
      </c>
      <c r="W53" s="94">
        <f t="shared" si="34"/>
        <v>0.625</v>
      </c>
      <c r="X53" s="97">
        <f t="shared" si="35"/>
        <v>0.375</v>
      </c>
      <c r="Y53" s="96">
        <f t="shared" si="36"/>
        <v>2.7200193423597678</v>
      </c>
      <c r="Z53" s="94">
        <f t="shared" si="30"/>
        <v>4.7674170785872914</v>
      </c>
      <c r="AA53" s="94">
        <f t="shared" si="31"/>
        <v>3.4967080721667072</v>
      </c>
      <c r="AB53" s="94">
        <v>0</v>
      </c>
      <c r="AC53" s="94">
        <f t="shared" si="37"/>
        <v>2.4453934683911618E-2</v>
      </c>
      <c r="AD53" s="97">
        <f t="shared" si="16"/>
        <v>2.4453934683911618E-2</v>
      </c>
      <c r="AE53" s="96">
        <f t="shared" si="29"/>
        <v>2.1296296296296298</v>
      </c>
      <c r="AF53" s="94">
        <f t="shared" si="17"/>
        <v>2.7643904551858047</v>
      </c>
      <c r="AG53" s="94">
        <f t="shared" si="38"/>
        <v>6.7248320380756954E-2</v>
      </c>
      <c r="AH53" s="94">
        <f t="shared" si="39"/>
        <v>0.35351682978235016</v>
      </c>
      <c r="AI53" s="97">
        <f t="shared" si="19"/>
        <v>0.42076515016310712</v>
      </c>
      <c r="AJ53" s="96">
        <f t="shared" si="20"/>
        <v>1.2777777777777779</v>
      </c>
      <c r="AK53" s="94">
        <f t="shared" si="40"/>
        <v>2.1412876390698723</v>
      </c>
      <c r="AL53" s="94">
        <f t="shared" si="41"/>
        <v>4.0348992228454165E-2</v>
      </c>
      <c r="AM53" s="94">
        <f t="shared" si="48"/>
        <v>0.36009600000000008</v>
      </c>
      <c r="AN53" s="237">
        <f t="shared" si="42"/>
        <v>3.356261623325453E-2</v>
      </c>
      <c r="AO53" s="97">
        <f t="shared" si="24"/>
        <v>0.43400760846170877</v>
      </c>
      <c r="AP53" s="96">
        <f t="shared" si="43"/>
        <v>3.6680902025867428E-2</v>
      </c>
      <c r="AQ53" s="257">
        <f t="shared" si="44"/>
        <v>2.4453934683911618E-2</v>
      </c>
      <c r="AR53" s="257">
        <f t="shared" si="45"/>
        <v>0.24041576743369195</v>
      </c>
      <c r="AS53" s="94">
        <f t="shared" si="46"/>
        <v>4.3999999999999997E-2</v>
      </c>
      <c r="AT53" s="97">
        <f t="shared" si="47"/>
        <v>2.9699999999999997E-5</v>
      </c>
      <c r="AU53" s="96">
        <f t="shared" si="26"/>
        <v>1.2248069974521987</v>
      </c>
      <c r="AV53" s="94">
        <f t="shared" si="27"/>
        <v>30.666666666666671</v>
      </c>
      <c r="AW53" s="97">
        <f t="shared" si="28"/>
        <v>96.159453117934063</v>
      </c>
    </row>
    <row r="54" spans="17:49" x14ac:dyDescent="0.3">
      <c r="Q54" s="32">
        <v>47</v>
      </c>
      <c r="R54" s="96">
        <f t="shared" si="0"/>
        <v>24</v>
      </c>
      <c r="S54" s="94">
        <f t="shared" si="32"/>
        <v>1.3055555555555556</v>
      </c>
      <c r="T54" s="94">
        <f t="shared" si="2"/>
        <v>9</v>
      </c>
      <c r="U54" s="97">
        <f t="shared" si="33"/>
        <v>3.4814814814814818</v>
      </c>
      <c r="V54" s="96">
        <f>IF(Variable_Management!$B$20=3,2,IF((S54*R54/T54)&lt;((T54*(1-(T54/R54)))/(2*Lm*Fsw)),1,2))</f>
        <v>2</v>
      </c>
      <c r="W54" s="94">
        <f t="shared" si="34"/>
        <v>0.625</v>
      </c>
      <c r="X54" s="97">
        <f t="shared" si="35"/>
        <v>0.375</v>
      </c>
      <c r="Y54" s="96">
        <f t="shared" si="36"/>
        <v>2.7200193423597678</v>
      </c>
      <c r="Z54" s="94">
        <f t="shared" si="30"/>
        <v>4.8414911526613658</v>
      </c>
      <c r="AA54" s="94">
        <f t="shared" si="31"/>
        <v>3.5689291682239133</v>
      </c>
      <c r="AB54" s="94">
        <v>0</v>
      </c>
      <c r="AC54" s="94">
        <f t="shared" si="37"/>
        <v>2.5474510815598865E-2</v>
      </c>
      <c r="AD54" s="97">
        <f t="shared" si="16"/>
        <v>2.5474510815598865E-2</v>
      </c>
      <c r="AE54" s="96">
        <f t="shared" si="29"/>
        <v>2.175925925925926</v>
      </c>
      <c r="AF54" s="94">
        <f t="shared" si="17"/>
        <v>2.8214862448494489</v>
      </c>
      <c r="AG54" s="94">
        <f t="shared" si="38"/>
        <v>7.005490474289687E-2</v>
      </c>
      <c r="AH54" s="94">
        <f t="shared" si="39"/>
        <v>0.36120197825587952</v>
      </c>
      <c r="AI54" s="97">
        <f t="shared" si="19"/>
        <v>0.4312568829987764</v>
      </c>
      <c r="AJ54" s="96">
        <f t="shared" si="20"/>
        <v>1.3055555555555558</v>
      </c>
      <c r="AK54" s="94">
        <f t="shared" si="40"/>
        <v>2.1855138475710434</v>
      </c>
      <c r="AL54" s="94">
        <f t="shared" si="41"/>
        <v>4.2032942845738115E-2</v>
      </c>
      <c r="AM54" s="94">
        <f t="shared" si="48"/>
        <v>0.36009600000000008</v>
      </c>
      <c r="AN54" s="237">
        <f t="shared" si="42"/>
        <v>3.4084097714736014E-2</v>
      </c>
      <c r="AO54" s="97">
        <f t="shared" si="24"/>
        <v>0.43621304056047422</v>
      </c>
      <c r="AP54" s="96">
        <f t="shared" si="43"/>
        <v>3.8211766223398301E-2</v>
      </c>
      <c r="AQ54" s="257">
        <f t="shared" si="44"/>
        <v>2.5474510815598865E-2</v>
      </c>
      <c r="AR54" s="257">
        <f t="shared" si="45"/>
        <v>0.24041576743369195</v>
      </c>
      <c r="AS54" s="94">
        <f t="shared" si="46"/>
        <v>4.3999999999999997E-2</v>
      </c>
      <c r="AT54" s="97">
        <f t="shared" si="47"/>
        <v>2.9699999999999997E-5</v>
      </c>
      <c r="AU54" s="96">
        <f t="shared" si="26"/>
        <v>1.2410761788475386</v>
      </c>
      <c r="AV54" s="94">
        <f t="shared" si="27"/>
        <v>31.333333333333336</v>
      </c>
      <c r="AW54" s="97">
        <f t="shared" si="28"/>
        <v>96.190027087418272</v>
      </c>
    </row>
    <row r="55" spans="17:49" x14ac:dyDescent="0.3">
      <c r="Q55" s="32">
        <v>48</v>
      </c>
      <c r="R55" s="96">
        <f t="shared" si="0"/>
        <v>24</v>
      </c>
      <c r="S55" s="94">
        <f t="shared" si="32"/>
        <v>1.3333333333333335</v>
      </c>
      <c r="T55" s="94">
        <f t="shared" si="2"/>
        <v>9</v>
      </c>
      <c r="U55" s="97">
        <f t="shared" si="33"/>
        <v>3.5555555555555554</v>
      </c>
      <c r="V55" s="96">
        <f>IF(Variable_Management!$B$20=3,2,IF((S55*R55/T55)&lt;((T55*(1-(T55/R55)))/(2*Lm*Fsw)),1,2))</f>
        <v>2</v>
      </c>
      <c r="W55" s="94">
        <f t="shared" si="34"/>
        <v>0.625</v>
      </c>
      <c r="X55" s="97">
        <f t="shared" si="35"/>
        <v>0.375</v>
      </c>
      <c r="Y55" s="96">
        <f t="shared" si="36"/>
        <v>2.7200193423597678</v>
      </c>
      <c r="Z55" s="94">
        <f t="shared" si="30"/>
        <v>4.9155652267354393</v>
      </c>
      <c r="AA55" s="94">
        <f t="shared" si="31"/>
        <v>3.6412247129973885</v>
      </c>
      <c r="AB55" s="94">
        <v>0</v>
      </c>
      <c r="AC55" s="94">
        <f t="shared" si="37"/>
        <v>2.651703482108583E-2</v>
      </c>
      <c r="AD55" s="97">
        <f t="shared" si="16"/>
        <v>2.651703482108583E-2</v>
      </c>
      <c r="AE55" s="96">
        <f t="shared" si="29"/>
        <v>2.2222222222222223</v>
      </c>
      <c r="AF55" s="94">
        <f t="shared" si="17"/>
        <v>2.8786408913911647</v>
      </c>
      <c r="AG55" s="94">
        <f t="shared" si="38"/>
        <v>7.2921845757986006E-2</v>
      </c>
      <c r="AH55" s="94">
        <f t="shared" si="39"/>
        <v>0.36888712672940882</v>
      </c>
      <c r="AI55" s="97">
        <f t="shared" si="19"/>
        <v>0.44180897248739481</v>
      </c>
      <c r="AJ55" s="96">
        <f t="shared" si="20"/>
        <v>1.3333333333333333</v>
      </c>
      <c r="AK55" s="94">
        <f t="shared" si="40"/>
        <v>2.229785646413931</v>
      </c>
      <c r="AL55" s="94">
        <f t="shared" si="41"/>
        <v>4.3753107454791614E-2</v>
      </c>
      <c r="AM55" s="94">
        <f t="shared" si="48"/>
        <v>0.36009600000000008</v>
      </c>
      <c r="AN55" s="237">
        <f t="shared" si="42"/>
        <v>3.4605579196217491E-2</v>
      </c>
      <c r="AO55" s="97">
        <f t="shared" si="24"/>
        <v>0.43845468665100917</v>
      </c>
      <c r="AP55" s="96">
        <f t="shared" si="43"/>
        <v>3.9775552231628743E-2</v>
      </c>
      <c r="AQ55" s="257">
        <f t="shared" si="44"/>
        <v>2.651703482108583E-2</v>
      </c>
      <c r="AR55" s="257">
        <f t="shared" si="45"/>
        <v>0.24041576743369195</v>
      </c>
      <c r="AS55" s="94">
        <f t="shared" si="46"/>
        <v>4.3999999999999997E-2</v>
      </c>
      <c r="AT55" s="97">
        <f t="shared" si="47"/>
        <v>2.9699999999999997E-5</v>
      </c>
      <c r="AU55" s="96">
        <f t="shared" si="26"/>
        <v>1.2575187484458965</v>
      </c>
      <c r="AV55" s="94">
        <f t="shared" si="27"/>
        <v>32</v>
      </c>
      <c r="AW55" s="97">
        <f t="shared" si="28"/>
        <v>96.21884375091976</v>
      </c>
    </row>
    <row r="56" spans="17:49" x14ac:dyDescent="0.3">
      <c r="Q56" s="32">
        <v>49</v>
      </c>
      <c r="R56" s="96">
        <f t="shared" si="0"/>
        <v>24</v>
      </c>
      <c r="S56" s="94">
        <f t="shared" si="32"/>
        <v>1.3611111111111112</v>
      </c>
      <c r="T56" s="94">
        <f t="shared" si="2"/>
        <v>9</v>
      </c>
      <c r="U56" s="97">
        <f t="shared" si="33"/>
        <v>3.6296296296296302</v>
      </c>
      <c r="V56" s="96">
        <f>IF(Variable_Management!$B$20=3,2,IF((S56*R56/T56)&lt;((T56*(1-(T56/R56)))/(2*Lm*Fsw)),1,2))</f>
        <v>2</v>
      </c>
      <c r="W56" s="94">
        <f t="shared" si="34"/>
        <v>0.625</v>
      </c>
      <c r="X56" s="97">
        <f t="shared" si="35"/>
        <v>0.375</v>
      </c>
      <c r="Y56" s="96">
        <f t="shared" si="36"/>
        <v>2.7200193423597678</v>
      </c>
      <c r="Z56" s="94">
        <f t="shared" si="30"/>
        <v>4.9896393008095146</v>
      </c>
      <c r="AA56" s="94">
        <f t="shared" si="31"/>
        <v>3.7135903584248848</v>
      </c>
      <c r="AB56" s="94">
        <v>0</v>
      </c>
      <c r="AC56" s="94">
        <f t="shared" si="37"/>
        <v>2.7581506700372529E-2</v>
      </c>
      <c r="AD56" s="97">
        <f t="shared" si="16"/>
        <v>2.7581506700372529E-2</v>
      </c>
      <c r="AE56" s="96">
        <f t="shared" si="29"/>
        <v>2.268518518518519</v>
      </c>
      <c r="AF56" s="94">
        <f t="shared" si="17"/>
        <v>2.9358509573659246</v>
      </c>
      <c r="AG56" s="94">
        <f t="shared" si="38"/>
        <v>7.584914342602446E-2</v>
      </c>
      <c r="AH56" s="94">
        <f t="shared" si="39"/>
        <v>0.37657227520293829</v>
      </c>
      <c r="AI56" s="97">
        <f t="shared" si="19"/>
        <v>0.45242141862896273</v>
      </c>
      <c r="AJ56" s="96">
        <f t="shared" si="20"/>
        <v>1.3611111111111114</v>
      </c>
      <c r="AK56" s="94">
        <f t="shared" si="40"/>
        <v>2.2741003729650657</v>
      </c>
      <c r="AL56" s="94">
        <f t="shared" si="41"/>
        <v>4.5509486055614688E-2</v>
      </c>
      <c r="AM56" s="94">
        <f t="shared" si="48"/>
        <v>0.36009600000000008</v>
      </c>
      <c r="AN56" s="237">
        <f t="shared" si="42"/>
        <v>3.5127060677698982E-2</v>
      </c>
      <c r="AO56" s="97">
        <f t="shared" si="24"/>
        <v>0.44073254673331375</v>
      </c>
      <c r="AP56" s="96">
        <f t="shared" si="43"/>
        <v>4.1372260050558794E-2</v>
      </c>
      <c r="AQ56" s="257">
        <f t="shared" si="44"/>
        <v>2.7581506700372529E-2</v>
      </c>
      <c r="AR56" s="257">
        <f t="shared" si="45"/>
        <v>0.24041576743369195</v>
      </c>
      <c r="AS56" s="94">
        <f t="shared" si="46"/>
        <v>4.3999999999999997E-2</v>
      </c>
      <c r="AT56" s="97">
        <f t="shared" si="47"/>
        <v>2.9699999999999997E-5</v>
      </c>
      <c r="AU56" s="96">
        <f t="shared" si="26"/>
        <v>1.2741347062472723</v>
      </c>
      <c r="AV56" s="94">
        <f t="shared" si="27"/>
        <v>32.666666666666671</v>
      </c>
      <c r="AW56" s="97">
        <f t="shared" si="28"/>
        <v>96.246008772014207</v>
      </c>
    </row>
    <row r="57" spans="17:49" x14ac:dyDescent="0.3">
      <c r="Q57" s="32">
        <v>50</v>
      </c>
      <c r="R57" s="96">
        <f t="shared" si="0"/>
        <v>24</v>
      </c>
      <c r="S57" s="94">
        <f t="shared" si="32"/>
        <v>1.3888888888888891</v>
      </c>
      <c r="T57" s="94">
        <f t="shared" si="2"/>
        <v>9</v>
      </c>
      <c r="U57" s="97">
        <f t="shared" si="33"/>
        <v>3.7037037037037042</v>
      </c>
      <c r="V57" s="96">
        <f>IF(Variable_Management!$B$20=3,2,IF((S57*R57/T57)&lt;((T57*(1-(T57/R57)))/(2*Lm*Fsw)),1,2))</f>
        <v>2</v>
      </c>
      <c r="W57" s="94">
        <f t="shared" si="34"/>
        <v>0.625</v>
      </c>
      <c r="X57" s="97">
        <f t="shared" si="35"/>
        <v>0.375</v>
      </c>
      <c r="Y57" s="96">
        <f t="shared" si="36"/>
        <v>2.7200193423597678</v>
      </c>
      <c r="Z57" s="94">
        <f t="shared" si="30"/>
        <v>5.0637133748835881</v>
      </c>
      <c r="AA57" s="94">
        <f t="shared" si="31"/>
        <v>3.7860220848179784</v>
      </c>
      <c r="AB57" s="94">
        <v>0</v>
      </c>
      <c r="AC57" s="94">
        <f t="shared" si="37"/>
        <v>2.8667926453458944E-2</v>
      </c>
      <c r="AD57" s="97">
        <f t="shared" si="16"/>
        <v>2.8667926453458944E-2</v>
      </c>
      <c r="AE57" s="96">
        <f t="shared" si="29"/>
        <v>2.3148148148148149</v>
      </c>
      <c r="AF57" s="94">
        <f t="shared" si="17"/>
        <v>2.9931132649310017</v>
      </c>
      <c r="AG57" s="94">
        <f t="shared" si="38"/>
        <v>7.8836797747012119E-2</v>
      </c>
      <c r="AH57" s="94">
        <f t="shared" si="39"/>
        <v>0.38425742367646765</v>
      </c>
      <c r="AI57" s="97">
        <f t="shared" si="19"/>
        <v>0.46309422142347978</v>
      </c>
      <c r="AJ57" s="96">
        <f t="shared" si="20"/>
        <v>1.3888888888888891</v>
      </c>
      <c r="AK57" s="94">
        <f t="shared" si="40"/>
        <v>2.3184555656780557</v>
      </c>
      <c r="AL57" s="94">
        <f t="shared" si="41"/>
        <v>4.730207864820727E-2</v>
      </c>
      <c r="AM57" s="94">
        <f t="shared" si="48"/>
        <v>0.36009600000000008</v>
      </c>
      <c r="AN57" s="237">
        <f t="shared" si="42"/>
        <v>3.5648542159180459E-2</v>
      </c>
      <c r="AO57" s="97">
        <f t="shared" si="24"/>
        <v>0.44304662080738783</v>
      </c>
      <c r="AP57" s="96">
        <f t="shared" si="43"/>
        <v>4.3001889680188414E-2</v>
      </c>
      <c r="AQ57" s="257">
        <f t="shared" si="44"/>
        <v>2.8667926453458944E-2</v>
      </c>
      <c r="AR57" s="257">
        <f t="shared" si="45"/>
        <v>0.24041576743369195</v>
      </c>
      <c r="AS57" s="94">
        <f t="shared" si="46"/>
        <v>4.3999999999999997E-2</v>
      </c>
      <c r="AT57" s="97">
        <f t="shared" si="47"/>
        <v>2.9699999999999997E-5</v>
      </c>
      <c r="AU57" s="96">
        <f t="shared" si="26"/>
        <v>1.2909240522516658</v>
      </c>
      <c r="AV57" s="94">
        <f t="shared" si="27"/>
        <v>33.333333333333336</v>
      </c>
      <c r="AW57" s="97">
        <f t="shared" si="28"/>
        <v>96.271619524209314</v>
      </c>
    </row>
    <row r="58" spans="17:49" x14ac:dyDescent="0.3">
      <c r="Q58" s="32">
        <v>51</v>
      </c>
      <c r="R58" s="96">
        <f t="shared" si="0"/>
        <v>24</v>
      </c>
      <c r="S58" s="94">
        <f t="shared" si="32"/>
        <v>1.4166666666666667</v>
      </c>
      <c r="T58" s="94">
        <f t="shared" si="2"/>
        <v>9</v>
      </c>
      <c r="U58" s="97">
        <f t="shared" si="33"/>
        <v>3.7777777777777777</v>
      </c>
      <c r="V58" s="96">
        <f>IF(Variable_Management!$B$20=3,2,IF((S58*R58/T58)&lt;((T58*(1-(T58/R58)))/(2*Lm*Fsw)),1,2))</f>
        <v>2</v>
      </c>
      <c r="W58" s="94">
        <f t="shared" si="34"/>
        <v>0.625</v>
      </c>
      <c r="X58" s="97">
        <f t="shared" si="35"/>
        <v>0.375</v>
      </c>
      <c r="Y58" s="96">
        <f t="shared" si="36"/>
        <v>2.7200193423597678</v>
      </c>
      <c r="Z58" s="94">
        <f t="shared" si="30"/>
        <v>5.1377874489576616</v>
      </c>
      <c r="AA58" s="94">
        <f t="shared" si="31"/>
        <v>3.8585161707802316</v>
      </c>
      <c r="AB58" s="94">
        <v>0</v>
      </c>
      <c r="AC58" s="94">
        <f t="shared" si="37"/>
        <v>2.9776294080345083E-2</v>
      </c>
      <c r="AD58" s="97">
        <f t="shared" si="16"/>
        <v>2.9776294080345083E-2</v>
      </c>
      <c r="AE58" s="96">
        <f t="shared" si="29"/>
        <v>2.3611111111111112</v>
      </c>
      <c r="AF58" s="94">
        <f t="shared" si="17"/>
        <v>3.0504248720641916</v>
      </c>
      <c r="AG58" s="94">
        <f t="shared" si="38"/>
        <v>8.1884808720948998E-2</v>
      </c>
      <c r="AH58" s="94">
        <f t="shared" si="39"/>
        <v>0.39194257214999684</v>
      </c>
      <c r="AI58" s="97">
        <f t="shared" si="19"/>
        <v>0.47382738087094584</v>
      </c>
      <c r="AJ58" s="96">
        <f t="shared" si="20"/>
        <v>1.4166666666666665</v>
      </c>
      <c r="AK58" s="94">
        <f t="shared" si="40"/>
        <v>2.3628489456723005</v>
      </c>
      <c r="AL58" s="94">
        <f t="shared" si="41"/>
        <v>4.913088523256938E-2</v>
      </c>
      <c r="AM58" s="94">
        <f t="shared" si="48"/>
        <v>0.36009600000000008</v>
      </c>
      <c r="AN58" s="237">
        <f t="shared" si="42"/>
        <v>3.6170023640661936E-2</v>
      </c>
      <c r="AO58" s="97">
        <f t="shared" si="24"/>
        <v>0.44539690887323136</v>
      </c>
      <c r="AP58" s="96">
        <f t="shared" si="43"/>
        <v>4.4664441120517623E-2</v>
      </c>
      <c r="AQ58" s="257">
        <f t="shared" si="44"/>
        <v>2.9776294080345083E-2</v>
      </c>
      <c r="AR58" s="257">
        <f t="shared" si="45"/>
        <v>0.24041576743369195</v>
      </c>
      <c r="AS58" s="94">
        <f t="shared" si="46"/>
        <v>4.3999999999999997E-2</v>
      </c>
      <c r="AT58" s="97">
        <f t="shared" si="47"/>
        <v>2.9699999999999997E-5</v>
      </c>
      <c r="AU58" s="96">
        <f t="shared" si="26"/>
        <v>1.3078867864590769</v>
      </c>
      <c r="AV58" s="94">
        <f t="shared" si="27"/>
        <v>34</v>
      </c>
      <c r="AW58" s="97">
        <f t="shared" si="28"/>
        <v>96.295765888315159</v>
      </c>
    </row>
    <row r="59" spans="17:49" x14ac:dyDescent="0.3">
      <c r="Q59" s="32">
        <v>52</v>
      </c>
      <c r="R59" s="96">
        <f t="shared" si="0"/>
        <v>24</v>
      </c>
      <c r="S59" s="94">
        <f t="shared" si="32"/>
        <v>1.4444444444444446</v>
      </c>
      <c r="T59" s="94">
        <f t="shared" si="2"/>
        <v>9</v>
      </c>
      <c r="U59" s="97">
        <f t="shared" si="33"/>
        <v>3.8518518518518525</v>
      </c>
      <c r="V59" s="96">
        <f>IF(Variable_Management!$B$20=3,2,IF((S59*R59/T59)&lt;((T59*(1-(T59/R59)))/(2*Lm*Fsw)),1,2))</f>
        <v>2</v>
      </c>
      <c r="W59" s="94">
        <f t="shared" si="34"/>
        <v>0.625</v>
      </c>
      <c r="X59" s="97">
        <f t="shared" si="35"/>
        <v>0.375</v>
      </c>
      <c r="Y59" s="96">
        <f t="shared" si="36"/>
        <v>2.7200193423597678</v>
      </c>
      <c r="Z59" s="94">
        <f t="shared" si="30"/>
        <v>5.211861523031736</v>
      </c>
      <c r="AA59" s="94">
        <f t="shared" si="31"/>
        <v>3.9310691663357291</v>
      </c>
      <c r="AB59" s="94">
        <v>0</v>
      </c>
      <c r="AC59" s="94">
        <f t="shared" si="37"/>
        <v>3.0906609581030968E-2</v>
      </c>
      <c r="AD59" s="97">
        <f t="shared" si="16"/>
        <v>3.0906609581030968E-2</v>
      </c>
      <c r="AE59" s="96">
        <f t="shared" si="29"/>
        <v>2.4074074074074079</v>
      </c>
      <c r="AF59" s="94">
        <f t="shared" si="17"/>
        <v>3.1077830513200522</v>
      </c>
      <c r="AG59" s="94">
        <f t="shared" si="38"/>
        <v>8.4993176347835125E-2</v>
      </c>
      <c r="AH59" s="94">
        <f t="shared" si="39"/>
        <v>0.39962772062352631</v>
      </c>
      <c r="AI59" s="97">
        <f t="shared" si="19"/>
        <v>0.48462089697136146</v>
      </c>
      <c r="AJ59" s="96">
        <f t="shared" si="20"/>
        <v>1.4444444444444446</v>
      </c>
      <c r="AK59" s="94">
        <f t="shared" si="40"/>
        <v>2.4072784002776464</v>
      </c>
      <c r="AL59" s="94">
        <f t="shared" si="41"/>
        <v>5.0995905808701086E-2</v>
      </c>
      <c r="AM59" s="94">
        <f t="shared" si="48"/>
        <v>0.36009600000000008</v>
      </c>
      <c r="AN59" s="237">
        <f t="shared" si="42"/>
        <v>3.669150512214342E-2</v>
      </c>
      <c r="AO59" s="97">
        <f t="shared" si="24"/>
        <v>0.44778341093084456</v>
      </c>
      <c r="AP59" s="96">
        <f t="shared" si="43"/>
        <v>4.6359914371546448E-2</v>
      </c>
      <c r="AQ59" s="257">
        <f t="shared" si="44"/>
        <v>3.0906609581030968E-2</v>
      </c>
      <c r="AR59" s="257">
        <f t="shared" si="45"/>
        <v>0.24041576743369195</v>
      </c>
      <c r="AS59" s="94">
        <f t="shared" si="46"/>
        <v>4.3999999999999997E-2</v>
      </c>
      <c r="AT59" s="97">
        <f t="shared" si="47"/>
        <v>2.9699999999999997E-5</v>
      </c>
      <c r="AU59" s="96">
        <f t="shared" si="26"/>
        <v>1.3250229088695062</v>
      </c>
      <c r="AV59" s="94">
        <f t="shared" si="27"/>
        <v>34.666666666666671</v>
      </c>
      <c r="AW59" s="97">
        <f t="shared" si="28"/>
        <v>96.318530959518682</v>
      </c>
    </row>
    <row r="60" spans="17:49" x14ac:dyDescent="0.3">
      <c r="Q60" s="32">
        <v>53</v>
      </c>
      <c r="R60" s="96">
        <f t="shared" si="0"/>
        <v>24</v>
      </c>
      <c r="S60" s="94">
        <f t="shared" si="32"/>
        <v>1.4722222222222223</v>
      </c>
      <c r="T60" s="94">
        <f t="shared" si="2"/>
        <v>9</v>
      </c>
      <c r="U60" s="97">
        <f t="shared" si="33"/>
        <v>3.925925925925926</v>
      </c>
      <c r="V60" s="96">
        <f>IF(Variable_Management!$B$20=3,2,IF((S60*R60/T60)&lt;((T60*(1-(T60/R60)))/(2*Lm*Fsw)),1,2))</f>
        <v>2</v>
      </c>
      <c r="W60" s="94">
        <f t="shared" si="34"/>
        <v>0.625</v>
      </c>
      <c r="X60" s="97">
        <f t="shared" si="35"/>
        <v>0.375</v>
      </c>
      <c r="Y60" s="96">
        <f t="shared" si="36"/>
        <v>2.7200193423597678</v>
      </c>
      <c r="Z60" s="94">
        <f t="shared" si="30"/>
        <v>5.2859355971058104</v>
      </c>
      <c r="AA60" s="94">
        <f t="shared" si="31"/>
        <v>4.0036778688798478</v>
      </c>
      <c r="AB60" s="94">
        <v>0</v>
      </c>
      <c r="AC60" s="94">
        <f t="shared" si="37"/>
        <v>3.2058872955516557E-2</v>
      </c>
      <c r="AD60" s="97">
        <f t="shared" si="16"/>
        <v>3.2058872955516557E-2</v>
      </c>
      <c r="AE60" s="96">
        <f t="shared" si="29"/>
        <v>2.4537037037037037</v>
      </c>
      <c r="AF60" s="94">
        <f t="shared" si="17"/>
        <v>3.1651852708173225</v>
      </c>
      <c r="AG60" s="94">
        <f t="shared" si="38"/>
        <v>8.816190062767057E-2</v>
      </c>
      <c r="AH60" s="94">
        <f t="shared" si="39"/>
        <v>0.40731286909705566</v>
      </c>
      <c r="AI60" s="97">
        <f t="shared" si="19"/>
        <v>0.49547476972472626</v>
      </c>
      <c r="AJ60" s="96">
        <f t="shared" si="20"/>
        <v>1.4722222222222223</v>
      </c>
      <c r="AK60" s="94">
        <f t="shared" si="40"/>
        <v>2.4517419683073003</v>
      </c>
      <c r="AL60" s="94">
        <f t="shared" si="41"/>
        <v>5.2897140376602321E-2</v>
      </c>
      <c r="AM60" s="94">
        <f t="shared" si="48"/>
        <v>0.36009600000000008</v>
      </c>
      <c r="AN60" s="237">
        <f t="shared" si="42"/>
        <v>3.7212986603624904E-2</v>
      </c>
      <c r="AO60" s="97">
        <f t="shared" si="24"/>
        <v>0.45020612698022733</v>
      </c>
      <c r="AP60" s="96">
        <f t="shared" si="43"/>
        <v>4.8088309433274835E-2</v>
      </c>
      <c r="AQ60" s="257">
        <f t="shared" si="44"/>
        <v>3.2058872955516557E-2</v>
      </c>
      <c r="AR60" s="257">
        <f t="shared" si="45"/>
        <v>0.24041576743369195</v>
      </c>
      <c r="AS60" s="94">
        <f t="shared" si="46"/>
        <v>4.3999999999999997E-2</v>
      </c>
      <c r="AT60" s="97">
        <f t="shared" si="47"/>
        <v>2.9699999999999997E-5</v>
      </c>
      <c r="AU60" s="96">
        <f t="shared" si="26"/>
        <v>1.3423324194829533</v>
      </c>
      <c r="AV60" s="94">
        <f t="shared" si="27"/>
        <v>35.333333333333336</v>
      </c>
      <c r="AW60" s="97">
        <f t="shared" si="28"/>
        <v>96.339991675870607</v>
      </c>
    </row>
    <row r="61" spans="17:49" x14ac:dyDescent="0.3">
      <c r="Q61" s="32">
        <v>54</v>
      </c>
      <c r="R61" s="96">
        <f t="shared" si="0"/>
        <v>24</v>
      </c>
      <c r="S61" s="94">
        <f t="shared" si="32"/>
        <v>1.5</v>
      </c>
      <c r="T61" s="94">
        <f t="shared" si="2"/>
        <v>9</v>
      </c>
      <c r="U61" s="97">
        <f t="shared" si="33"/>
        <v>4</v>
      </c>
      <c r="V61" s="96">
        <f>IF(Variable_Management!$B$20=3,2,IF((S61*R61/T61)&lt;((T61*(1-(T61/R61)))/(2*Lm*Fsw)),1,2))</f>
        <v>2</v>
      </c>
      <c r="W61" s="94">
        <f t="shared" si="34"/>
        <v>0.625</v>
      </c>
      <c r="X61" s="97">
        <f t="shared" si="35"/>
        <v>0.375</v>
      </c>
      <c r="Y61" s="96">
        <f t="shared" si="36"/>
        <v>2.7200193423597678</v>
      </c>
      <c r="Z61" s="94">
        <f t="shared" si="30"/>
        <v>5.3600096711798839</v>
      </c>
      <c r="AA61" s="94">
        <f t="shared" si="31"/>
        <v>4.0763393016162111</v>
      </c>
      <c r="AB61" s="94">
        <v>0</v>
      </c>
      <c r="AC61" s="94">
        <f t="shared" si="37"/>
        <v>3.3233084203801881E-2</v>
      </c>
      <c r="AD61" s="97">
        <f t="shared" si="16"/>
        <v>3.3233084203801881E-2</v>
      </c>
      <c r="AE61" s="96">
        <f t="shared" si="29"/>
        <v>2.5</v>
      </c>
      <c r="AF61" s="94">
        <f t="shared" si="17"/>
        <v>3.2226291771918292</v>
      </c>
      <c r="AG61" s="94">
        <f t="shared" si="38"/>
        <v>9.1390981560455165E-2</v>
      </c>
      <c r="AH61" s="94">
        <f t="shared" si="39"/>
        <v>0.41499801757058496</v>
      </c>
      <c r="AI61" s="97">
        <f t="shared" si="19"/>
        <v>0.50638899913104019</v>
      </c>
      <c r="AJ61" s="96">
        <f t="shared" si="20"/>
        <v>1.5</v>
      </c>
      <c r="AK61" s="94">
        <f t="shared" si="40"/>
        <v>2.4962378268532133</v>
      </c>
      <c r="AL61" s="94">
        <f t="shared" si="41"/>
        <v>5.4834588936273104E-2</v>
      </c>
      <c r="AM61" s="94">
        <f t="shared" si="48"/>
        <v>0.36009600000000008</v>
      </c>
      <c r="AN61" s="237">
        <f t="shared" si="42"/>
        <v>3.7734468085106387E-2</v>
      </c>
      <c r="AO61" s="97">
        <f t="shared" si="24"/>
        <v>0.4526650570213796</v>
      </c>
      <c r="AP61" s="96">
        <f t="shared" si="43"/>
        <v>4.9849626305702818E-2</v>
      </c>
      <c r="AQ61" s="257">
        <f t="shared" si="44"/>
        <v>3.3233084203801881E-2</v>
      </c>
      <c r="AR61" s="257">
        <f t="shared" si="45"/>
        <v>0.24041576743369195</v>
      </c>
      <c r="AS61" s="94">
        <f t="shared" si="46"/>
        <v>4.3999999999999997E-2</v>
      </c>
      <c r="AT61" s="97">
        <f t="shared" si="47"/>
        <v>2.9699999999999997E-5</v>
      </c>
      <c r="AU61" s="96">
        <f t="shared" si="26"/>
        <v>1.3598153182994182</v>
      </c>
      <c r="AV61" s="94">
        <f t="shared" si="27"/>
        <v>36</v>
      </c>
      <c r="AW61" s="97">
        <f t="shared" si="28"/>
        <v>96.360219378190124</v>
      </c>
    </row>
    <row r="62" spans="17:49" x14ac:dyDescent="0.3">
      <c r="Q62" s="32">
        <v>55</v>
      </c>
      <c r="R62" s="96">
        <f t="shared" si="0"/>
        <v>24</v>
      </c>
      <c r="S62" s="94">
        <f t="shared" si="32"/>
        <v>1.5277777777777779</v>
      </c>
      <c r="T62" s="94">
        <f t="shared" si="2"/>
        <v>9</v>
      </c>
      <c r="U62" s="97">
        <f t="shared" si="33"/>
        <v>4.0740740740740744</v>
      </c>
      <c r="V62" s="96">
        <f>IF(Variable_Management!$B$20=3,2,IF((S62*R62/T62)&lt;((T62*(1-(T62/R62)))/(2*Lm*Fsw)),1,2))</f>
        <v>2</v>
      </c>
      <c r="W62" s="94">
        <f t="shared" si="34"/>
        <v>0.625</v>
      </c>
      <c r="X62" s="97">
        <f t="shared" si="35"/>
        <v>0.375</v>
      </c>
      <c r="Y62" s="96">
        <f t="shared" si="36"/>
        <v>2.7200193423597678</v>
      </c>
      <c r="Z62" s="94">
        <f t="shared" si="30"/>
        <v>5.4340837452539583</v>
      </c>
      <c r="AA62" s="94">
        <f t="shared" si="31"/>
        <v>4.149050694188186</v>
      </c>
      <c r="AB62" s="94">
        <v>0</v>
      </c>
      <c r="AC62" s="94">
        <f t="shared" si="37"/>
        <v>3.4429243325886941E-2</v>
      </c>
      <c r="AD62" s="97">
        <f t="shared" si="16"/>
        <v>3.4429243325886941E-2</v>
      </c>
      <c r="AE62" s="96">
        <f t="shared" si="29"/>
        <v>2.5462962962962967</v>
      </c>
      <c r="AF62" s="94">
        <f t="shared" si="17"/>
        <v>3.2801125802843516</v>
      </c>
      <c r="AG62" s="94">
        <f t="shared" si="38"/>
        <v>9.4680419146189077E-2</v>
      </c>
      <c r="AH62" s="94">
        <f t="shared" si="39"/>
        <v>0.42268316604411432</v>
      </c>
      <c r="AI62" s="97">
        <f t="shared" si="19"/>
        <v>0.51736358519030334</v>
      </c>
      <c r="AJ62" s="96">
        <f t="shared" si="20"/>
        <v>1.5277777777777779</v>
      </c>
      <c r="AK62" s="94">
        <f t="shared" si="40"/>
        <v>2.5407642794253462</v>
      </c>
      <c r="AL62" s="94">
        <f t="shared" si="41"/>
        <v>5.6808251487713429E-2</v>
      </c>
      <c r="AM62" s="94">
        <f t="shared" si="48"/>
        <v>0.36009600000000008</v>
      </c>
      <c r="AN62" s="237">
        <f t="shared" si="42"/>
        <v>3.8255949566587871E-2</v>
      </c>
      <c r="AO62" s="97">
        <f t="shared" si="24"/>
        <v>0.45516020105430133</v>
      </c>
      <c r="AP62" s="96">
        <f t="shared" si="43"/>
        <v>5.1643864988830404E-2</v>
      </c>
      <c r="AQ62" s="257">
        <f t="shared" si="44"/>
        <v>3.4429243325886941E-2</v>
      </c>
      <c r="AR62" s="257">
        <f t="shared" si="45"/>
        <v>0.24041576743369195</v>
      </c>
      <c r="AS62" s="94">
        <f t="shared" si="46"/>
        <v>4.3999999999999997E-2</v>
      </c>
      <c r="AT62" s="97">
        <f t="shared" si="47"/>
        <v>2.9699999999999997E-5</v>
      </c>
      <c r="AU62" s="96">
        <f t="shared" si="26"/>
        <v>1.3774716053189011</v>
      </c>
      <c r="AV62" s="94">
        <f t="shared" si="27"/>
        <v>36.666666666666671</v>
      </c>
      <c r="AW62" s="97">
        <f t="shared" si="28"/>
        <v>96.379280309962425</v>
      </c>
    </row>
    <row r="63" spans="17:49" x14ac:dyDescent="0.3">
      <c r="Q63" s="32">
        <v>56</v>
      </c>
      <c r="R63" s="96">
        <f t="shared" si="0"/>
        <v>24</v>
      </c>
      <c r="S63" s="94">
        <f t="shared" si="32"/>
        <v>1.5555555555555556</v>
      </c>
      <c r="T63" s="94">
        <f t="shared" si="2"/>
        <v>9</v>
      </c>
      <c r="U63" s="97">
        <f t="shared" si="33"/>
        <v>4.1481481481481488</v>
      </c>
      <c r="V63" s="96">
        <f>IF(Variable_Management!$B$20=3,2,IF((S63*R63/T63)&lt;((T63*(1-(T63/R63)))/(2*Lm*Fsw)),1,2))</f>
        <v>2</v>
      </c>
      <c r="W63" s="94">
        <f t="shared" si="34"/>
        <v>0.625</v>
      </c>
      <c r="X63" s="97">
        <f t="shared" si="35"/>
        <v>0.375</v>
      </c>
      <c r="Y63" s="96">
        <f t="shared" si="36"/>
        <v>2.7200193423597678</v>
      </c>
      <c r="Z63" s="94">
        <f t="shared" si="30"/>
        <v>5.5081578193280327</v>
      </c>
      <c r="AA63" s="94">
        <f t="shared" si="31"/>
        <v>4.2218094652513463</v>
      </c>
      <c r="AB63" s="94">
        <v>0</v>
      </c>
      <c r="AC63" s="94">
        <f t="shared" si="37"/>
        <v>3.5647350321771722E-2</v>
      </c>
      <c r="AD63" s="97">
        <f t="shared" si="16"/>
        <v>3.5647350321771722E-2</v>
      </c>
      <c r="AE63" s="96">
        <f t="shared" si="29"/>
        <v>2.592592592592593</v>
      </c>
      <c r="AF63" s="94">
        <f t="shared" si="17"/>
        <v>3.3376334393629357</v>
      </c>
      <c r="AG63" s="94">
        <f t="shared" si="38"/>
        <v>9.8030213384872208E-2</v>
      </c>
      <c r="AH63" s="94">
        <f t="shared" si="39"/>
        <v>0.43036831451764368</v>
      </c>
      <c r="AI63" s="97">
        <f t="shared" si="19"/>
        <v>0.52839852790251585</v>
      </c>
      <c r="AJ63" s="96">
        <f t="shared" si="20"/>
        <v>1.5555555555555558</v>
      </c>
      <c r="AK63" s="94">
        <f t="shared" si="40"/>
        <v>2.5853197452795267</v>
      </c>
      <c r="AL63" s="94">
        <f t="shared" si="41"/>
        <v>5.8818128030923338E-2</v>
      </c>
      <c r="AM63" s="94">
        <f t="shared" si="48"/>
        <v>0.36009600000000008</v>
      </c>
      <c r="AN63" s="237">
        <f t="shared" si="42"/>
        <v>3.8777431048069355E-2</v>
      </c>
      <c r="AO63" s="97">
        <f t="shared" si="24"/>
        <v>0.45769155907899278</v>
      </c>
      <c r="AP63" s="96">
        <f t="shared" si="43"/>
        <v>5.3471025482657579E-2</v>
      </c>
      <c r="AQ63" s="257">
        <f t="shared" si="44"/>
        <v>3.5647350321771722E-2</v>
      </c>
      <c r="AR63" s="257">
        <f t="shared" si="45"/>
        <v>0.24041576743369195</v>
      </c>
      <c r="AS63" s="94">
        <f t="shared" si="46"/>
        <v>4.3999999999999997E-2</v>
      </c>
      <c r="AT63" s="97">
        <f t="shared" si="47"/>
        <v>2.9699999999999997E-5</v>
      </c>
      <c r="AU63" s="96">
        <f t="shared" si="26"/>
        <v>1.3953012805414018</v>
      </c>
      <c r="AV63" s="94">
        <f t="shared" si="27"/>
        <v>37.333333333333336</v>
      </c>
      <c r="AW63" s="97">
        <f t="shared" si="28"/>
        <v>96.397236064600307</v>
      </c>
    </row>
    <row r="64" spans="17:49" x14ac:dyDescent="0.3">
      <c r="Q64" s="32">
        <v>57</v>
      </c>
      <c r="R64" s="96">
        <f t="shared" si="0"/>
        <v>24</v>
      </c>
      <c r="S64" s="94">
        <f t="shared" si="32"/>
        <v>1.5833333333333335</v>
      </c>
      <c r="T64" s="94">
        <f t="shared" si="2"/>
        <v>9</v>
      </c>
      <c r="U64" s="97">
        <f t="shared" si="33"/>
        <v>4.2222222222222223</v>
      </c>
      <c r="V64" s="96">
        <f>IF(Variable_Management!$B$20=3,2,IF((S64*R64/T64)&lt;((T64*(1-(T64/R64)))/(2*Lm*Fsw)),1,2))</f>
        <v>2</v>
      </c>
      <c r="W64" s="94">
        <f t="shared" si="34"/>
        <v>0.625</v>
      </c>
      <c r="X64" s="97">
        <f t="shared" si="35"/>
        <v>0.375</v>
      </c>
      <c r="Y64" s="96">
        <f t="shared" si="36"/>
        <v>2.7200193423597678</v>
      </c>
      <c r="Z64" s="94">
        <f t="shared" si="30"/>
        <v>5.5822318934021062</v>
      </c>
      <c r="AA64" s="94">
        <f t="shared" si="31"/>
        <v>4.2946132067659013</v>
      </c>
      <c r="AB64" s="94">
        <v>0</v>
      </c>
      <c r="AC64" s="94">
        <f t="shared" si="37"/>
        <v>3.6887405191456196E-2</v>
      </c>
      <c r="AD64" s="97">
        <f t="shared" si="16"/>
        <v>3.6887405191456196E-2</v>
      </c>
      <c r="AE64" s="96">
        <f t="shared" si="29"/>
        <v>2.6388888888888888</v>
      </c>
      <c r="AF64" s="94">
        <f t="shared" si="17"/>
        <v>3.3951898507049743</v>
      </c>
      <c r="AG64" s="94">
        <f t="shared" si="38"/>
        <v>0.10144036427650457</v>
      </c>
      <c r="AH64" s="94">
        <f t="shared" si="39"/>
        <v>0.43805346299117304</v>
      </c>
      <c r="AI64" s="97">
        <f t="shared" si="19"/>
        <v>0.53949382726767758</v>
      </c>
      <c r="AJ64" s="96">
        <f t="shared" si="20"/>
        <v>1.5833333333333335</v>
      </c>
      <c r="AK64" s="94">
        <f t="shared" si="40"/>
        <v>2.6299027497985623</v>
      </c>
      <c r="AL64" s="94">
        <f t="shared" si="41"/>
        <v>6.0864218565902753E-2</v>
      </c>
      <c r="AM64" s="94">
        <f t="shared" si="48"/>
        <v>0.36009600000000008</v>
      </c>
      <c r="AN64" s="237">
        <f t="shared" si="42"/>
        <v>3.9298912529550832E-2</v>
      </c>
      <c r="AO64" s="97">
        <f t="shared" si="24"/>
        <v>0.46025913109545363</v>
      </c>
      <c r="AP64" s="96">
        <f t="shared" si="43"/>
        <v>5.5331107787184294E-2</v>
      </c>
      <c r="AQ64" s="257">
        <f t="shared" si="44"/>
        <v>3.6887405191456196E-2</v>
      </c>
      <c r="AR64" s="257">
        <f t="shared" si="45"/>
        <v>0.24041576743369195</v>
      </c>
      <c r="AS64" s="94">
        <f t="shared" si="46"/>
        <v>4.3999999999999997E-2</v>
      </c>
      <c r="AT64" s="97">
        <f t="shared" si="47"/>
        <v>2.9699999999999997E-5</v>
      </c>
      <c r="AU64" s="96">
        <f t="shared" si="26"/>
        <v>1.41330434396692</v>
      </c>
      <c r="AV64" s="94">
        <f t="shared" si="27"/>
        <v>38</v>
      </c>
      <c r="AW64" s="97">
        <f t="shared" si="28"/>
        <v>96.414143986424577</v>
      </c>
    </row>
    <row r="65" spans="17:49" x14ac:dyDescent="0.3">
      <c r="Q65" s="32">
        <v>58</v>
      </c>
      <c r="R65" s="96">
        <f t="shared" si="0"/>
        <v>24</v>
      </c>
      <c r="S65" s="94">
        <f t="shared" si="32"/>
        <v>1.6111111111111112</v>
      </c>
      <c r="T65" s="94">
        <f t="shared" si="2"/>
        <v>9</v>
      </c>
      <c r="U65" s="97">
        <f t="shared" si="33"/>
        <v>4.2962962962962967</v>
      </c>
      <c r="V65" s="96">
        <f>IF(Variable_Management!$B$20=3,2,IF((S65*R65/T65)&lt;((T65*(1-(T65/R65)))/(2*Lm*Fsw)),1,2))</f>
        <v>2</v>
      </c>
      <c r="W65" s="94">
        <f t="shared" si="34"/>
        <v>0.625</v>
      </c>
      <c r="X65" s="97">
        <f t="shared" si="35"/>
        <v>0.375</v>
      </c>
      <c r="Y65" s="96">
        <f t="shared" si="36"/>
        <v>2.7200193423597678</v>
      </c>
      <c r="Z65" s="94">
        <f t="shared" si="30"/>
        <v>5.6563059674761806</v>
      </c>
      <c r="AA65" s="94">
        <f t="shared" si="31"/>
        <v>4.3674596698161068</v>
      </c>
      <c r="AB65" s="94">
        <v>0</v>
      </c>
      <c r="AC65" s="94">
        <f t="shared" si="37"/>
        <v>3.8149407934940434E-2</v>
      </c>
      <c r="AD65" s="97">
        <f t="shared" si="16"/>
        <v>3.8149407934940434E-2</v>
      </c>
      <c r="AE65" s="96">
        <f t="shared" si="29"/>
        <v>2.6851851851851856</v>
      </c>
      <c r="AF65" s="94">
        <f t="shared" si="17"/>
        <v>3.4527800363864602</v>
      </c>
      <c r="AG65" s="94">
        <f t="shared" si="38"/>
        <v>0.1049108718210862</v>
      </c>
      <c r="AH65" s="94">
        <f t="shared" si="39"/>
        <v>0.44573861146470234</v>
      </c>
      <c r="AI65" s="97">
        <f t="shared" si="19"/>
        <v>0.55064948328578855</v>
      </c>
      <c r="AJ65" s="96">
        <f t="shared" si="20"/>
        <v>1.6111111111111112</v>
      </c>
      <c r="AK65" s="94">
        <f t="shared" si="40"/>
        <v>2.6745119158084401</v>
      </c>
      <c r="AL65" s="94">
        <f t="shared" si="41"/>
        <v>6.2946523092651724E-2</v>
      </c>
      <c r="AM65" s="94">
        <f t="shared" si="48"/>
        <v>0.36009600000000008</v>
      </c>
      <c r="AN65" s="237">
        <f t="shared" si="42"/>
        <v>3.9820394011032316E-2</v>
      </c>
      <c r="AO65" s="97">
        <f t="shared" si="24"/>
        <v>0.4628629171036841</v>
      </c>
      <c r="AP65" s="96">
        <f t="shared" si="43"/>
        <v>5.7224111902410654E-2</v>
      </c>
      <c r="AQ65" s="257">
        <f t="shared" si="44"/>
        <v>3.8149407934940434E-2</v>
      </c>
      <c r="AR65" s="257">
        <f t="shared" si="45"/>
        <v>0.24041576743369195</v>
      </c>
      <c r="AS65" s="94">
        <f t="shared" si="46"/>
        <v>4.3999999999999997E-2</v>
      </c>
      <c r="AT65" s="97">
        <f t="shared" si="47"/>
        <v>2.9699999999999997E-5</v>
      </c>
      <c r="AU65" s="96">
        <f t="shared" si="26"/>
        <v>1.4314807955954563</v>
      </c>
      <c r="AV65" s="94">
        <f t="shared" si="27"/>
        <v>38.666666666666671</v>
      </c>
      <c r="AW65" s="97">
        <f t="shared" si="28"/>
        <v>96.430057530855578</v>
      </c>
    </row>
    <row r="66" spans="17:49" x14ac:dyDescent="0.3">
      <c r="Q66" s="32">
        <v>59</v>
      </c>
      <c r="R66" s="96">
        <f t="shared" si="0"/>
        <v>24</v>
      </c>
      <c r="S66" s="94">
        <f t="shared" si="32"/>
        <v>1.6388888888888891</v>
      </c>
      <c r="T66" s="94">
        <f t="shared" si="2"/>
        <v>9</v>
      </c>
      <c r="U66" s="97">
        <f t="shared" si="33"/>
        <v>4.3703703703703702</v>
      </c>
      <c r="V66" s="96">
        <f>IF(Variable_Management!$B$20=3,2,IF((S66*R66/T66)&lt;((T66*(1-(T66/R66)))/(2*Lm*Fsw)),1,2))</f>
        <v>2</v>
      </c>
      <c r="W66" s="94">
        <f t="shared" si="34"/>
        <v>0.625</v>
      </c>
      <c r="X66" s="97">
        <f t="shared" si="35"/>
        <v>0.375</v>
      </c>
      <c r="Y66" s="96">
        <f t="shared" si="36"/>
        <v>2.7200193423597678</v>
      </c>
      <c r="Z66" s="94">
        <f t="shared" si="30"/>
        <v>5.7303800415502542</v>
      </c>
      <c r="AA66" s="94">
        <f t="shared" si="31"/>
        <v>4.4403467517877688</v>
      </c>
      <c r="AB66" s="94">
        <v>0</v>
      </c>
      <c r="AC66" s="94">
        <f t="shared" si="37"/>
        <v>3.9433358552224379E-2</v>
      </c>
      <c r="AD66" s="97">
        <f t="shared" si="16"/>
        <v>3.9433358552224379E-2</v>
      </c>
      <c r="AE66" s="96">
        <f t="shared" si="29"/>
        <v>2.7314814814814814</v>
      </c>
      <c r="AF66" s="94">
        <f t="shared" si="17"/>
        <v>3.510402334144922</v>
      </c>
      <c r="AG66" s="94">
        <f t="shared" si="38"/>
        <v>0.10844173601861702</v>
      </c>
      <c r="AH66" s="94">
        <f t="shared" si="39"/>
        <v>0.4534237599382317</v>
      </c>
      <c r="AI66" s="97">
        <f t="shared" si="19"/>
        <v>0.56186549595684876</v>
      </c>
      <c r="AJ66" s="96">
        <f t="shared" si="20"/>
        <v>1.6388888888888888</v>
      </c>
      <c r="AK66" s="94">
        <f t="shared" si="40"/>
        <v>2.719145955726185</v>
      </c>
      <c r="AL66" s="94">
        <f t="shared" si="41"/>
        <v>6.5065041611170202E-2</v>
      </c>
      <c r="AM66" s="94">
        <f t="shared" si="48"/>
        <v>0.36009600000000008</v>
      </c>
      <c r="AN66" s="237">
        <f t="shared" si="42"/>
        <v>4.0341875492513793E-2</v>
      </c>
      <c r="AO66" s="97">
        <f t="shared" si="24"/>
        <v>0.46550291710368408</v>
      </c>
      <c r="AP66" s="96">
        <f t="shared" si="43"/>
        <v>5.9150037828336569E-2</v>
      </c>
      <c r="AQ66" s="257">
        <f t="shared" si="44"/>
        <v>3.9433358552224379E-2</v>
      </c>
      <c r="AR66" s="257">
        <f t="shared" si="45"/>
        <v>0.24041576743369195</v>
      </c>
      <c r="AS66" s="94">
        <f t="shared" si="46"/>
        <v>4.3999999999999997E-2</v>
      </c>
      <c r="AT66" s="97">
        <f t="shared" si="47"/>
        <v>2.9699999999999997E-5</v>
      </c>
      <c r="AU66" s="96">
        <f t="shared" si="26"/>
        <v>1.4498306354270103</v>
      </c>
      <c r="AV66" s="94">
        <f t="shared" si="27"/>
        <v>39.333333333333336</v>
      </c>
      <c r="AW66" s="97">
        <f t="shared" si="28"/>
        <v>96.445026588575672</v>
      </c>
    </row>
    <row r="67" spans="17:49" x14ac:dyDescent="0.3">
      <c r="Q67" s="32">
        <v>60</v>
      </c>
      <c r="R67" s="96">
        <f t="shared" si="0"/>
        <v>24</v>
      </c>
      <c r="S67" s="94">
        <f t="shared" si="32"/>
        <v>1.6666666666666667</v>
      </c>
      <c r="T67" s="94">
        <f t="shared" si="2"/>
        <v>9</v>
      </c>
      <c r="U67" s="97">
        <f t="shared" si="33"/>
        <v>4.4444444444444446</v>
      </c>
      <c r="V67" s="96">
        <f>IF(Variable_Management!$B$20=3,2,IF((S67*R67/T67)&lt;((T67*(1-(T67/R67)))/(2*Lm*Fsw)),1,2))</f>
        <v>2</v>
      </c>
      <c r="W67" s="94">
        <f t="shared" si="34"/>
        <v>0.625</v>
      </c>
      <c r="X67" s="97">
        <f t="shared" si="35"/>
        <v>0.375</v>
      </c>
      <c r="Y67" s="96">
        <f t="shared" si="36"/>
        <v>2.7200193423597678</v>
      </c>
      <c r="Z67" s="94">
        <f t="shared" si="30"/>
        <v>5.8044541156243286</v>
      </c>
      <c r="AA67" s="94">
        <f t="shared" si="31"/>
        <v>4.5132724847558263</v>
      </c>
      <c r="AB67" s="94">
        <v>0</v>
      </c>
      <c r="AC67" s="94">
        <f t="shared" si="37"/>
        <v>4.0739257043308059E-2</v>
      </c>
      <c r="AD67" s="97">
        <f t="shared" si="16"/>
        <v>4.0739257043308059E-2</v>
      </c>
      <c r="AE67" s="96">
        <f t="shared" si="29"/>
        <v>2.7777777777777777</v>
      </c>
      <c r="AF67" s="94">
        <f t="shared" si="17"/>
        <v>3.5680551881989948</v>
      </c>
      <c r="AG67" s="94">
        <f t="shared" si="38"/>
        <v>0.11203295686909713</v>
      </c>
      <c r="AH67" s="94">
        <f t="shared" si="39"/>
        <v>0.46110890841176111</v>
      </c>
      <c r="AI67" s="97">
        <f t="shared" si="19"/>
        <v>0.5731418652808582</v>
      </c>
      <c r="AJ67" s="96">
        <f t="shared" si="20"/>
        <v>1.6666666666666667</v>
      </c>
      <c r="AK67" s="94">
        <f t="shared" si="40"/>
        <v>2.7638036644487354</v>
      </c>
      <c r="AL67" s="94">
        <f t="shared" si="41"/>
        <v>6.721977412145827E-2</v>
      </c>
      <c r="AM67" s="94">
        <f t="shared" si="48"/>
        <v>0.36009600000000008</v>
      </c>
      <c r="AN67" s="237">
        <f t="shared" si="42"/>
        <v>4.0863356973995277E-2</v>
      </c>
      <c r="AO67" s="97">
        <f t="shared" si="24"/>
        <v>0.46817913109545367</v>
      </c>
      <c r="AP67" s="96">
        <f t="shared" si="43"/>
        <v>6.1108885564962086E-2</v>
      </c>
      <c r="AQ67" s="257">
        <f t="shared" si="44"/>
        <v>4.0739257043308059E-2</v>
      </c>
      <c r="AR67" s="257">
        <f t="shared" si="45"/>
        <v>0.24041576743369195</v>
      </c>
      <c r="AS67" s="94">
        <f t="shared" si="46"/>
        <v>4.3999999999999997E-2</v>
      </c>
      <c r="AT67" s="97">
        <f t="shared" si="47"/>
        <v>2.9699999999999997E-5</v>
      </c>
      <c r="AU67" s="96">
        <f t="shared" si="26"/>
        <v>1.4683538634615823</v>
      </c>
      <c r="AV67" s="94">
        <f t="shared" si="27"/>
        <v>40</v>
      </c>
      <c r="AW67" s="97">
        <f t="shared" si="28"/>
        <v>96.459097777798775</v>
      </c>
    </row>
    <row r="68" spans="17:49" x14ac:dyDescent="0.3">
      <c r="Q68" s="32">
        <v>61</v>
      </c>
      <c r="R68" s="96">
        <f t="shared" si="0"/>
        <v>24</v>
      </c>
      <c r="S68" s="94">
        <f t="shared" si="32"/>
        <v>1.6944444444444446</v>
      </c>
      <c r="T68" s="94">
        <f t="shared" si="2"/>
        <v>9</v>
      </c>
      <c r="U68" s="97">
        <f t="shared" si="33"/>
        <v>4.518518518518519</v>
      </c>
      <c r="V68" s="96">
        <f>IF(Variable_Management!$B$20=3,2,IF((S68*R68/T68)&lt;((T68*(1-(T68/R68)))/(2*Lm*Fsw)),1,2))</f>
        <v>2</v>
      </c>
      <c r="W68" s="94">
        <f t="shared" si="34"/>
        <v>0.625</v>
      </c>
      <c r="X68" s="97">
        <f t="shared" si="35"/>
        <v>0.375</v>
      </c>
      <c r="Y68" s="96">
        <f t="shared" si="36"/>
        <v>2.7200193423597678</v>
      </c>
      <c r="Z68" s="94">
        <f t="shared" si="30"/>
        <v>5.878528189698403</v>
      </c>
      <c r="AA68" s="94">
        <f t="shared" si="31"/>
        <v>4.586235024951919</v>
      </c>
      <c r="AB68" s="94">
        <v>0</v>
      </c>
      <c r="AC68" s="94">
        <f t="shared" si="37"/>
        <v>4.2067103408191461E-2</v>
      </c>
      <c r="AD68" s="97">
        <f t="shared" si="16"/>
        <v>4.2067103408191461E-2</v>
      </c>
      <c r="AE68" s="96">
        <f t="shared" si="29"/>
        <v>2.8240740740740744</v>
      </c>
      <c r="AF68" s="94">
        <f t="shared" si="17"/>
        <v>3.6257371409218058</v>
      </c>
      <c r="AG68" s="94">
        <f t="shared" si="38"/>
        <v>0.11568453437252652</v>
      </c>
      <c r="AH68" s="94">
        <f t="shared" si="39"/>
        <v>0.46879405688529047</v>
      </c>
      <c r="AI68" s="97">
        <f t="shared" si="19"/>
        <v>0.58447859125781698</v>
      </c>
      <c r="AJ68" s="96">
        <f t="shared" si="20"/>
        <v>1.6944444444444446</v>
      </c>
      <c r="AK68" s="94">
        <f t="shared" si="40"/>
        <v>2.8084839129031698</v>
      </c>
      <c r="AL68" s="94">
        <f t="shared" si="41"/>
        <v>6.9410720623515915E-2</v>
      </c>
      <c r="AM68" s="94">
        <f t="shared" si="48"/>
        <v>0.36009600000000008</v>
      </c>
      <c r="AN68" s="237">
        <f t="shared" si="42"/>
        <v>4.1384838455476761E-2</v>
      </c>
      <c r="AO68" s="97">
        <f t="shared" si="24"/>
        <v>0.47089155907899277</v>
      </c>
      <c r="AP68" s="96">
        <f t="shared" si="43"/>
        <v>6.3100655112287185E-2</v>
      </c>
      <c r="AQ68" s="257">
        <f t="shared" si="44"/>
        <v>4.2067103408191461E-2</v>
      </c>
      <c r="AR68" s="257">
        <f t="shared" si="45"/>
        <v>0.24041576743369195</v>
      </c>
      <c r="AS68" s="94">
        <f t="shared" si="46"/>
        <v>4.3999999999999997E-2</v>
      </c>
      <c r="AT68" s="97">
        <f t="shared" si="47"/>
        <v>2.9699999999999997E-5</v>
      </c>
      <c r="AU68" s="96">
        <f t="shared" si="26"/>
        <v>1.4870504796991719</v>
      </c>
      <c r="AV68" s="94">
        <f t="shared" si="27"/>
        <v>40.666666666666671</v>
      </c>
      <c r="AW68" s="97">
        <f t="shared" si="28"/>
        <v>96.472314708247808</v>
      </c>
    </row>
    <row r="69" spans="17:49" x14ac:dyDescent="0.3">
      <c r="Q69" s="32">
        <v>62</v>
      </c>
      <c r="R69" s="96">
        <f t="shared" si="0"/>
        <v>24</v>
      </c>
      <c r="S69" s="94">
        <f t="shared" si="32"/>
        <v>1.7222222222222223</v>
      </c>
      <c r="T69" s="94">
        <f t="shared" si="2"/>
        <v>9</v>
      </c>
      <c r="U69" s="97">
        <f t="shared" si="33"/>
        <v>4.5925925925925926</v>
      </c>
      <c r="V69" s="96">
        <f>IF(Variable_Management!$B$20=3,2,IF((S69*R69/T69)&lt;((T69*(1-(T69/R69)))/(2*Lm*Fsw)),1,2))</f>
        <v>2</v>
      </c>
      <c r="W69" s="94">
        <f t="shared" si="34"/>
        <v>0.625</v>
      </c>
      <c r="X69" s="97">
        <f t="shared" si="35"/>
        <v>0.375</v>
      </c>
      <c r="Y69" s="96">
        <f t="shared" si="36"/>
        <v>2.7200193423597678</v>
      </c>
      <c r="Z69" s="94">
        <f t="shared" si="30"/>
        <v>5.9526022637724765</v>
      </c>
      <c r="AA69" s="94">
        <f t="shared" si="31"/>
        <v>4.6592326431975142</v>
      </c>
      <c r="AB69" s="94">
        <v>0</v>
      </c>
      <c r="AC69" s="94">
        <f t="shared" si="37"/>
        <v>4.3416897646874592E-2</v>
      </c>
      <c r="AD69" s="97">
        <f t="shared" si="16"/>
        <v>4.3416897646874592E-2</v>
      </c>
      <c r="AE69" s="96">
        <f t="shared" si="29"/>
        <v>2.8703703703703702</v>
      </c>
      <c r="AF69" s="94">
        <f t="shared" si="17"/>
        <v>3.6834468252776915</v>
      </c>
      <c r="AG69" s="94">
        <f t="shared" si="38"/>
        <v>0.11939646852890509</v>
      </c>
      <c r="AH69" s="94">
        <f t="shared" si="39"/>
        <v>0.47647920535881982</v>
      </c>
      <c r="AI69" s="97">
        <f t="shared" si="19"/>
        <v>0.59587567388772489</v>
      </c>
      <c r="AJ69" s="96">
        <f t="shared" si="20"/>
        <v>1.7222222222222223</v>
      </c>
      <c r="AK69" s="94">
        <f t="shared" si="40"/>
        <v>2.8531856421882158</v>
      </c>
      <c r="AL69" s="94">
        <f t="shared" si="41"/>
        <v>7.1637881117343039E-2</v>
      </c>
      <c r="AM69" s="94">
        <f t="shared" si="48"/>
        <v>0.36009600000000008</v>
      </c>
      <c r="AN69" s="237">
        <f t="shared" si="42"/>
        <v>4.1906319936958238E-2</v>
      </c>
      <c r="AO69" s="97">
        <f t="shared" si="24"/>
        <v>0.47364020105430138</v>
      </c>
      <c r="AP69" s="96">
        <f t="shared" si="43"/>
        <v>6.5125346470311887E-2</v>
      </c>
      <c r="AQ69" s="257">
        <f t="shared" si="44"/>
        <v>4.3416897646874592E-2</v>
      </c>
      <c r="AR69" s="257">
        <f t="shared" si="45"/>
        <v>0.24041576743369195</v>
      </c>
      <c r="AS69" s="94">
        <f t="shared" si="46"/>
        <v>4.3999999999999997E-2</v>
      </c>
      <c r="AT69" s="97">
        <f t="shared" si="47"/>
        <v>2.9699999999999997E-5</v>
      </c>
      <c r="AU69" s="96">
        <f t="shared" si="26"/>
        <v>1.5059204841397791</v>
      </c>
      <c r="AV69" s="94">
        <f t="shared" si="27"/>
        <v>41.333333333333336</v>
      </c>
      <c r="AW69" s="97">
        <f t="shared" si="28"/>
        <v>96.484718219985538</v>
      </c>
    </row>
    <row r="70" spans="17:49" x14ac:dyDescent="0.3">
      <c r="Q70" s="32">
        <v>63</v>
      </c>
      <c r="R70" s="96">
        <f t="shared" si="0"/>
        <v>24</v>
      </c>
      <c r="S70" s="94">
        <f t="shared" si="32"/>
        <v>1.7500000000000002</v>
      </c>
      <c r="T70" s="94">
        <f t="shared" si="2"/>
        <v>9</v>
      </c>
      <c r="U70" s="97">
        <f t="shared" si="33"/>
        <v>4.6666666666666679</v>
      </c>
      <c r="V70" s="96">
        <f>IF(Variable_Management!$B$20=3,2,IF((S70*R70/T70)&lt;((T70*(1-(T70/R70)))/(2*Lm*Fsw)),1,2))</f>
        <v>2</v>
      </c>
      <c r="W70" s="94">
        <f t="shared" si="34"/>
        <v>0.625</v>
      </c>
      <c r="X70" s="97">
        <f t="shared" si="35"/>
        <v>0.375</v>
      </c>
      <c r="Y70" s="96">
        <f t="shared" si="36"/>
        <v>2.7200193423597678</v>
      </c>
      <c r="Z70" s="94">
        <f t="shared" si="30"/>
        <v>6.0266763378465518</v>
      </c>
      <c r="AA70" s="94">
        <f t="shared" si="31"/>
        <v>4.7322637162016585</v>
      </c>
      <c r="AB70" s="94">
        <v>0</v>
      </c>
      <c r="AC70" s="94">
        <f t="shared" si="37"/>
        <v>4.4788639759357464E-2</v>
      </c>
      <c r="AD70" s="97">
        <f t="shared" si="16"/>
        <v>4.4788639759357464E-2</v>
      </c>
      <c r="AE70" s="96">
        <f t="shared" si="29"/>
        <v>2.9166666666666674</v>
      </c>
      <c r="AF70" s="94">
        <f t="shared" si="17"/>
        <v>3.741182957942474</v>
      </c>
      <c r="AG70" s="94">
        <f t="shared" si="38"/>
        <v>0.12316875933823296</v>
      </c>
      <c r="AH70" s="94">
        <f t="shared" si="39"/>
        <v>0.48416435383234929</v>
      </c>
      <c r="AI70" s="97">
        <f t="shared" si="19"/>
        <v>0.60733311317058225</v>
      </c>
      <c r="AJ70" s="96">
        <f t="shared" si="20"/>
        <v>1.7500000000000004</v>
      </c>
      <c r="AK70" s="94">
        <f t="shared" si="40"/>
        <v>2.8979078582452411</v>
      </c>
      <c r="AL70" s="94">
        <f t="shared" si="41"/>
        <v>7.3901255602939794E-2</v>
      </c>
      <c r="AM70" s="94">
        <f t="shared" si="48"/>
        <v>0.36009600000000008</v>
      </c>
      <c r="AN70" s="237">
        <f t="shared" si="42"/>
        <v>4.2427801418439728E-2</v>
      </c>
      <c r="AO70" s="97">
        <f t="shared" si="24"/>
        <v>0.47642505702137961</v>
      </c>
      <c r="AP70" s="96">
        <f t="shared" si="43"/>
        <v>6.7182959639036199E-2</v>
      </c>
      <c r="AQ70" s="257">
        <f t="shared" si="44"/>
        <v>4.4788639759357464E-2</v>
      </c>
      <c r="AR70" s="257">
        <f t="shared" si="45"/>
        <v>0.24041576743369195</v>
      </c>
      <c r="AS70" s="94">
        <f t="shared" si="46"/>
        <v>4.3999999999999997E-2</v>
      </c>
      <c r="AT70" s="97">
        <f t="shared" si="47"/>
        <v>2.9699999999999997E-5</v>
      </c>
      <c r="AU70" s="96">
        <f t="shared" si="26"/>
        <v>1.5249638767834051</v>
      </c>
      <c r="AV70" s="94">
        <f t="shared" si="27"/>
        <v>42.000000000000007</v>
      </c>
      <c r="AW70" s="97">
        <f t="shared" si="28"/>
        <v>96.496346599849034</v>
      </c>
    </row>
    <row r="71" spans="17:49" x14ac:dyDescent="0.3">
      <c r="Q71" s="32">
        <v>64</v>
      </c>
      <c r="R71" s="96">
        <f t="shared" ref="R71:R134" si="49">VOUT</f>
        <v>24</v>
      </c>
      <c r="S71" s="94">
        <f t="shared" ref="S71:S102" si="50">Q71*$O$12</f>
        <v>1.7777777777777779</v>
      </c>
      <c r="T71" s="94">
        <f t="shared" ref="T71:T134" si="51">VIN_var</f>
        <v>9</v>
      </c>
      <c r="U71" s="97">
        <f t="shared" ref="U71:U102" si="52">(R71*S71)/(T71*EFF_est)</f>
        <v>4.7407407407407414</v>
      </c>
      <c r="V71" s="96">
        <f>IF(Variable_Management!$B$20=3,2,IF((S71*R71/T71)&lt;((T71*(1-(T71/R71)))/(2*Lm*Fsw)),1,2))</f>
        <v>2</v>
      </c>
      <c r="W71" s="94">
        <f t="shared" ref="W71:W102" si="53">CHOOSE(V71,SQRT((2*S71*Lm*Fsw*(R71-T71))/((T71)^2)),1-(T71/R71))</f>
        <v>0.625</v>
      </c>
      <c r="X71" s="97">
        <f t="shared" ref="X71:X102" si="54">CHOOSE(V71,(Lm*Z71*Fsw)/(R71-T71),1-W71)</f>
        <v>0.375</v>
      </c>
      <c r="Y71" s="96">
        <f t="shared" ref="Y71:Y102" si="55">(T71*W71)/(Lm*Fsw)</f>
        <v>2.7200193423597678</v>
      </c>
      <c r="Z71" s="94">
        <f t="shared" si="30"/>
        <v>6.1007504119206253</v>
      </c>
      <c r="AA71" s="94">
        <f t="shared" si="31"/>
        <v>4.8053267186342294</v>
      </c>
      <c r="AB71" s="94">
        <v>0</v>
      </c>
      <c r="AC71" s="94">
        <f t="shared" ref="AC71:AC102" si="56">(AA71^2)*Rdcr</f>
        <v>4.6182329745640016E-2</v>
      </c>
      <c r="AD71" s="97">
        <f t="shared" si="16"/>
        <v>4.6182329745640016E-2</v>
      </c>
      <c r="AE71" s="96">
        <f t="shared" si="29"/>
        <v>2.9629629629629632</v>
      </c>
      <c r="AF71" s="94">
        <f t="shared" si="17"/>
        <v>3.798944333036812</v>
      </c>
      <c r="AG71" s="94">
        <f t="shared" ref="AG71:AG102" si="57">(AF71^2)*RDS_on</f>
        <v>0.12700140680051009</v>
      </c>
      <c r="AH71" s="94">
        <f t="shared" ref="AH71:AH102" si="58">((R71*U71)/2)*Fsw*(tr_sw+tf_sw)</f>
        <v>0.49184950230587854</v>
      </c>
      <c r="AI71" s="97">
        <f t="shared" si="19"/>
        <v>0.61885090910638862</v>
      </c>
      <c r="AJ71" s="96">
        <f t="shared" si="20"/>
        <v>1.7777777777777781</v>
      </c>
      <c r="AK71" s="94">
        <f t="shared" ref="AK71:AK102" si="59">CHOOSE(V71,Z71*SQRT(X71/3),SQRT(X71*((Z71^2)+((Y71^2)/3)-(Y71*Z71))))</f>
        <v>2.9426496270041231</v>
      </c>
      <c r="AL71" s="94">
        <f t="shared" ref="AL71:AL102" si="60">(AK71^2)*RDS_on_HS</f>
        <v>7.6200844080306043E-2</v>
      </c>
      <c r="AM71" s="94">
        <f t="shared" si="48"/>
        <v>0.36009600000000008</v>
      </c>
      <c r="AN71" s="237">
        <f t="shared" ref="AN71:AN102" si="61">Vd_rect*t_dead*Fsw*Z71</f>
        <v>4.2949282899921205E-2</v>
      </c>
      <c r="AO71" s="97">
        <f t="shared" si="24"/>
        <v>0.47924612698022734</v>
      </c>
      <c r="AP71" s="96">
        <f t="shared" ref="AP71:AP102" si="62">(AA71^2)*R_cs</f>
        <v>6.9273494618460024E-2</v>
      </c>
      <c r="AQ71" s="257">
        <f t="shared" ref="AQ71:AQ102" si="63">Rdcr*AA71^2</f>
        <v>4.6182329745640016E-2</v>
      </c>
      <c r="AR71" s="257">
        <f t="shared" ref="AR71:AR102" si="64">ABS(7.759*10^-3*Fsw^0.9458*(0.00787*Y71)^2.304)</f>
        <v>0.24041576743369195</v>
      </c>
      <c r="AS71" s="94">
        <f t="shared" ref="AS71:AS102" si="65">(Qg_tot+Qg_tot_HS)*Vcc*Fsw</f>
        <v>4.3999999999999997E-2</v>
      </c>
      <c r="AT71" s="97">
        <f t="shared" ref="AT71:AT102" si="66">IQ*T71</f>
        <v>2.9699999999999997E-5</v>
      </c>
      <c r="AU71" s="96">
        <f t="shared" si="26"/>
        <v>1.5441806576300481</v>
      </c>
      <c r="AV71" s="94">
        <f t="shared" si="27"/>
        <v>42.666666666666671</v>
      </c>
      <c r="AW71" s="97">
        <f t="shared" si="28"/>
        <v>96.507235777900547</v>
      </c>
    </row>
    <row r="72" spans="17:49" x14ac:dyDescent="0.3">
      <c r="Q72" s="32">
        <v>65</v>
      </c>
      <c r="R72" s="96">
        <f t="shared" si="49"/>
        <v>24</v>
      </c>
      <c r="S72" s="94">
        <f t="shared" si="50"/>
        <v>1.8055555555555556</v>
      </c>
      <c r="T72" s="94">
        <f t="shared" si="51"/>
        <v>9</v>
      </c>
      <c r="U72" s="97">
        <f t="shared" si="52"/>
        <v>4.8148148148148149</v>
      </c>
      <c r="V72" s="96">
        <f>IF(Variable_Management!$B$20=3,2,IF((S72*R72/T72)&lt;((T72*(1-(T72/R72)))/(2*Lm*Fsw)),1,2))</f>
        <v>2</v>
      </c>
      <c r="W72" s="94">
        <f t="shared" si="53"/>
        <v>0.625</v>
      </c>
      <c r="X72" s="97">
        <f t="shared" si="54"/>
        <v>0.375</v>
      </c>
      <c r="Y72" s="96">
        <f t="shared" si="55"/>
        <v>2.7200193423597678</v>
      </c>
      <c r="Z72" s="94">
        <f t="shared" si="30"/>
        <v>6.1748244859946988</v>
      </c>
      <c r="AA72" s="94">
        <f t="shared" si="31"/>
        <v>4.8784202158958347</v>
      </c>
      <c r="AB72" s="94">
        <v>0</v>
      </c>
      <c r="AC72" s="94">
        <f t="shared" si="56"/>
        <v>4.7597967605722324E-2</v>
      </c>
      <c r="AD72" s="97">
        <f t="shared" ref="AD72:AD135" si="67">AB72+AC72</f>
        <v>4.7597967605722324E-2</v>
      </c>
      <c r="AE72" s="96">
        <f t="shared" si="29"/>
        <v>3.0092592592592595</v>
      </c>
      <c r="AF72" s="94">
        <f t="shared" ref="AF72:AF135" si="68">CHOOSE(V72,Z72*SQRT(W72/3),SQRT(W72*((Z72^2)+((Y72^2)/3)-(Z72*Y72))))</f>
        <v>3.8567298164102994</v>
      </c>
      <c r="AG72" s="94">
        <f t="shared" si="57"/>
        <v>0.13089441091573636</v>
      </c>
      <c r="AH72" s="94">
        <f t="shared" si="58"/>
        <v>0.49953465077940784</v>
      </c>
      <c r="AI72" s="97">
        <f t="shared" ref="AI72:AI135" si="69">AG72+AH72</f>
        <v>0.63042906169514423</v>
      </c>
      <c r="AJ72" s="96">
        <f t="shared" ref="AJ72:AJ135" si="70">X72*U72</f>
        <v>1.8055555555555556</v>
      </c>
      <c r="AK72" s="94">
        <f t="shared" si="59"/>
        <v>2.9874100699557355</v>
      </c>
      <c r="AL72" s="94">
        <f t="shared" si="60"/>
        <v>7.8536646549441813E-2</v>
      </c>
      <c r="AM72" s="94">
        <f t="shared" ref="AM72:AM103" si="71">CHOOSE(V72,(R72+Vd_rect)*Qrr*Fsw,(R72+Vd_rect)*Qrr*Fsw)</f>
        <v>0.36009600000000008</v>
      </c>
      <c r="AN72" s="237">
        <f t="shared" si="61"/>
        <v>4.3470764381402682E-2</v>
      </c>
      <c r="AO72" s="97">
        <f t="shared" ref="AO72:AO135" si="72">AL72+AM72+AN72</f>
        <v>0.48210341093084458</v>
      </c>
      <c r="AP72" s="96">
        <f t="shared" si="62"/>
        <v>7.1396951408583487E-2</v>
      </c>
      <c r="AQ72" s="257">
        <f t="shared" si="63"/>
        <v>4.7597967605722324E-2</v>
      </c>
      <c r="AR72" s="257">
        <f t="shared" si="64"/>
        <v>0.24041576743369195</v>
      </c>
      <c r="AS72" s="94">
        <f t="shared" si="65"/>
        <v>4.3999999999999997E-2</v>
      </c>
      <c r="AT72" s="97">
        <f t="shared" si="66"/>
        <v>2.9699999999999997E-5</v>
      </c>
      <c r="AU72" s="96">
        <f t="shared" ref="AU72:AU135" si="73">AP72+AO72+AI72+AD72+AS72+AT72+AQ72+AR72</f>
        <v>1.563570826679709</v>
      </c>
      <c r="AV72" s="94">
        <f t="shared" ref="AV72:AV135" si="74">R72*S72</f>
        <v>43.333333333333336</v>
      </c>
      <c r="AW72" s="97">
        <f t="shared" ref="AW72:AW135" si="75">(AV72/(AV72+AU72))*100</f>
        <v>96.517419506015102</v>
      </c>
    </row>
    <row r="73" spans="17:49" x14ac:dyDescent="0.3">
      <c r="Q73" s="32">
        <v>66</v>
      </c>
      <c r="R73" s="96">
        <f t="shared" si="49"/>
        <v>24</v>
      </c>
      <c r="S73" s="94">
        <f t="shared" si="50"/>
        <v>1.8333333333333335</v>
      </c>
      <c r="T73" s="94">
        <f t="shared" si="51"/>
        <v>9</v>
      </c>
      <c r="U73" s="97">
        <f t="shared" si="52"/>
        <v>4.8888888888888893</v>
      </c>
      <c r="V73" s="96">
        <f>IF(Variable_Management!$B$20=3,2,IF((S73*R73/T73)&lt;((T73*(1-(T73/R73)))/(2*Lm*Fsw)),1,2))</f>
        <v>2</v>
      </c>
      <c r="W73" s="94">
        <f t="shared" si="53"/>
        <v>0.625</v>
      </c>
      <c r="X73" s="97">
        <f t="shared" si="54"/>
        <v>0.375</v>
      </c>
      <c r="Y73" s="96">
        <f t="shared" si="55"/>
        <v>2.7200193423597678</v>
      </c>
      <c r="Z73" s="94">
        <f t="shared" si="30"/>
        <v>6.2488985600687732</v>
      </c>
      <c r="AA73" s="94">
        <f t="shared" si="31"/>
        <v>4.9515428575144309</v>
      </c>
      <c r="AB73" s="94">
        <v>0</v>
      </c>
      <c r="AC73" s="94">
        <f t="shared" si="56"/>
        <v>4.9035553339604347E-2</v>
      </c>
      <c r="AD73" s="97">
        <f t="shared" si="67"/>
        <v>4.9035553339604347E-2</v>
      </c>
      <c r="AE73" s="96">
        <f t="shared" ref="AE73:AE136" si="76">U73*W73</f>
        <v>3.0555555555555558</v>
      </c>
      <c r="AF73" s="94">
        <f t="shared" si="68"/>
        <v>3.9145383404210463</v>
      </c>
      <c r="AG73" s="94">
        <f t="shared" si="57"/>
        <v>0.13484777168391196</v>
      </c>
      <c r="AH73" s="94">
        <f t="shared" si="58"/>
        <v>0.50721979925293725</v>
      </c>
      <c r="AI73" s="97">
        <f t="shared" si="69"/>
        <v>0.64206757093684919</v>
      </c>
      <c r="AJ73" s="96">
        <f t="shared" si="70"/>
        <v>1.8333333333333335</v>
      </c>
      <c r="AK73" s="94">
        <f t="shared" si="59"/>
        <v>3.0321883601082269</v>
      </c>
      <c r="AL73" s="94">
        <f t="shared" si="60"/>
        <v>8.0908663010347215E-2</v>
      </c>
      <c r="AM73" s="94">
        <f t="shared" si="71"/>
        <v>0.36009600000000008</v>
      </c>
      <c r="AN73" s="237">
        <f t="shared" si="61"/>
        <v>4.3992245862884166E-2</v>
      </c>
      <c r="AO73" s="97">
        <f t="shared" si="72"/>
        <v>0.48499690887323144</v>
      </c>
      <c r="AP73" s="96">
        <f t="shared" si="62"/>
        <v>7.3553330009406517E-2</v>
      </c>
      <c r="AQ73" s="257">
        <f t="shared" si="63"/>
        <v>4.9035553339604347E-2</v>
      </c>
      <c r="AR73" s="257">
        <f t="shared" si="64"/>
        <v>0.24041576743369195</v>
      </c>
      <c r="AS73" s="94">
        <f t="shared" si="65"/>
        <v>4.3999999999999997E-2</v>
      </c>
      <c r="AT73" s="97">
        <f t="shared" si="66"/>
        <v>2.9699999999999997E-5</v>
      </c>
      <c r="AU73" s="96">
        <f t="shared" si="73"/>
        <v>1.5831343839323879</v>
      </c>
      <c r="AV73" s="94">
        <f t="shared" si="74"/>
        <v>44</v>
      </c>
      <c r="AW73" s="97">
        <f t="shared" si="75"/>
        <v>96.526929520471001</v>
      </c>
    </row>
    <row r="74" spans="17:49" x14ac:dyDescent="0.3">
      <c r="Q74" s="32">
        <v>67</v>
      </c>
      <c r="R74" s="96">
        <f t="shared" si="49"/>
        <v>24</v>
      </c>
      <c r="S74" s="94">
        <f t="shared" si="50"/>
        <v>1.8611111111111112</v>
      </c>
      <c r="T74" s="94">
        <f t="shared" si="51"/>
        <v>9</v>
      </c>
      <c r="U74" s="97">
        <f t="shared" si="52"/>
        <v>4.9629629629629637</v>
      </c>
      <c r="V74" s="96">
        <f>IF(Variable_Management!$B$20=3,2,IF((S74*R74/T74)&lt;((T74*(1-(T74/R74)))/(2*Lm*Fsw)),1,2))</f>
        <v>2</v>
      </c>
      <c r="W74" s="94">
        <f t="shared" si="53"/>
        <v>0.625</v>
      </c>
      <c r="X74" s="97">
        <f t="shared" si="54"/>
        <v>0.375</v>
      </c>
      <c r="Y74" s="96">
        <f t="shared" si="55"/>
        <v>2.7200193423597678</v>
      </c>
      <c r="Z74" s="94">
        <f t="shared" si="30"/>
        <v>6.3229726341428476</v>
      </c>
      <c r="AA74" s="94">
        <f t="shared" si="31"/>
        <v>5.024693371106645</v>
      </c>
      <c r="AB74" s="94">
        <v>0</v>
      </c>
      <c r="AC74" s="94">
        <f t="shared" si="56"/>
        <v>5.0495086947286119E-2</v>
      </c>
      <c r="AD74" s="97">
        <f t="shared" si="67"/>
        <v>5.0495086947286119E-2</v>
      </c>
      <c r="AE74" s="96">
        <f t="shared" si="76"/>
        <v>3.1018518518518521</v>
      </c>
      <c r="AF74" s="94">
        <f t="shared" si="68"/>
        <v>3.9723688991616712</v>
      </c>
      <c r="AG74" s="94">
        <f t="shared" si="57"/>
        <v>0.13886148910503679</v>
      </c>
      <c r="AH74" s="94">
        <f t="shared" si="58"/>
        <v>0.51490494772646656</v>
      </c>
      <c r="AI74" s="97">
        <f t="shared" si="69"/>
        <v>0.65376643683150337</v>
      </c>
      <c r="AJ74" s="96">
        <f t="shared" si="70"/>
        <v>1.8611111111111114</v>
      </c>
      <c r="AK74" s="94">
        <f t="shared" si="59"/>
        <v>3.0769837182890889</v>
      </c>
      <c r="AL74" s="94">
        <f t="shared" si="60"/>
        <v>8.3316893463022096E-2</v>
      </c>
      <c r="AM74" s="94">
        <f t="shared" si="71"/>
        <v>0.36009600000000008</v>
      </c>
      <c r="AN74" s="237">
        <f t="shared" si="61"/>
        <v>4.451372734436565E-2</v>
      </c>
      <c r="AO74" s="97">
        <f t="shared" si="72"/>
        <v>0.4879266208073878</v>
      </c>
      <c r="AP74" s="96">
        <f t="shared" si="62"/>
        <v>7.5742630420929186E-2</v>
      </c>
      <c r="AQ74" s="257">
        <f t="shared" si="63"/>
        <v>5.0495086947286119E-2</v>
      </c>
      <c r="AR74" s="257">
        <f t="shared" si="64"/>
        <v>0.24041576743369195</v>
      </c>
      <c r="AS74" s="94">
        <f t="shared" si="65"/>
        <v>4.3999999999999997E-2</v>
      </c>
      <c r="AT74" s="97">
        <f t="shared" si="66"/>
        <v>2.9699999999999997E-5</v>
      </c>
      <c r="AU74" s="96">
        <f t="shared" si="73"/>
        <v>1.6028713293880847</v>
      </c>
      <c r="AV74" s="94">
        <f t="shared" si="74"/>
        <v>44.666666666666671</v>
      </c>
      <c r="AW74" s="97">
        <f t="shared" si="75"/>
        <v>96.535795690190909</v>
      </c>
    </row>
    <row r="75" spans="17:49" x14ac:dyDescent="0.3">
      <c r="Q75" s="32">
        <v>68</v>
      </c>
      <c r="R75" s="96">
        <f t="shared" si="49"/>
        <v>24</v>
      </c>
      <c r="S75" s="94">
        <f t="shared" si="50"/>
        <v>1.8888888888888891</v>
      </c>
      <c r="T75" s="94">
        <f t="shared" si="51"/>
        <v>9</v>
      </c>
      <c r="U75" s="97">
        <f t="shared" si="52"/>
        <v>5.0370370370370372</v>
      </c>
      <c r="V75" s="96">
        <f>IF(Variable_Management!$B$20=3,2,IF((S75*R75/T75)&lt;((T75*(1-(T75/R75)))/(2*Lm*Fsw)),1,2))</f>
        <v>2</v>
      </c>
      <c r="W75" s="94">
        <f t="shared" si="53"/>
        <v>0.625</v>
      </c>
      <c r="X75" s="97">
        <f t="shared" si="54"/>
        <v>0.375</v>
      </c>
      <c r="Y75" s="96">
        <f t="shared" si="55"/>
        <v>2.7200193423597678</v>
      </c>
      <c r="Z75" s="94">
        <f t="shared" si="30"/>
        <v>6.3970467082169211</v>
      </c>
      <c r="AA75" s="94">
        <f t="shared" si="31"/>
        <v>5.0978705568485942</v>
      </c>
      <c r="AB75" s="94">
        <v>0</v>
      </c>
      <c r="AC75" s="94">
        <f t="shared" si="56"/>
        <v>5.1976568428767592E-2</v>
      </c>
      <c r="AD75" s="97">
        <f t="shared" si="67"/>
        <v>5.1976568428767592E-2</v>
      </c>
      <c r="AE75" s="96">
        <f t="shared" si="76"/>
        <v>3.1481481481481484</v>
      </c>
      <c r="AF75" s="94">
        <f t="shared" si="68"/>
        <v>4.0302205440881114</v>
      </c>
      <c r="AG75" s="94">
        <f t="shared" si="57"/>
        <v>0.14293556317911088</v>
      </c>
      <c r="AH75" s="94">
        <f t="shared" si="58"/>
        <v>0.52259009619999586</v>
      </c>
      <c r="AI75" s="97">
        <f t="shared" si="69"/>
        <v>0.66552565937910679</v>
      </c>
      <c r="AJ75" s="96">
        <f t="shared" si="70"/>
        <v>1.8888888888888888</v>
      </c>
      <c r="AK75" s="94">
        <f t="shared" si="59"/>
        <v>3.1217954097592497</v>
      </c>
      <c r="AL75" s="94">
        <f t="shared" si="60"/>
        <v>8.5761337907466512E-2</v>
      </c>
      <c r="AM75" s="94">
        <f t="shared" si="71"/>
        <v>0.36009600000000008</v>
      </c>
      <c r="AN75" s="237">
        <f t="shared" si="61"/>
        <v>4.5035208825847127E-2</v>
      </c>
      <c r="AO75" s="97">
        <f t="shared" si="72"/>
        <v>0.49089254673331373</v>
      </c>
      <c r="AP75" s="96">
        <f t="shared" si="62"/>
        <v>7.7964852643151394E-2</v>
      </c>
      <c r="AQ75" s="257">
        <f t="shared" si="63"/>
        <v>5.1976568428767592E-2</v>
      </c>
      <c r="AR75" s="257">
        <f t="shared" si="64"/>
        <v>0.24041576743369195</v>
      </c>
      <c r="AS75" s="94">
        <f t="shared" si="65"/>
        <v>4.3999999999999997E-2</v>
      </c>
      <c r="AT75" s="97">
        <f t="shared" si="66"/>
        <v>2.9699999999999997E-5</v>
      </c>
      <c r="AU75" s="96">
        <f t="shared" si="73"/>
        <v>1.6227816630467993</v>
      </c>
      <c r="AV75" s="94">
        <f t="shared" si="74"/>
        <v>45.333333333333336</v>
      </c>
      <c r="AW75" s="97">
        <f t="shared" si="75"/>
        <v>96.544046152089237</v>
      </c>
    </row>
    <row r="76" spans="17:49" x14ac:dyDescent="0.3">
      <c r="Q76" s="32">
        <v>69</v>
      </c>
      <c r="R76" s="96">
        <f t="shared" si="49"/>
        <v>24</v>
      </c>
      <c r="S76" s="94">
        <f t="shared" si="50"/>
        <v>1.9166666666666667</v>
      </c>
      <c r="T76" s="94">
        <f t="shared" si="51"/>
        <v>9</v>
      </c>
      <c r="U76" s="97">
        <f t="shared" si="52"/>
        <v>5.1111111111111107</v>
      </c>
      <c r="V76" s="96">
        <f>IF(Variable_Management!$B$20=3,2,IF((S76*R76/T76)&lt;((T76*(1-(T76/R76)))/(2*Lm*Fsw)),1,2))</f>
        <v>2</v>
      </c>
      <c r="W76" s="94">
        <f t="shared" si="53"/>
        <v>0.625</v>
      </c>
      <c r="X76" s="97">
        <f t="shared" si="54"/>
        <v>0.375</v>
      </c>
      <c r="Y76" s="96">
        <f t="shared" si="55"/>
        <v>2.7200193423597678</v>
      </c>
      <c r="Z76" s="94">
        <f t="shared" si="30"/>
        <v>6.4711207822909946</v>
      </c>
      <c r="AA76" s="94">
        <f t="shared" si="31"/>
        <v>5.171073282407086</v>
      </c>
      <c r="AB76" s="94">
        <v>0</v>
      </c>
      <c r="AC76" s="94">
        <f t="shared" si="56"/>
        <v>5.3479997784048793E-2</v>
      </c>
      <c r="AD76" s="97">
        <f t="shared" si="67"/>
        <v>5.3479997784048793E-2</v>
      </c>
      <c r="AE76" s="96">
        <f t="shared" si="76"/>
        <v>3.1944444444444442</v>
      </c>
      <c r="AF76" s="94">
        <f t="shared" si="68"/>
        <v>4.088092380012375</v>
      </c>
      <c r="AG76" s="94">
        <f t="shared" si="57"/>
        <v>0.14706999390613415</v>
      </c>
      <c r="AH76" s="94">
        <f t="shared" si="58"/>
        <v>0.53027524467352516</v>
      </c>
      <c r="AI76" s="97">
        <f t="shared" si="69"/>
        <v>0.67734523857965934</v>
      </c>
      <c r="AJ76" s="96">
        <f t="shared" si="70"/>
        <v>1.9166666666666665</v>
      </c>
      <c r="AK76" s="94">
        <f t="shared" si="59"/>
        <v>3.1666227411090744</v>
      </c>
      <c r="AL76" s="94">
        <f t="shared" si="60"/>
        <v>8.8241996343680504E-2</v>
      </c>
      <c r="AM76" s="94">
        <f t="shared" si="71"/>
        <v>0.36009600000000008</v>
      </c>
      <c r="AN76" s="237">
        <f t="shared" si="61"/>
        <v>4.5556690307328604E-2</v>
      </c>
      <c r="AO76" s="97">
        <f t="shared" si="72"/>
        <v>0.49389468665100922</v>
      </c>
      <c r="AP76" s="96">
        <f t="shared" si="62"/>
        <v>8.0219996676073185E-2</v>
      </c>
      <c r="AQ76" s="257">
        <f t="shared" si="63"/>
        <v>5.3479997784048793E-2</v>
      </c>
      <c r="AR76" s="257">
        <f t="shared" si="64"/>
        <v>0.24041576743369195</v>
      </c>
      <c r="AS76" s="94">
        <f t="shared" si="65"/>
        <v>4.3999999999999997E-2</v>
      </c>
      <c r="AT76" s="97">
        <f t="shared" si="66"/>
        <v>2.9699999999999997E-5</v>
      </c>
      <c r="AU76" s="96">
        <f t="shared" si="73"/>
        <v>1.6428653849085313</v>
      </c>
      <c r="AV76" s="94">
        <f t="shared" si="74"/>
        <v>46</v>
      </c>
      <c r="AW76" s="97">
        <f t="shared" si="75"/>
        <v>96.551707434815768</v>
      </c>
    </row>
    <row r="77" spans="17:49" x14ac:dyDescent="0.3">
      <c r="Q77" s="32">
        <v>70</v>
      </c>
      <c r="R77" s="96">
        <f t="shared" si="49"/>
        <v>24</v>
      </c>
      <c r="S77" s="94">
        <f t="shared" si="50"/>
        <v>1.9444444444444446</v>
      </c>
      <c r="T77" s="94">
        <f t="shared" si="51"/>
        <v>9</v>
      </c>
      <c r="U77" s="97">
        <f t="shared" si="52"/>
        <v>5.185185185185186</v>
      </c>
      <c r="V77" s="96">
        <f>IF(Variable_Management!$B$20=3,2,IF((S77*R77/T77)&lt;((T77*(1-(T77/R77)))/(2*Lm*Fsw)),1,2))</f>
        <v>2</v>
      </c>
      <c r="W77" s="94">
        <f t="shared" si="53"/>
        <v>0.625</v>
      </c>
      <c r="X77" s="97">
        <f t="shared" si="54"/>
        <v>0.375</v>
      </c>
      <c r="Y77" s="96">
        <f t="shared" si="55"/>
        <v>2.7200193423597678</v>
      </c>
      <c r="Z77" s="94">
        <f t="shared" si="30"/>
        <v>6.5451948563650699</v>
      </c>
      <c r="AA77" s="94">
        <f t="shared" si="31"/>
        <v>5.2443004782873448</v>
      </c>
      <c r="AB77" s="94">
        <v>0</v>
      </c>
      <c r="AC77" s="94">
        <f t="shared" si="56"/>
        <v>5.5005375013129743E-2</v>
      </c>
      <c r="AD77" s="97">
        <f t="shared" si="67"/>
        <v>5.5005375013129743E-2</v>
      </c>
      <c r="AE77" s="96">
        <f t="shared" si="76"/>
        <v>3.2407407407407414</v>
      </c>
      <c r="AF77" s="94">
        <f t="shared" si="68"/>
        <v>4.1459835614246039</v>
      </c>
      <c r="AG77" s="94">
        <f t="shared" si="57"/>
        <v>0.15126478128610676</v>
      </c>
      <c r="AH77" s="94">
        <f t="shared" si="58"/>
        <v>0.53796039314705457</v>
      </c>
      <c r="AI77" s="97">
        <f t="shared" si="69"/>
        <v>0.68922517443316134</v>
      </c>
      <c r="AJ77" s="96">
        <f t="shared" si="70"/>
        <v>1.9444444444444446</v>
      </c>
      <c r="AK77" s="94">
        <f t="shared" si="59"/>
        <v>3.2114650574094412</v>
      </c>
      <c r="AL77" s="94">
        <f t="shared" si="60"/>
        <v>9.0758868771664072E-2</v>
      </c>
      <c r="AM77" s="94">
        <f t="shared" si="71"/>
        <v>0.36009600000000008</v>
      </c>
      <c r="AN77" s="237">
        <f t="shared" si="61"/>
        <v>4.6078171788810095E-2</v>
      </c>
      <c r="AO77" s="97">
        <f t="shared" si="72"/>
        <v>0.49693304056047422</v>
      </c>
      <c r="AP77" s="96">
        <f t="shared" si="62"/>
        <v>8.2508062519694614E-2</v>
      </c>
      <c r="AQ77" s="257">
        <f t="shared" si="63"/>
        <v>5.5005375013129743E-2</v>
      </c>
      <c r="AR77" s="257">
        <f t="shared" si="64"/>
        <v>0.24041576743369195</v>
      </c>
      <c r="AS77" s="94">
        <f t="shared" si="65"/>
        <v>4.3999999999999997E-2</v>
      </c>
      <c r="AT77" s="97">
        <f t="shared" si="66"/>
        <v>2.9699999999999997E-5</v>
      </c>
      <c r="AU77" s="96">
        <f t="shared" si="73"/>
        <v>1.6631224949732817</v>
      </c>
      <c r="AV77" s="94">
        <f t="shared" si="74"/>
        <v>46.666666666666671</v>
      </c>
      <c r="AW77" s="97">
        <f t="shared" si="75"/>
        <v>96.558804572039548</v>
      </c>
    </row>
    <row r="78" spans="17:49" x14ac:dyDescent="0.3">
      <c r="Q78" s="32">
        <v>71</v>
      </c>
      <c r="R78" s="96">
        <f t="shared" si="49"/>
        <v>24</v>
      </c>
      <c r="S78" s="94">
        <f t="shared" si="50"/>
        <v>1.9722222222222223</v>
      </c>
      <c r="T78" s="94">
        <f t="shared" si="51"/>
        <v>9</v>
      </c>
      <c r="U78" s="97">
        <f t="shared" si="52"/>
        <v>5.2592592592592595</v>
      </c>
      <c r="V78" s="96">
        <f>IF(Variable_Management!$B$20=3,2,IF((S78*R78/T78)&lt;((T78*(1-(T78/R78)))/(2*Lm*Fsw)),1,2))</f>
        <v>2</v>
      </c>
      <c r="W78" s="94">
        <f t="shared" si="53"/>
        <v>0.625</v>
      </c>
      <c r="X78" s="97">
        <f t="shared" si="54"/>
        <v>0.375</v>
      </c>
      <c r="Y78" s="96">
        <f t="shared" si="55"/>
        <v>2.7200193423597678</v>
      </c>
      <c r="Z78" s="94">
        <f t="shared" si="30"/>
        <v>6.6192689304391434</v>
      </c>
      <c r="AA78" s="94">
        <f t="shared" si="31"/>
        <v>5.3175511335581156</v>
      </c>
      <c r="AB78" s="94">
        <v>0</v>
      </c>
      <c r="AC78" s="94">
        <f t="shared" si="56"/>
        <v>5.65527001160104E-2</v>
      </c>
      <c r="AD78" s="97">
        <f t="shared" si="67"/>
        <v>5.65527001160104E-2</v>
      </c>
      <c r="AE78" s="96">
        <f t="shared" si="76"/>
        <v>3.2870370370370372</v>
      </c>
      <c r="AF78" s="94">
        <f t="shared" si="68"/>
        <v>4.2038932891134673</v>
      </c>
      <c r="AG78" s="94">
        <f t="shared" si="57"/>
        <v>0.15551992531902856</v>
      </c>
      <c r="AH78" s="94">
        <f t="shared" si="58"/>
        <v>0.54564554162058398</v>
      </c>
      <c r="AI78" s="97">
        <f t="shared" si="69"/>
        <v>0.70116546693961257</v>
      </c>
      <c r="AJ78" s="96">
        <f t="shared" si="70"/>
        <v>1.9722222222222223</v>
      </c>
      <c r="AK78" s="94">
        <f t="shared" si="59"/>
        <v>3.2563217395939161</v>
      </c>
      <c r="AL78" s="94">
        <f t="shared" si="60"/>
        <v>9.3311955191417162E-2</v>
      </c>
      <c r="AM78" s="94">
        <f t="shared" si="71"/>
        <v>0.36009600000000008</v>
      </c>
      <c r="AN78" s="237">
        <f t="shared" si="61"/>
        <v>4.6599653270291572E-2</v>
      </c>
      <c r="AO78" s="97">
        <f t="shared" si="72"/>
        <v>0.50000760846170877</v>
      </c>
      <c r="AP78" s="96">
        <f t="shared" si="62"/>
        <v>8.4829050174015597E-2</v>
      </c>
      <c r="AQ78" s="257">
        <f t="shared" si="63"/>
        <v>5.65527001160104E-2</v>
      </c>
      <c r="AR78" s="257">
        <f t="shared" si="64"/>
        <v>0.24041576743369195</v>
      </c>
      <c r="AS78" s="94">
        <f t="shared" si="65"/>
        <v>4.3999999999999997E-2</v>
      </c>
      <c r="AT78" s="97">
        <f t="shared" si="66"/>
        <v>2.9699999999999997E-5</v>
      </c>
      <c r="AU78" s="96">
        <f t="shared" si="73"/>
        <v>1.6835529932410498</v>
      </c>
      <c r="AV78" s="94">
        <f t="shared" si="74"/>
        <v>47.333333333333336</v>
      </c>
      <c r="AW78" s="97">
        <f t="shared" si="75"/>
        <v>96.565361206290419</v>
      </c>
    </row>
    <row r="79" spans="17:49" x14ac:dyDescent="0.3">
      <c r="Q79" s="32">
        <v>72</v>
      </c>
      <c r="R79" s="96">
        <f t="shared" si="49"/>
        <v>24</v>
      </c>
      <c r="S79" s="94">
        <f t="shared" si="50"/>
        <v>2</v>
      </c>
      <c r="T79" s="94">
        <f t="shared" si="51"/>
        <v>9</v>
      </c>
      <c r="U79" s="97">
        <f t="shared" si="52"/>
        <v>5.333333333333333</v>
      </c>
      <c r="V79" s="96">
        <f>IF(Variable_Management!$B$20=3,2,IF((S79*R79/T79)&lt;((T79*(1-(T79/R79)))/(2*Lm*Fsw)),1,2))</f>
        <v>2</v>
      </c>
      <c r="W79" s="94">
        <f t="shared" si="53"/>
        <v>0.625</v>
      </c>
      <c r="X79" s="97">
        <f t="shared" si="54"/>
        <v>0.375</v>
      </c>
      <c r="Y79" s="96">
        <f t="shared" si="55"/>
        <v>2.7200193423597678</v>
      </c>
      <c r="Z79" s="94">
        <f t="shared" si="30"/>
        <v>6.693343004513217</v>
      </c>
      <c r="AA79" s="94">
        <f t="shared" si="31"/>
        <v>5.3908242919191292</v>
      </c>
      <c r="AB79" s="94">
        <v>0</v>
      </c>
      <c r="AC79" s="94">
        <f t="shared" si="56"/>
        <v>5.8121973092690758E-2</v>
      </c>
      <c r="AD79" s="97">
        <f t="shared" si="67"/>
        <v>5.8121973092690758E-2</v>
      </c>
      <c r="AE79" s="96">
        <f t="shared" si="76"/>
        <v>3.333333333333333</v>
      </c>
      <c r="AF79" s="94">
        <f t="shared" si="68"/>
        <v>4.2618208070572203</v>
      </c>
      <c r="AG79" s="94">
        <f t="shared" si="57"/>
        <v>0.15983542600489956</v>
      </c>
      <c r="AH79" s="94">
        <f t="shared" si="58"/>
        <v>0.55333069009411329</v>
      </c>
      <c r="AI79" s="97">
        <f t="shared" si="69"/>
        <v>0.71316611609901281</v>
      </c>
      <c r="AJ79" s="96">
        <f t="shared" si="70"/>
        <v>2</v>
      </c>
      <c r="AK79" s="94">
        <f t="shared" si="59"/>
        <v>3.3011922020505735</v>
      </c>
      <c r="AL79" s="94">
        <f t="shared" si="60"/>
        <v>9.5901255602939731E-2</v>
      </c>
      <c r="AM79" s="94">
        <f t="shared" si="71"/>
        <v>0.36009600000000008</v>
      </c>
      <c r="AN79" s="237">
        <f t="shared" si="61"/>
        <v>4.7121134751773049E-2</v>
      </c>
      <c r="AO79" s="97">
        <f t="shared" si="72"/>
        <v>0.50311839035471284</v>
      </c>
      <c r="AP79" s="96">
        <f t="shared" si="62"/>
        <v>8.7182959639036134E-2</v>
      </c>
      <c r="AQ79" s="257">
        <f t="shared" si="63"/>
        <v>5.8121973092690758E-2</v>
      </c>
      <c r="AR79" s="257">
        <f t="shared" si="64"/>
        <v>0.24041576743369195</v>
      </c>
      <c r="AS79" s="94">
        <f t="shared" si="65"/>
        <v>4.3999999999999997E-2</v>
      </c>
      <c r="AT79" s="97">
        <f t="shared" si="66"/>
        <v>2.9699999999999997E-5</v>
      </c>
      <c r="AU79" s="96">
        <f t="shared" si="73"/>
        <v>1.7041568797118352</v>
      </c>
      <c r="AV79" s="94">
        <f t="shared" si="74"/>
        <v>48</v>
      </c>
      <c r="AW79" s="97">
        <f t="shared" si="75"/>
        <v>96.571399684263767</v>
      </c>
    </row>
    <row r="80" spans="17:49" x14ac:dyDescent="0.3">
      <c r="Q80" s="32">
        <v>73</v>
      </c>
      <c r="R80" s="96">
        <f t="shared" si="49"/>
        <v>24</v>
      </c>
      <c r="S80" s="94">
        <f t="shared" si="50"/>
        <v>2.0277777777777781</v>
      </c>
      <c r="T80" s="94">
        <f t="shared" si="51"/>
        <v>9</v>
      </c>
      <c r="U80" s="97">
        <f t="shared" si="52"/>
        <v>5.4074074074074083</v>
      </c>
      <c r="V80" s="96">
        <f>IF(Variable_Management!$B$20=3,2,IF((S80*R80/T80)&lt;((T80*(1-(T80/R80)))/(2*Lm*Fsw)),1,2))</f>
        <v>2</v>
      </c>
      <c r="W80" s="94">
        <f t="shared" si="53"/>
        <v>0.625</v>
      </c>
      <c r="X80" s="97">
        <f t="shared" si="54"/>
        <v>0.375</v>
      </c>
      <c r="Y80" s="96">
        <f t="shared" si="55"/>
        <v>2.7200193423597678</v>
      </c>
      <c r="Z80" s="94">
        <f t="shared" ref="Z80:Z143" si="77">CHOOSE(V80,Y80,U80+(0.5*Y80))</f>
        <v>6.7674170785872922</v>
      </c>
      <c r="AA80" s="94">
        <f t="shared" ref="AA80:AA143" si="78">CHOOSE(V80,Z80*SQRT((W80+X80)/3),SQRT((U80^2)+((Y80^2)/12)))</f>
        <v>5.464119048079521</v>
      </c>
      <c r="AB80" s="94">
        <v>0</v>
      </c>
      <c r="AC80" s="94">
        <f t="shared" si="56"/>
        <v>5.97131939431709E-2</v>
      </c>
      <c r="AD80" s="97">
        <f t="shared" si="67"/>
        <v>5.97131939431709E-2</v>
      </c>
      <c r="AE80" s="96">
        <f t="shared" si="76"/>
        <v>3.3796296296296302</v>
      </c>
      <c r="AF80" s="94">
        <f t="shared" si="68"/>
        <v>4.3197653995605947</v>
      </c>
      <c r="AG80" s="94">
        <f t="shared" si="57"/>
        <v>0.16421128334371995</v>
      </c>
      <c r="AH80" s="94">
        <f t="shared" si="58"/>
        <v>0.5610158385676427</v>
      </c>
      <c r="AI80" s="97">
        <f t="shared" si="69"/>
        <v>0.72522712191136263</v>
      </c>
      <c r="AJ80" s="96">
        <f t="shared" si="70"/>
        <v>2.0277777777777781</v>
      </c>
      <c r="AK80" s="94">
        <f t="shared" si="59"/>
        <v>3.3460758904042427</v>
      </c>
      <c r="AL80" s="94">
        <f t="shared" si="60"/>
        <v>9.8526770006232015E-2</v>
      </c>
      <c r="AM80" s="94">
        <f t="shared" si="71"/>
        <v>0.36009600000000008</v>
      </c>
      <c r="AN80" s="237">
        <f t="shared" si="61"/>
        <v>4.7642616233254539E-2</v>
      </c>
      <c r="AO80" s="97">
        <f t="shared" si="72"/>
        <v>0.50626538623948658</v>
      </c>
      <c r="AP80" s="96">
        <f t="shared" si="62"/>
        <v>8.956979091475635E-2</v>
      </c>
      <c r="AQ80" s="257">
        <f t="shared" si="63"/>
        <v>5.97131939431709E-2</v>
      </c>
      <c r="AR80" s="257">
        <f t="shared" si="64"/>
        <v>0.24041576743369195</v>
      </c>
      <c r="AS80" s="94">
        <f t="shared" si="65"/>
        <v>4.3999999999999997E-2</v>
      </c>
      <c r="AT80" s="97">
        <f t="shared" si="66"/>
        <v>2.9699999999999997E-5</v>
      </c>
      <c r="AU80" s="96">
        <f t="shared" si="73"/>
        <v>1.7249341543856396</v>
      </c>
      <c r="AV80" s="94">
        <f t="shared" si="74"/>
        <v>48.666666666666671</v>
      </c>
      <c r="AW80" s="97">
        <f t="shared" si="75"/>
        <v>96.576941144396017</v>
      </c>
    </row>
    <row r="81" spans="17:49" x14ac:dyDescent="0.3">
      <c r="Q81" s="32">
        <v>74</v>
      </c>
      <c r="R81" s="96">
        <f t="shared" si="49"/>
        <v>24</v>
      </c>
      <c r="S81" s="94">
        <f t="shared" si="50"/>
        <v>2.0555555555555558</v>
      </c>
      <c r="T81" s="94">
        <f t="shared" si="51"/>
        <v>9</v>
      </c>
      <c r="U81" s="97">
        <f t="shared" si="52"/>
        <v>5.4814814814814827</v>
      </c>
      <c r="V81" s="96">
        <f>IF(Variable_Management!$B$20=3,2,IF((S81*R81/T81)&lt;((T81*(1-(T81/R81)))/(2*Lm*Fsw)),1,2))</f>
        <v>2</v>
      </c>
      <c r="W81" s="94">
        <f t="shared" si="53"/>
        <v>0.625</v>
      </c>
      <c r="X81" s="97">
        <f t="shared" si="54"/>
        <v>0.375</v>
      </c>
      <c r="Y81" s="96">
        <f t="shared" si="55"/>
        <v>2.7200193423597678</v>
      </c>
      <c r="Z81" s="94">
        <f t="shared" si="77"/>
        <v>6.8414911526613666</v>
      </c>
      <c r="AA81" s="94">
        <f t="shared" si="78"/>
        <v>5.537434544419046</v>
      </c>
      <c r="AB81" s="94">
        <v>0</v>
      </c>
      <c r="AC81" s="94">
        <f t="shared" si="56"/>
        <v>6.1326362667450736E-2</v>
      </c>
      <c r="AD81" s="97">
        <f t="shared" si="67"/>
        <v>6.1326362667450736E-2</v>
      </c>
      <c r="AE81" s="96">
        <f t="shared" si="76"/>
        <v>3.4259259259259265</v>
      </c>
      <c r="AF81" s="94">
        <f t="shared" si="68"/>
        <v>4.3777263886152538</v>
      </c>
      <c r="AG81" s="94">
        <f t="shared" si="57"/>
        <v>0.1686474973354895</v>
      </c>
      <c r="AH81" s="94">
        <f t="shared" si="58"/>
        <v>0.56870098704117211</v>
      </c>
      <c r="AI81" s="97">
        <f t="shared" si="69"/>
        <v>0.73734848437666156</v>
      </c>
      <c r="AJ81" s="96">
        <f t="shared" si="70"/>
        <v>2.0555555555555562</v>
      </c>
      <c r="AK81" s="94">
        <f t="shared" si="59"/>
        <v>3.3909722794719239</v>
      </c>
      <c r="AL81" s="94">
        <f t="shared" si="60"/>
        <v>0.10118849840129375</v>
      </c>
      <c r="AM81" s="94">
        <f t="shared" si="71"/>
        <v>0.36009600000000008</v>
      </c>
      <c r="AN81" s="237">
        <f t="shared" si="61"/>
        <v>4.8164097714736023E-2</v>
      </c>
      <c r="AO81" s="97">
        <f t="shared" si="72"/>
        <v>0.50944859611602988</v>
      </c>
      <c r="AP81" s="96">
        <f t="shared" si="62"/>
        <v>9.1989544001176107E-2</v>
      </c>
      <c r="AQ81" s="257">
        <f t="shared" si="63"/>
        <v>6.1326362667450736E-2</v>
      </c>
      <c r="AR81" s="257">
        <f t="shared" si="64"/>
        <v>0.24041576743369195</v>
      </c>
      <c r="AS81" s="94">
        <f t="shared" si="65"/>
        <v>4.3999999999999997E-2</v>
      </c>
      <c r="AT81" s="97">
        <f t="shared" si="66"/>
        <v>2.9699999999999997E-5</v>
      </c>
      <c r="AU81" s="96">
        <f t="shared" si="73"/>
        <v>1.745884817262461</v>
      </c>
      <c r="AV81" s="94">
        <f t="shared" si="74"/>
        <v>49.333333333333343</v>
      </c>
      <c r="AW81" s="97">
        <f t="shared" si="75"/>
        <v>96.582005597432783</v>
      </c>
    </row>
    <row r="82" spans="17:49" x14ac:dyDescent="0.3">
      <c r="Q82" s="32">
        <v>75</v>
      </c>
      <c r="R82" s="96">
        <f t="shared" si="49"/>
        <v>24</v>
      </c>
      <c r="S82" s="94">
        <f t="shared" si="50"/>
        <v>2.0833333333333335</v>
      </c>
      <c r="T82" s="94">
        <f t="shared" si="51"/>
        <v>9</v>
      </c>
      <c r="U82" s="97">
        <f t="shared" si="52"/>
        <v>5.5555555555555554</v>
      </c>
      <c r="V82" s="96">
        <f>IF(Variable_Management!$B$20=3,2,IF((S82*R82/T82)&lt;((T82*(1-(T82/R82)))/(2*Lm*Fsw)),1,2))</f>
        <v>2</v>
      </c>
      <c r="W82" s="94">
        <f t="shared" si="53"/>
        <v>0.625</v>
      </c>
      <c r="X82" s="97">
        <f t="shared" si="54"/>
        <v>0.375</v>
      </c>
      <c r="Y82" s="96">
        <f t="shared" si="55"/>
        <v>2.7200193423597678</v>
      </c>
      <c r="Z82" s="94">
        <f t="shared" si="77"/>
        <v>6.9155652267354393</v>
      </c>
      <c r="AA82" s="94">
        <f t="shared" si="78"/>
        <v>5.6107699679068235</v>
      </c>
      <c r="AB82" s="94">
        <v>0</v>
      </c>
      <c r="AC82" s="94">
        <f t="shared" si="56"/>
        <v>6.2961479265530279E-2</v>
      </c>
      <c r="AD82" s="97">
        <f t="shared" si="67"/>
        <v>6.2961479265530279E-2</v>
      </c>
      <c r="AE82" s="96">
        <f t="shared" si="76"/>
        <v>3.4722222222222223</v>
      </c>
      <c r="AF82" s="94">
        <f t="shared" si="68"/>
        <v>4.4357031314638498</v>
      </c>
      <c r="AG82" s="94">
        <f t="shared" si="57"/>
        <v>0.1731440679802082</v>
      </c>
      <c r="AH82" s="94">
        <f t="shared" si="58"/>
        <v>0.57638613551470119</v>
      </c>
      <c r="AI82" s="97">
        <f t="shared" si="69"/>
        <v>0.7495302034949094</v>
      </c>
      <c r="AJ82" s="96">
        <f t="shared" si="70"/>
        <v>2.083333333333333</v>
      </c>
      <c r="AK82" s="94">
        <f t="shared" si="59"/>
        <v>3.4358808713759159</v>
      </c>
      <c r="AL82" s="94">
        <f t="shared" si="60"/>
        <v>0.10388644078812492</v>
      </c>
      <c r="AM82" s="94">
        <f t="shared" si="71"/>
        <v>0.36009600000000008</v>
      </c>
      <c r="AN82" s="237">
        <f t="shared" si="61"/>
        <v>4.8685579196217493E-2</v>
      </c>
      <c r="AO82" s="97">
        <f t="shared" si="72"/>
        <v>0.51266801998434253</v>
      </c>
      <c r="AP82" s="96">
        <f t="shared" si="62"/>
        <v>9.4442218898295405E-2</v>
      </c>
      <c r="AQ82" s="257">
        <f t="shared" si="63"/>
        <v>6.2961479265530279E-2</v>
      </c>
      <c r="AR82" s="257">
        <f t="shared" si="64"/>
        <v>0.24041576743369195</v>
      </c>
      <c r="AS82" s="94">
        <f t="shared" si="65"/>
        <v>4.3999999999999997E-2</v>
      </c>
      <c r="AT82" s="97">
        <f t="shared" si="66"/>
        <v>2.9699999999999997E-5</v>
      </c>
      <c r="AU82" s="96">
        <f t="shared" si="73"/>
        <v>1.7670088683422998</v>
      </c>
      <c r="AV82" s="94">
        <f t="shared" si="74"/>
        <v>50</v>
      </c>
      <c r="AW82" s="97">
        <f t="shared" si="75"/>
        <v>96.58661200063483</v>
      </c>
    </row>
    <row r="83" spans="17:49" x14ac:dyDescent="0.3">
      <c r="Q83" s="32">
        <v>76</v>
      </c>
      <c r="R83" s="96">
        <f t="shared" si="49"/>
        <v>24</v>
      </c>
      <c r="S83" s="94">
        <f t="shared" si="50"/>
        <v>2.1111111111111112</v>
      </c>
      <c r="T83" s="94">
        <f t="shared" si="51"/>
        <v>9</v>
      </c>
      <c r="U83" s="97">
        <f t="shared" si="52"/>
        <v>5.6296296296296298</v>
      </c>
      <c r="V83" s="96">
        <f>IF(Variable_Management!$B$20=3,2,IF((S83*R83/T83)&lt;((T83*(1-(T83/R83)))/(2*Lm*Fsw)),1,2))</f>
        <v>2</v>
      </c>
      <c r="W83" s="94">
        <f t="shared" si="53"/>
        <v>0.625</v>
      </c>
      <c r="X83" s="97">
        <f t="shared" si="54"/>
        <v>0.375</v>
      </c>
      <c r="Y83" s="96">
        <f t="shared" si="55"/>
        <v>2.7200193423597678</v>
      </c>
      <c r="Z83" s="94">
        <f t="shared" si="77"/>
        <v>6.9896393008095137</v>
      </c>
      <c r="AA83" s="94">
        <f t="shared" si="78"/>
        <v>5.6841245472548172</v>
      </c>
      <c r="AB83" s="94">
        <v>0</v>
      </c>
      <c r="AC83" s="94">
        <f t="shared" si="56"/>
        <v>6.4618543737409564E-2</v>
      </c>
      <c r="AD83" s="97">
        <f t="shared" si="67"/>
        <v>6.4618543737409564E-2</v>
      </c>
      <c r="AE83" s="96">
        <f t="shared" si="76"/>
        <v>3.5185185185185186</v>
      </c>
      <c r="AF83" s="94">
        <f t="shared" si="68"/>
        <v>4.4936950183496531</v>
      </c>
      <c r="AG83" s="94">
        <f t="shared" si="57"/>
        <v>0.17770099527787631</v>
      </c>
      <c r="AH83" s="94">
        <f t="shared" si="58"/>
        <v>0.58407128398823072</v>
      </c>
      <c r="AI83" s="97">
        <f t="shared" si="69"/>
        <v>0.76177227926610702</v>
      </c>
      <c r="AJ83" s="96">
        <f t="shared" si="70"/>
        <v>2.1111111111111112</v>
      </c>
      <c r="AK83" s="94">
        <f t="shared" si="59"/>
        <v>3.480801193800688</v>
      </c>
      <c r="AL83" s="94">
        <f t="shared" si="60"/>
        <v>0.1066205971667258</v>
      </c>
      <c r="AM83" s="94">
        <f t="shared" si="71"/>
        <v>0.36009600000000008</v>
      </c>
      <c r="AN83" s="237">
        <f t="shared" si="61"/>
        <v>4.9207060677698977E-2</v>
      </c>
      <c r="AO83" s="97">
        <f t="shared" si="72"/>
        <v>0.51592365784442484</v>
      </c>
      <c r="AP83" s="96">
        <f t="shared" si="62"/>
        <v>9.6927815606114354E-2</v>
      </c>
      <c r="AQ83" s="257">
        <f t="shared" si="63"/>
        <v>6.4618543737409564E-2</v>
      </c>
      <c r="AR83" s="257">
        <f t="shared" si="64"/>
        <v>0.24041576743369195</v>
      </c>
      <c r="AS83" s="94">
        <f t="shared" si="65"/>
        <v>4.3999999999999997E-2</v>
      </c>
      <c r="AT83" s="97">
        <f t="shared" si="66"/>
        <v>2.9699999999999997E-5</v>
      </c>
      <c r="AU83" s="96">
        <f t="shared" si="73"/>
        <v>1.7883063076251575</v>
      </c>
      <c r="AV83" s="94">
        <f t="shared" si="74"/>
        <v>50.666666666666671</v>
      </c>
      <c r="AW83" s="97">
        <f t="shared" si="75"/>
        <v>96.590778326200635</v>
      </c>
    </row>
    <row r="84" spans="17:49" x14ac:dyDescent="0.3">
      <c r="Q84" s="32">
        <v>77</v>
      </c>
      <c r="R84" s="96">
        <f t="shared" si="49"/>
        <v>24</v>
      </c>
      <c r="S84" s="94">
        <f t="shared" si="50"/>
        <v>2.1388888888888888</v>
      </c>
      <c r="T84" s="94">
        <f t="shared" si="51"/>
        <v>9</v>
      </c>
      <c r="U84" s="97">
        <f t="shared" si="52"/>
        <v>5.7037037037037033</v>
      </c>
      <c r="V84" s="96">
        <f>IF(Variable_Management!$B$20=3,2,IF((S84*R84/T84)&lt;((T84*(1-(T84/R84)))/(2*Lm*Fsw)),1,2))</f>
        <v>2</v>
      </c>
      <c r="W84" s="94">
        <f t="shared" si="53"/>
        <v>0.625</v>
      </c>
      <c r="X84" s="97">
        <f t="shared" si="54"/>
        <v>0.375</v>
      </c>
      <c r="Y84" s="96">
        <f t="shared" si="55"/>
        <v>2.7200193423597678</v>
      </c>
      <c r="Z84" s="94">
        <f t="shared" si="77"/>
        <v>7.0637133748835872</v>
      </c>
      <c r="AA84" s="94">
        <f t="shared" si="78"/>
        <v>5.7574975502855654</v>
      </c>
      <c r="AB84" s="94">
        <v>0</v>
      </c>
      <c r="AC84" s="94">
        <f t="shared" si="56"/>
        <v>6.6297556083088585E-2</v>
      </c>
      <c r="AD84" s="97">
        <f t="shared" si="67"/>
        <v>6.6297556083088585E-2</v>
      </c>
      <c r="AE84" s="96">
        <f t="shared" si="76"/>
        <v>3.5648148148148144</v>
      </c>
      <c r="AF84" s="94">
        <f t="shared" si="68"/>
        <v>4.5517014704355532</v>
      </c>
      <c r="AG84" s="94">
        <f t="shared" si="57"/>
        <v>0.18231827922849358</v>
      </c>
      <c r="AH84" s="94">
        <f t="shared" si="58"/>
        <v>0.59175643246176002</v>
      </c>
      <c r="AI84" s="97">
        <f t="shared" si="69"/>
        <v>0.77407471169025355</v>
      </c>
      <c r="AJ84" s="96">
        <f t="shared" si="70"/>
        <v>2.1388888888888888</v>
      </c>
      <c r="AK84" s="94">
        <f t="shared" si="59"/>
        <v>3.5257327983809414</v>
      </c>
      <c r="AL84" s="94">
        <f t="shared" si="60"/>
        <v>0.10939096753709614</v>
      </c>
      <c r="AM84" s="94">
        <f t="shared" si="71"/>
        <v>0.36009600000000008</v>
      </c>
      <c r="AN84" s="237">
        <f t="shared" si="61"/>
        <v>4.9728542159180454E-2</v>
      </c>
      <c r="AO84" s="97">
        <f t="shared" si="72"/>
        <v>0.51921550969627672</v>
      </c>
      <c r="AP84" s="96">
        <f t="shared" si="62"/>
        <v>9.9446334124632871E-2</v>
      </c>
      <c r="AQ84" s="257">
        <f t="shared" si="63"/>
        <v>6.6297556083088585E-2</v>
      </c>
      <c r="AR84" s="257">
        <f t="shared" si="64"/>
        <v>0.24041576743369195</v>
      </c>
      <c r="AS84" s="94">
        <f t="shared" si="65"/>
        <v>4.3999999999999997E-2</v>
      </c>
      <c r="AT84" s="97">
        <f t="shared" si="66"/>
        <v>2.9699999999999997E-5</v>
      </c>
      <c r="AU84" s="96">
        <f t="shared" si="73"/>
        <v>1.8097771351110321</v>
      </c>
      <c r="AV84" s="94">
        <f t="shared" si="74"/>
        <v>51.333333333333329</v>
      </c>
      <c r="AW84" s="97">
        <f t="shared" si="75"/>
        <v>96.594521624424573</v>
      </c>
    </row>
    <row r="85" spans="17:49" x14ac:dyDescent="0.3">
      <c r="Q85" s="32">
        <v>78</v>
      </c>
      <c r="R85" s="96">
        <f t="shared" si="49"/>
        <v>24</v>
      </c>
      <c r="S85" s="94">
        <f t="shared" si="50"/>
        <v>2.166666666666667</v>
      </c>
      <c r="T85" s="94">
        <f t="shared" si="51"/>
        <v>9</v>
      </c>
      <c r="U85" s="97">
        <f t="shared" si="52"/>
        <v>5.7777777777777786</v>
      </c>
      <c r="V85" s="96">
        <f>IF(Variable_Management!$B$20=3,2,IF((S85*R85/T85)&lt;((T85*(1-(T85/R85)))/(2*Lm*Fsw)),1,2))</f>
        <v>2</v>
      </c>
      <c r="W85" s="94">
        <f t="shared" si="53"/>
        <v>0.625</v>
      </c>
      <c r="X85" s="97">
        <f t="shared" si="54"/>
        <v>0.375</v>
      </c>
      <c r="Y85" s="96">
        <f t="shared" si="55"/>
        <v>2.7200193423597678</v>
      </c>
      <c r="Z85" s="94">
        <f t="shared" si="77"/>
        <v>7.1377874489576625</v>
      </c>
      <c r="AA85" s="94">
        <f t="shared" si="78"/>
        <v>5.8308882814956817</v>
      </c>
      <c r="AB85" s="94">
        <v>0</v>
      </c>
      <c r="AC85" s="94">
        <f t="shared" si="56"/>
        <v>6.7998516302567327E-2</v>
      </c>
      <c r="AD85" s="97">
        <f t="shared" si="67"/>
        <v>6.7998516302567327E-2</v>
      </c>
      <c r="AE85" s="96">
        <f t="shared" si="76"/>
        <v>3.6111111111111116</v>
      </c>
      <c r="AF85" s="94">
        <f t="shared" si="68"/>
        <v>4.6097219378778469</v>
      </c>
      <c r="AG85" s="94">
        <f t="shared" si="57"/>
        <v>0.18699591983206018</v>
      </c>
      <c r="AH85" s="94">
        <f t="shared" si="58"/>
        <v>0.59944158093528943</v>
      </c>
      <c r="AI85" s="97">
        <f t="shared" si="69"/>
        <v>0.78643750076734964</v>
      </c>
      <c r="AJ85" s="96">
        <f t="shared" si="70"/>
        <v>2.166666666666667</v>
      </c>
      <c r="AK85" s="94">
        <f t="shared" si="59"/>
        <v>3.5706752592095761</v>
      </c>
      <c r="AL85" s="94">
        <f t="shared" si="60"/>
        <v>0.11219755189923608</v>
      </c>
      <c r="AM85" s="94">
        <f t="shared" si="71"/>
        <v>0.36009600000000008</v>
      </c>
      <c r="AN85" s="237">
        <f t="shared" si="61"/>
        <v>5.0250023640661945E-2</v>
      </c>
      <c r="AO85" s="97">
        <f t="shared" si="72"/>
        <v>0.52254357553989816</v>
      </c>
      <c r="AP85" s="96">
        <f t="shared" si="62"/>
        <v>0.10199777445385098</v>
      </c>
      <c r="AQ85" s="257">
        <f t="shared" si="63"/>
        <v>6.7998516302567327E-2</v>
      </c>
      <c r="AR85" s="257">
        <f t="shared" si="64"/>
        <v>0.24041576743369195</v>
      </c>
      <c r="AS85" s="94">
        <f t="shared" si="65"/>
        <v>4.3999999999999997E-2</v>
      </c>
      <c r="AT85" s="97">
        <f t="shared" si="66"/>
        <v>2.9699999999999997E-5</v>
      </c>
      <c r="AU85" s="96">
        <f t="shared" si="73"/>
        <v>1.8314213507999255</v>
      </c>
      <c r="AV85" s="94">
        <f t="shared" si="74"/>
        <v>52.000000000000007</v>
      </c>
      <c r="AW85" s="97">
        <f t="shared" si="75"/>
        <v>96.597858082057286</v>
      </c>
    </row>
    <row r="86" spans="17:49" x14ac:dyDescent="0.3">
      <c r="Q86" s="32">
        <v>79</v>
      </c>
      <c r="R86" s="96">
        <f t="shared" si="49"/>
        <v>24</v>
      </c>
      <c r="S86" s="94">
        <f t="shared" si="50"/>
        <v>2.1944444444444446</v>
      </c>
      <c r="T86" s="94">
        <f t="shared" si="51"/>
        <v>9</v>
      </c>
      <c r="U86" s="97">
        <f t="shared" si="52"/>
        <v>5.8518518518518521</v>
      </c>
      <c r="V86" s="96">
        <f>IF(Variable_Management!$B$20=3,2,IF((S86*R86/T86)&lt;((T86*(1-(T86/R86)))/(2*Lm*Fsw)),1,2))</f>
        <v>2</v>
      </c>
      <c r="W86" s="94">
        <f t="shared" si="53"/>
        <v>0.625</v>
      </c>
      <c r="X86" s="97">
        <f t="shared" si="54"/>
        <v>0.375</v>
      </c>
      <c r="Y86" s="96">
        <f t="shared" si="55"/>
        <v>2.7200193423597678</v>
      </c>
      <c r="Z86" s="94">
        <f t="shared" si="77"/>
        <v>7.211861523031736</v>
      </c>
      <c r="AA86" s="94">
        <f t="shared" si="78"/>
        <v>5.9042960797984119</v>
      </c>
      <c r="AB86" s="94">
        <v>0</v>
      </c>
      <c r="AC86" s="94">
        <f t="shared" si="56"/>
        <v>6.9721424395845791E-2</v>
      </c>
      <c r="AD86" s="97">
        <f t="shared" si="67"/>
        <v>6.9721424395845791E-2</v>
      </c>
      <c r="AE86" s="96">
        <f t="shared" si="76"/>
        <v>3.6574074074074074</v>
      </c>
      <c r="AF86" s="94">
        <f t="shared" si="68"/>
        <v>4.6677558980415634</v>
      </c>
      <c r="AG86" s="94">
        <f t="shared" si="57"/>
        <v>0.19173391708857587</v>
      </c>
      <c r="AH86" s="94">
        <f t="shared" si="58"/>
        <v>0.60712672940881873</v>
      </c>
      <c r="AI86" s="97">
        <f t="shared" si="69"/>
        <v>0.79886064649739463</v>
      </c>
      <c r="AJ86" s="96">
        <f t="shared" si="70"/>
        <v>2.1944444444444446</v>
      </c>
      <c r="AK86" s="94">
        <f t="shared" si="59"/>
        <v>3.6156281714552843</v>
      </c>
      <c r="AL86" s="94">
        <f t="shared" si="60"/>
        <v>0.11504035025314552</v>
      </c>
      <c r="AM86" s="94">
        <f t="shared" si="71"/>
        <v>0.36009600000000008</v>
      </c>
      <c r="AN86" s="237">
        <f t="shared" si="61"/>
        <v>5.0771505122143422E-2</v>
      </c>
      <c r="AO86" s="97">
        <f t="shared" si="72"/>
        <v>0.52590785537528906</v>
      </c>
      <c r="AP86" s="96">
        <f t="shared" si="62"/>
        <v>0.10458213659376868</v>
      </c>
      <c r="AQ86" s="257">
        <f t="shared" si="63"/>
        <v>6.9721424395845791E-2</v>
      </c>
      <c r="AR86" s="257">
        <f t="shared" si="64"/>
        <v>0.24041576743369195</v>
      </c>
      <c r="AS86" s="94">
        <f t="shared" si="65"/>
        <v>4.3999999999999997E-2</v>
      </c>
      <c r="AT86" s="97">
        <f t="shared" si="66"/>
        <v>2.9699999999999997E-5</v>
      </c>
      <c r="AU86" s="96">
        <f t="shared" si="73"/>
        <v>1.853238954691836</v>
      </c>
      <c r="AV86" s="94">
        <f t="shared" si="74"/>
        <v>52.666666666666671</v>
      </c>
      <c r="AW86" s="97">
        <f t="shared" si="75"/>
        <v>96.60080307628813</v>
      </c>
    </row>
    <row r="87" spans="17:49" x14ac:dyDescent="0.3">
      <c r="Q87" s="32">
        <v>80</v>
      </c>
      <c r="R87" s="96">
        <f t="shared" si="49"/>
        <v>24</v>
      </c>
      <c r="S87" s="94">
        <f t="shared" si="50"/>
        <v>2.2222222222222223</v>
      </c>
      <c r="T87" s="94">
        <f t="shared" si="51"/>
        <v>9</v>
      </c>
      <c r="U87" s="97">
        <f t="shared" si="52"/>
        <v>5.9259259259259265</v>
      </c>
      <c r="V87" s="96">
        <f>IF(Variable_Management!$B$20=3,2,IF((S87*R87/T87)&lt;((T87*(1-(T87/R87)))/(2*Lm*Fsw)),1,2))</f>
        <v>2</v>
      </c>
      <c r="W87" s="94">
        <f t="shared" si="53"/>
        <v>0.625</v>
      </c>
      <c r="X87" s="97">
        <f t="shared" si="54"/>
        <v>0.375</v>
      </c>
      <c r="Y87" s="96">
        <f t="shared" si="55"/>
        <v>2.7200193423597678</v>
      </c>
      <c r="Z87" s="94">
        <f t="shared" si="77"/>
        <v>7.2859355971058104</v>
      </c>
      <c r="AA87" s="94">
        <f t="shared" si="78"/>
        <v>5.977720316430168</v>
      </c>
      <c r="AB87" s="94">
        <v>0</v>
      </c>
      <c r="AC87" s="94">
        <f t="shared" si="56"/>
        <v>7.146628036292399E-2</v>
      </c>
      <c r="AD87" s="97">
        <f t="shared" si="67"/>
        <v>7.146628036292399E-2</v>
      </c>
      <c r="AE87" s="96">
        <f t="shared" si="76"/>
        <v>3.7037037037037042</v>
      </c>
      <c r="AF87" s="94">
        <f t="shared" si="68"/>
        <v>4.725802853845444</v>
      </c>
      <c r="AG87" s="94">
        <f t="shared" si="57"/>
        <v>0.19653227099804094</v>
      </c>
      <c r="AH87" s="94">
        <f t="shared" si="58"/>
        <v>0.61481187788234815</v>
      </c>
      <c r="AI87" s="97">
        <f t="shared" si="69"/>
        <v>0.81134414888038908</v>
      </c>
      <c r="AJ87" s="96">
        <f t="shared" si="70"/>
        <v>2.2222222222222223</v>
      </c>
      <c r="AK87" s="94">
        <f t="shared" si="59"/>
        <v>3.6605911500805779</v>
      </c>
      <c r="AL87" s="94">
        <f t="shared" si="60"/>
        <v>0.11791936259882459</v>
      </c>
      <c r="AM87" s="94">
        <f t="shared" si="71"/>
        <v>0.36009600000000008</v>
      </c>
      <c r="AN87" s="237">
        <f t="shared" si="61"/>
        <v>5.1292986603624906E-2</v>
      </c>
      <c r="AO87" s="97">
        <f t="shared" si="72"/>
        <v>0.52930834920244951</v>
      </c>
      <c r="AP87" s="96">
        <f t="shared" si="62"/>
        <v>0.10719942054438597</v>
      </c>
      <c r="AQ87" s="257">
        <f t="shared" si="63"/>
        <v>7.146628036292399E-2</v>
      </c>
      <c r="AR87" s="257">
        <f t="shared" si="64"/>
        <v>0.24041576743369195</v>
      </c>
      <c r="AS87" s="94">
        <f t="shared" si="65"/>
        <v>4.3999999999999997E-2</v>
      </c>
      <c r="AT87" s="97">
        <f t="shared" si="66"/>
        <v>2.9699999999999997E-5</v>
      </c>
      <c r="AU87" s="96">
        <f t="shared" si="73"/>
        <v>1.8752299467867646</v>
      </c>
      <c r="AV87" s="94">
        <f t="shared" si="74"/>
        <v>53.333333333333336</v>
      </c>
      <c r="AW87" s="97">
        <f t="shared" si="75"/>
        <v>96.603371224728079</v>
      </c>
    </row>
    <row r="88" spans="17:49" x14ac:dyDescent="0.3">
      <c r="Q88" s="32">
        <v>81</v>
      </c>
      <c r="R88" s="96">
        <f t="shared" si="49"/>
        <v>24</v>
      </c>
      <c r="S88" s="94">
        <f t="shared" si="50"/>
        <v>2.25</v>
      </c>
      <c r="T88" s="94">
        <f t="shared" si="51"/>
        <v>9</v>
      </c>
      <c r="U88" s="97">
        <f t="shared" si="52"/>
        <v>6</v>
      </c>
      <c r="V88" s="96">
        <f>IF(Variable_Management!$B$20=3,2,IF((S88*R88/T88)&lt;((T88*(1-(T88/R88)))/(2*Lm*Fsw)),1,2))</f>
        <v>2</v>
      </c>
      <c r="W88" s="94">
        <f t="shared" si="53"/>
        <v>0.625</v>
      </c>
      <c r="X88" s="97">
        <f t="shared" si="54"/>
        <v>0.375</v>
      </c>
      <c r="Y88" s="96">
        <f t="shared" si="55"/>
        <v>2.7200193423597678</v>
      </c>
      <c r="Z88" s="94">
        <f t="shared" si="77"/>
        <v>7.3600096711798839</v>
      </c>
      <c r="AA88" s="94">
        <f t="shared" si="78"/>
        <v>6.0511603930073559</v>
      </c>
      <c r="AB88" s="94">
        <v>0</v>
      </c>
      <c r="AC88" s="94">
        <f t="shared" si="56"/>
        <v>7.3233084203801882E-2</v>
      </c>
      <c r="AD88" s="97">
        <f t="shared" si="67"/>
        <v>7.3233084203801882E-2</v>
      </c>
      <c r="AE88" s="96">
        <f t="shared" si="76"/>
        <v>3.75</v>
      </c>
      <c r="AF88" s="94">
        <f t="shared" si="68"/>
        <v>4.7838623322257181</v>
      </c>
      <c r="AG88" s="94">
        <f t="shared" si="57"/>
        <v>0.20139098156045518</v>
      </c>
      <c r="AH88" s="94">
        <f t="shared" si="58"/>
        <v>0.62249702635587745</v>
      </c>
      <c r="AI88" s="97">
        <f t="shared" si="69"/>
        <v>0.82388800791633265</v>
      </c>
      <c r="AJ88" s="96">
        <f t="shared" si="70"/>
        <v>2.25</v>
      </c>
      <c r="AK88" s="94">
        <f t="shared" si="59"/>
        <v>3.7055638286518353</v>
      </c>
      <c r="AL88" s="94">
        <f t="shared" si="60"/>
        <v>0.12083458893627307</v>
      </c>
      <c r="AM88" s="94">
        <f t="shared" si="71"/>
        <v>0.36009600000000008</v>
      </c>
      <c r="AN88" s="237">
        <f t="shared" si="61"/>
        <v>5.1814468085106383E-2</v>
      </c>
      <c r="AO88" s="97">
        <f t="shared" si="72"/>
        <v>0.53274505702137953</v>
      </c>
      <c r="AP88" s="96">
        <f t="shared" si="62"/>
        <v>0.10984962630570282</v>
      </c>
      <c r="AQ88" s="257">
        <f t="shared" si="63"/>
        <v>7.3233084203801882E-2</v>
      </c>
      <c r="AR88" s="257">
        <f t="shared" si="64"/>
        <v>0.24041576743369195</v>
      </c>
      <c r="AS88" s="94">
        <f t="shared" si="65"/>
        <v>4.3999999999999997E-2</v>
      </c>
      <c r="AT88" s="97">
        <f t="shared" si="66"/>
        <v>2.9699999999999997E-5</v>
      </c>
      <c r="AU88" s="96">
        <f t="shared" si="73"/>
        <v>1.8973943270847107</v>
      </c>
      <c r="AV88" s="94">
        <f t="shared" si="74"/>
        <v>54</v>
      </c>
      <c r="AW88" s="97">
        <f t="shared" si="75"/>
        <v>96.605576431734775</v>
      </c>
    </row>
    <row r="89" spans="17:49" x14ac:dyDescent="0.3">
      <c r="Q89" s="32">
        <v>82</v>
      </c>
      <c r="R89" s="96">
        <f t="shared" si="49"/>
        <v>24</v>
      </c>
      <c r="S89" s="94">
        <f t="shared" si="50"/>
        <v>2.2777777777777781</v>
      </c>
      <c r="T89" s="94">
        <f t="shared" si="51"/>
        <v>9</v>
      </c>
      <c r="U89" s="97">
        <f t="shared" si="52"/>
        <v>6.0740740740740744</v>
      </c>
      <c r="V89" s="96">
        <f>IF(Variable_Management!$B$20=3,2,IF((S89*R89/T89)&lt;((T89*(1-(T89/R89)))/(2*Lm*Fsw)),1,2))</f>
        <v>2</v>
      </c>
      <c r="W89" s="94">
        <f t="shared" si="53"/>
        <v>0.625</v>
      </c>
      <c r="X89" s="97">
        <f t="shared" si="54"/>
        <v>0.375</v>
      </c>
      <c r="Y89" s="96">
        <f t="shared" si="55"/>
        <v>2.7200193423597678</v>
      </c>
      <c r="Z89" s="94">
        <f t="shared" si="77"/>
        <v>7.4340837452539583</v>
      </c>
      <c r="AA89" s="94">
        <f t="shared" si="78"/>
        <v>6.1246157397211265</v>
      </c>
      <c r="AB89" s="94">
        <v>0</v>
      </c>
      <c r="AC89" s="94">
        <f t="shared" si="56"/>
        <v>7.5021835918479524E-2</v>
      </c>
      <c r="AD89" s="97">
        <f t="shared" si="67"/>
        <v>7.5021835918479524E-2</v>
      </c>
      <c r="AE89" s="96">
        <f t="shared" si="76"/>
        <v>3.7962962962962967</v>
      </c>
      <c r="AF89" s="94">
        <f t="shared" si="68"/>
        <v>4.841933882708938</v>
      </c>
      <c r="AG89" s="94">
        <f t="shared" si="57"/>
        <v>0.20631004877581871</v>
      </c>
      <c r="AH89" s="94">
        <f t="shared" si="58"/>
        <v>0.63018217482940675</v>
      </c>
      <c r="AI89" s="97">
        <f t="shared" si="69"/>
        <v>0.83649222360522546</v>
      </c>
      <c r="AJ89" s="96">
        <f t="shared" si="70"/>
        <v>2.2777777777777777</v>
      </c>
      <c r="AK89" s="94">
        <f t="shared" si="59"/>
        <v>3.7505458582338265</v>
      </c>
      <c r="AL89" s="94">
        <f t="shared" si="60"/>
        <v>0.1237860292654912</v>
      </c>
      <c r="AM89" s="94">
        <f t="shared" si="71"/>
        <v>0.36009600000000008</v>
      </c>
      <c r="AN89" s="237">
        <f t="shared" si="61"/>
        <v>5.2335949566587867E-2</v>
      </c>
      <c r="AO89" s="97">
        <f t="shared" si="72"/>
        <v>0.53621797883207911</v>
      </c>
      <c r="AP89" s="96">
        <f t="shared" si="62"/>
        <v>0.11253275387771929</v>
      </c>
      <c r="AQ89" s="257">
        <f t="shared" si="63"/>
        <v>7.5021835918479524E-2</v>
      </c>
      <c r="AR89" s="257">
        <f t="shared" si="64"/>
        <v>0.24041576743369195</v>
      </c>
      <c r="AS89" s="94">
        <f t="shared" si="65"/>
        <v>4.3999999999999997E-2</v>
      </c>
      <c r="AT89" s="97">
        <f t="shared" si="66"/>
        <v>2.9699999999999997E-5</v>
      </c>
      <c r="AU89" s="96">
        <f t="shared" si="73"/>
        <v>1.9197320955856751</v>
      </c>
      <c r="AV89" s="94">
        <f t="shared" si="74"/>
        <v>54.666666666666671</v>
      </c>
      <c r="AW89" s="97">
        <f t="shared" si="75"/>
        <v>96.607431931387922</v>
      </c>
    </row>
    <row r="90" spans="17:49" x14ac:dyDescent="0.3">
      <c r="Q90" s="32">
        <v>83</v>
      </c>
      <c r="R90" s="96">
        <f t="shared" si="49"/>
        <v>24</v>
      </c>
      <c r="S90" s="94">
        <f t="shared" si="50"/>
        <v>2.3055555555555558</v>
      </c>
      <c r="T90" s="94">
        <f t="shared" si="51"/>
        <v>9</v>
      </c>
      <c r="U90" s="97">
        <f t="shared" si="52"/>
        <v>6.1481481481481488</v>
      </c>
      <c r="V90" s="96">
        <f>IF(Variable_Management!$B$20=3,2,IF((S90*R90/T90)&lt;((T90*(1-(T90/R90)))/(2*Lm*Fsw)),1,2))</f>
        <v>2</v>
      </c>
      <c r="W90" s="94">
        <f t="shared" si="53"/>
        <v>0.625</v>
      </c>
      <c r="X90" s="97">
        <f t="shared" si="54"/>
        <v>0.375</v>
      </c>
      <c r="Y90" s="96">
        <f t="shared" si="55"/>
        <v>2.7200193423597678</v>
      </c>
      <c r="Z90" s="94">
        <f t="shared" si="77"/>
        <v>7.5081578193280327</v>
      </c>
      <c r="AA90" s="94">
        <f t="shared" si="78"/>
        <v>6.1980858136587988</v>
      </c>
      <c r="AB90" s="94">
        <v>0</v>
      </c>
      <c r="AC90" s="94">
        <f t="shared" si="56"/>
        <v>7.6832535506956914E-2</v>
      </c>
      <c r="AD90" s="97">
        <f t="shared" si="67"/>
        <v>7.6832535506956914E-2</v>
      </c>
      <c r="AE90" s="96">
        <f t="shared" si="76"/>
        <v>3.842592592592593</v>
      </c>
      <c r="AF90" s="94">
        <f t="shared" si="68"/>
        <v>4.9000170760849429</v>
      </c>
      <c r="AG90" s="94">
        <f t="shared" si="57"/>
        <v>0.2112894726441315</v>
      </c>
      <c r="AH90" s="94">
        <f t="shared" si="58"/>
        <v>0.63786732330293616</v>
      </c>
      <c r="AI90" s="97">
        <f t="shared" si="69"/>
        <v>0.84915679594706761</v>
      </c>
      <c r="AJ90" s="96">
        <f t="shared" si="70"/>
        <v>2.3055555555555558</v>
      </c>
      <c r="AK90" s="94">
        <f t="shared" si="59"/>
        <v>3.795536906361789</v>
      </c>
      <c r="AL90" s="94">
        <f t="shared" si="60"/>
        <v>0.12677368358647889</v>
      </c>
      <c r="AM90" s="94">
        <f t="shared" si="71"/>
        <v>0.36009600000000008</v>
      </c>
      <c r="AN90" s="237">
        <f t="shared" si="61"/>
        <v>5.285743104806935E-2</v>
      </c>
      <c r="AO90" s="97">
        <f t="shared" si="72"/>
        <v>0.53972711463454837</v>
      </c>
      <c r="AP90" s="96">
        <f t="shared" si="62"/>
        <v>0.11524880326043538</v>
      </c>
      <c r="AQ90" s="257">
        <f t="shared" si="63"/>
        <v>7.6832535506956914E-2</v>
      </c>
      <c r="AR90" s="257">
        <f t="shared" si="64"/>
        <v>0.24041576743369195</v>
      </c>
      <c r="AS90" s="94">
        <f t="shared" si="65"/>
        <v>4.3999999999999997E-2</v>
      </c>
      <c r="AT90" s="97">
        <f t="shared" si="66"/>
        <v>2.9699999999999997E-5</v>
      </c>
      <c r="AU90" s="96">
        <f t="shared" si="73"/>
        <v>1.9422432522896576</v>
      </c>
      <c r="AV90" s="94">
        <f t="shared" si="74"/>
        <v>55.333333333333343</v>
      </c>
      <c r="AW90" s="97">
        <f t="shared" si="75"/>
        <v>96.608950327394538</v>
      </c>
    </row>
    <row r="91" spans="17:49" x14ac:dyDescent="0.3">
      <c r="Q91" s="32">
        <v>84</v>
      </c>
      <c r="R91" s="96">
        <f t="shared" si="49"/>
        <v>24</v>
      </c>
      <c r="S91" s="94">
        <f t="shared" si="50"/>
        <v>2.3333333333333335</v>
      </c>
      <c r="T91" s="94">
        <f t="shared" si="51"/>
        <v>9</v>
      </c>
      <c r="U91" s="97">
        <f t="shared" si="52"/>
        <v>6.2222222222222223</v>
      </c>
      <c r="V91" s="96">
        <f>IF(Variable_Management!$B$20=3,2,IF((S91*R91/T91)&lt;((T91*(1-(T91/R91)))/(2*Lm*Fsw)),1,2))</f>
        <v>2</v>
      </c>
      <c r="W91" s="94">
        <f t="shared" si="53"/>
        <v>0.625</v>
      </c>
      <c r="X91" s="97">
        <f t="shared" si="54"/>
        <v>0.375</v>
      </c>
      <c r="Y91" s="96">
        <f t="shared" si="55"/>
        <v>2.7200193423597678</v>
      </c>
      <c r="Z91" s="94">
        <f t="shared" si="77"/>
        <v>7.5822318934021062</v>
      </c>
      <c r="AA91" s="94">
        <f t="shared" si="78"/>
        <v>6.2715700972417574</v>
      </c>
      <c r="AB91" s="94">
        <v>0</v>
      </c>
      <c r="AC91" s="94">
        <f t="shared" si="56"/>
        <v>7.8665182969233971E-2</v>
      </c>
      <c r="AD91" s="97">
        <f t="shared" si="67"/>
        <v>7.8665182969233971E-2</v>
      </c>
      <c r="AE91" s="96">
        <f t="shared" si="76"/>
        <v>3.8888888888888888</v>
      </c>
      <c r="AF91" s="94">
        <f t="shared" si="68"/>
        <v>4.9581115031719101</v>
      </c>
      <c r="AG91" s="94">
        <f t="shared" si="57"/>
        <v>0.21632925316539345</v>
      </c>
      <c r="AH91" s="94">
        <f t="shared" si="58"/>
        <v>0.64555247177646558</v>
      </c>
      <c r="AI91" s="97">
        <f t="shared" si="69"/>
        <v>0.861881724941859</v>
      </c>
      <c r="AJ91" s="96">
        <f t="shared" si="70"/>
        <v>2.3333333333333335</v>
      </c>
      <c r="AK91" s="94">
        <f t="shared" si="59"/>
        <v>3.8405366560848457</v>
      </c>
      <c r="AL91" s="94">
        <f t="shared" si="60"/>
        <v>0.12979755189923606</v>
      </c>
      <c r="AM91" s="94">
        <f t="shared" si="71"/>
        <v>0.36009600000000008</v>
      </c>
      <c r="AN91" s="237">
        <f t="shared" si="61"/>
        <v>5.3378912529550827E-2</v>
      </c>
      <c r="AO91" s="97">
        <f t="shared" si="72"/>
        <v>0.54327246442878696</v>
      </c>
      <c r="AP91" s="96">
        <f t="shared" si="62"/>
        <v>0.11799777445385096</v>
      </c>
      <c r="AQ91" s="257">
        <f t="shared" si="63"/>
        <v>7.8665182969233971E-2</v>
      </c>
      <c r="AR91" s="257">
        <f t="shared" si="64"/>
        <v>0.24041576743369195</v>
      </c>
      <c r="AS91" s="94">
        <f t="shared" si="65"/>
        <v>4.3999999999999997E-2</v>
      </c>
      <c r="AT91" s="97">
        <f t="shared" si="66"/>
        <v>2.9699999999999997E-5</v>
      </c>
      <c r="AU91" s="96">
        <f t="shared" si="73"/>
        <v>1.964927797196657</v>
      </c>
      <c r="AV91" s="94">
        <f t="shared" si="74"/>
        <v>56</v>
      </c>
      <c r="AW91" s="97">
        <f t="shared" si="75"/>
        <v>96.610143630176864</v>
      </c>
    </row>
    <row r="92" spans="17:49" x14ac:dyDescent="0.3">
      <c r="Q92" s="32">
        <v>85</v>
      </c>
      <c r="R92" s="96">
        <f t="shared" si="49"/>
        <v>24</v>
      </c>
      <c r="S92" s="94">
        <f t="shared" si="50"/>
        <v>2.3611111111111112</v>
      </c>
      <c r="T92" s="94">
        <f t="shared" si="51"/>
        <v>9</v>
      </c>
      <c r="U92" s="97">
        <f t="shared" si="52"/>
        <v>6.2962962962962967</v>
      </c>
      <c r="V92" s="96">
        <f>IF(Variable_Management!$B$20=3,2,IF((S92*R92/T92)&lt;((T92*(1-(T92/R92)))/(2*Lm*Fsw)),1,2))</f>
        <v>2</v>
      </c>
      <c r="W92" s="94">
        <f t="shared" si="53"/>
        <v>0.625</v>
      </c>
      <c r="X92" s="97">
        <f t="shared" si="54"/>
        <v>0.375</v>
      </c>
      <c r="Y92" s="96">
        <f t="shared" si="55"/>
        <v>2.7200193423597678</v>
      </c>
      <c r="Z92" s="94">
        <f t="shared" si="77"/>
        <v>7.6563059674761806</v>
      </c>
      <c r="AA92" s="94">
        <f t="shared" si="78"/>
        <v>6.3450680967705466</v>
      </c>
      <c r="AB92" s="94">
        <v>0</v>
      </c>
      <c r="AC92" s="94">
        <f t="shared" si="56"/>
        <v>8.0519778305310805E-2</v>
      </c>
      <c r="AD92" s="97">
        <f t="shared" si="67"/>
        <v>8.0519778305310805E-2</v>
      </c>
      <c r="AE92" s="96">
        <f t="shared" si="76"/>
        <v>3.9351851851851856</v>
      </c>
      <c r="AF92" s="94">
        <f t="shared" si="68"/>
        <v>5.0162167736661489</v>
      </c>
      <c r="AG92" s="94">
        <f t="shared" si="57"/>
        <v>0.22142939033960474</v>
      </c>
      <c r="AH92" s="94">
        <f t="shared" si="58"/>
        <v>0.65323762024999488</v>
      </c>
      <c r="AI92" s="97">
        <f t="shared" si="69"/>
        <v>0.87466701058959961</v>
      </c>
      <c r="AJ92" s="96">
        <f t="shared" si="70"/>
        <v>2.3611111111111112</v>
      </c>
      <c r="AK92" s="94">
        <f t="shared" si="59"/>
        <v>3.8855448050750589</v>
      </c>
      <c r="AL92" s="94">
        <f t="shared" si="60"/>
        <v>0.13285763420376287</v>
      </c>
      <c r="AM92" s="94">
        <f t="shared" si="71"/>
        <v>0.36009600000000008</v>
      </c>
      <c r="AN92" s="237">
        <f t="shared" si="61"/>
        <v>5.3900394011032311E-2</v>
      </c>
      <c r="AO92" s="97">
        <f t="shared" si="72"/>
        <v>0.54685402821479523</v>
      </c>
      <c r="AP92" s="96">
        <f t="shared" si="62"/>
        <v>0.12077966745796621</v>
      </c>
      <c r="AQ92" s="257">
        <f t="shared" si="63"/>
        <v>8.0519778305310805E-2</v>
      </c>
      <c r="AR92" s="257">
        <f t="shared" si="64"/>
        <v>0.24041576743369195</v>
      </c>
      <c r="AS92" s="94">
        <f t="shared" si="65"/>
        <v>4.3999999999999997E-2</v>
      </c>
      <c r="AT92" s="97">
        <f t="shared" si="66"/>
        <v>2.9699999999999997E-5</v>
      </c>
      <c r="AU92" s="96">
        <f t="shared" si="73"/>
        <v>1.9877857303066748</v>
      </c>
      <c r="AV92" s="94">
        <f t="shared" si="74"/>
        <v>56.666666666666671</v>
      </c>
      <c r="AW92" s="97">
        <f t="shared" si="75"/>
        <v>96.611023291372078</v>
      </c>
    </row>
    <row r="93" spans="17:49" x14ac:dyDescent="0.3">
      <c r="Q93" s="32">
        <v>86</v>
      </c>
      <c r="R93" s="96">
        <f t="shared" si="49"/>
        <v>24</v>
      </c>
      <c r="S93" s="94">
        <f t="shared" si="50"/>
        <v>2.3888888888888888</v>
      </c>
      <c r="T93" s="94">
        <f t="shared" si="51"/>
        <v>9</v>
      </c>
      <c r="U93" s="97">
        <f t="shared" si="52"/>
        <v>6.3703703703703702</v>
      </c>
      <c r="V93" s="96">
        <f>IF(Variable_Management!$B$20=3,2,IF((S93*R93/T93)&lt;((T93*(1-(T93/R93)))/(2*Lm*Fsw)),1,2))</f>
        <v>2</v>
      </c>
      <c r="W93" s="94">
        <f t="shared" si="53"/>
        <v>0.625</v>
      </c>
      <c r="X93" s="97">
        <f t="shared" si="54"/>
        <v>0.375</v>
      </c>
      <c r="Y93" s="96">
        <f t="shared" si="55"/>
        <v>2.7200193423597678</v>
      </c>
      <c r="Z93" s="94">
        <f t="shared" si="77"/>
        <v>7.7303800415502542</v>
      </c>
      <c r="AA93" s="94">
        <f t="shared" si="78"/>
        <v>6.4185793410686811</v>
      </c>
      <c r="AB93" s="94">
        <v>0</v>
      </c>
      <c r="AC93" s="94">
        <f t="shared" si="56"/>
        <v>8.2396321515187332E-2</v>
      </c>
      <c r="AD93" s="97">
        <f t="shared" si="67"/>
        <v>8.2396321515187332E-2</v>
      </c>
      <c r="AE93" s="96">
        <f t="shared" si="76"/>
        <v>3.9814814814814814</v>
      </c>
      <c r="AF93" s="94">
        <f t="shared" si="68"/>
        <v>5.0743325150699414</v>
      </c>
      <c r="AG93" s="94">
        <f t="shared" si="57"/>
        <v>0.22658988416676515</v>
      </c>
      <c r="AH93" s="94">
        <f t="shared" si="58"/>
        <v>0.66092276872352418</v>
      </c>
      <c r="AI93" s="97">
        <f t="shared" si="69"/>
        <v>0.88751265289028936</v>
      </c>
      <c r="AJ93" s="96">
        <f t="shared" si="70"/>
        <v>2.3888888888888888</v>
      </c>
      <c r="AK93" s="94">
        <f t="shared" si="59"/>
        <v>3.9305610647969362</v>
      </c>
      <c r="AL93" s="94">
        <f t="shared" si="60"/>
        <v>0.13595393050005911</v>
      </c>
      <c r="AM93" s="94">
        <f t="shared" si="71"/>
        <v>0.36009600000000008</v>
      </c>
      <c r="AN93" s="237">
        <f t="shared" si="61"/>
        <v>5.4421875492513788E-2</v>
      </c>
      <c r="AO93" s="97">
        <f t="shared" si="72"/>
        <v>0.55047180599257295</v>
      </c>
      <c r="AP93" s="96">
        <f t="shared" si="62"/>
        <v>0.12359448227278098</v>
      </c>
      <c r="AQ93" s="257">
        <f t="shared" si="63"/>
        <v>8.2396321515187332E-2</v>
      </c>
      <c r="AR93" s="257">
        <f t="shared" si="64"/>
        <v>0.24041576743369195</v>
      </c>
      <c r="AS93" s="94">
        <f t="shared" si="65"/>
        <v>4.3999999999999997E-2</v>
      </c>
      <c r="AT93" s="97">
        <f t="shared" si="66"/>
        <v>2.9699999999999997E-5</v>
      </c>
      <c r="AU93" s="96">
        <f t="shared" si="73"/>
        <v>2.0108170516197097</v>
      </c>
      <c r="AV93" s="94">
        <f t="shared" si="74"/>
        <v>57.333333333333329</v>
      </c>
      <c r="AW93" s="97">
        <f t="shared" si="75"/>
        <v>96.611600235952551</v>
      </c>
    </row>
    <row r="94" spans="17:49" x14ac:dyDescent="0.3">
      <c r="Q94" s="32">
        <v>87</v>
      </c>
      <c r="R94" s="96">
        <f t="shared" si="49"/>
        <v>24</v>
      </c>
      <c r="S94" s="94">
        <f t="shared" si="50"/>
        <v>2.416666666666667</v>
      </c>
      <c r="T94" s="94">
        <f t="shared" si="51"/>
        <v>9</v>
      </c>
      <c r="U94" s="97">
        <f t="shared" si="52"/>
        <v>6.4444444444444455</v>
      </c>
      <c r="V94" s="96">
        <f>IF(Variable_Management!$B$20=3,2,IF((S94*R94/T94)&lt;((T94*(1-(T94/R94)))/(2*Lm*Fsw)),1,2))</f>
        <v>2</v>
      </c>
      <c r="W94" s="94">
        <f t="shared" si="53"/>
        <v>0.625</v>
      </c>
      <c r="X94" s="97">
        <f t="shared" si="54"/>
        <v>0.375</v>
      </c>
      <c r="Y94" s="96">
        <f t="shared" si="55"/>
        <v>2.7200193423597678</v>
      </c>
      <c r="Z94" s="94">
        <f t="shared" si="77"/>
        <v>7.8044541156243294</v>
      </c>
      <c r="AA94" s="94">
        <f t="shared" si="78"/>
        <v>6.4921033802175252</v>
      </c>
      <c r="AB94" s="94">
        <v>0</v>
      </c>
      <c r="AC94" s="94">
        <f t="shared" si="56"/>
        <v>8.4294812598863636E-2</v>
      </c>
      <c r="AD94" s="97">
        <f t="shared" si="67"/>
        <v>8.4294812598863636E-2</v>
      </c>
      <c r="AE94" s="96">
        <f t="shared" si="76"/>
        <v>4.0277777777777786</v>
      </c>
      <c r="AF94" s="94">
        <f t="shared" si="68"/>
        <v>5.1324583716913761</v>
      </c>
      <c r="AG94" s="94">
        <f t="shared" si="57"/>
        <v>0.23181073464687507</v>
      </c>
      <c r="AH94" s="94">
        <f t="shared" si="58"/>
        <v>0.66860791719705359</v>
      </c>
      <c r="AI94" s="97">
        <f t="shared" si="69"/>
        <v>0.90041865184392866</v>
      </c>
      <c r="AJ94" s="96">
        <f t="shared" si="70"/>
        <v>2.416666666666667</v>
      </c>
      <c r="AK94" s="94">
        <f t="shared" si="59"/>
        <v>3.9755851597327068</v>
      </c>
      <c r="AL94" s="94">
        <f t="shared" si="60"/>
        <v>0.13908644078812502</v>
      </c>
      <c r="AM94" s="94">
        <f t="shared" si="71"/>
        <v>0.36009600000000008</v>
      </c>
      <c r="AN94" s="237">
        <f t="shared" si="61"/>
        <v>5.4943356973995279E-2</v>
      </c>
      <c r="AO94" s="97">
        <f t="shared" si="72"/>
        <v>0.55412579776212045</v>
      </c>
      <c r="AP94" s="96">
        <f t="shared" si="62"/>
        <v>0.12644221889829543</v>
      </c>
      <c r="AQ94" s="257">
        <f t="shared" si="63"/>
        <v>8.4294812598863636E-2</v>
      </c>
      <c r="AR94" s="257">
        <f t="shared" si="64"/>
        <v>0.24041576743369195</v>
      </c>
      <c r="AS94" s="94">
        <f t="shared" si="65"/>
        <v>4.3999999999999997E-2</v>
      </c>
      <c r="AT94" s="97">
        <f t="shared" si="66"/>
        <v>2.9699999999999997E-5</v>
      </c>
      <c r="AU94" s="96">
        <f t="shared" si="73"/>
        <v>2.0340217611357638</v>
      </c>
      <c r="AV94" s="94">
        <f t="shared" si="74"/>
        <v>58.000000000000007</v>
      </c>
      <c r="AW94" s="97">
        <f t="shared" si="75"/>
        <v>96.611884892155388</v>
      </c>
    </row>
    <row r="95" spans="17:49" x14ac:dyDescent="0.3">
      <c r="Q95" s="32">
        <v>88</v>
      </c>
      <c r="R95" s="96">
        <f t="shared" si="49"/>
        <v>24</v>
      </c>
      <c r="S95" s="94">
        <f t="shared" si="50"/>
        <v>2.4444444444444446</v>
      </c>
      <c r="T95" s="94">
        <f t="shared" si="51"/>
        <v>9</v>
      </c>
      <c r="U95" s="97">
        <f t="shared" si="52"/>
        <v>6.518518518518519</v>
      </c>
      <c r="V95" s="96">
        <f>IF(Variable_Management!$B$20=3,2,IF((S95*R95/T95)&lt;((T95*(1-(T95/R95)))/(2*Lm*Fsw)),1,2))</f>
        <v>2</v>
      </c>
      <c r="W95" s="94">
        <f t="shared" si="53"/>
        <v>0.625</v>
      </c>
      <c r="X95" s="97">
        <f t="shared" si="54"/>
        <v>0.375</v>
      </c>
      <c r="Y95" s="96">
        <f t="shared" si="55"/>
        <v>2.7200193423597678</v>
      </c>
      <c r="Z95" s="94">
        <f t="shared" si="77"/>
        <v>7.878528189698403</v>
      </c>
      <c r="AA95" s="94">
        <f t="shared" si="78"/>
        <v>6.5656397843751533</v>
      </c>
      <c r="AB95" s="94">
        <v>0</v>
      </c>
      <c r="AC95" s="94">
        <f t="shared" si="56"/>
        <v>8.621525155633962E-2</v>
      </c>
      <c r="AD95" s="97">
        <f t="shared" si="67"/>
        <v>8.621525155633962E-2</v>
      </c>
      <c r="AE95" s="96">
        <f t="shared" si="76"/>
        <v>4.0740740740740744</v>
      </c>
      <c r="AF95" s="94">
        <f t="shared" si="68"/>
        <v>5.1905940037105713</v>
      </c>
      <c r="AG95" s="94">
        <f t="shared" si="57"/>
        <v>0.23709194177993406</v>
      </c>
      <c r="AH95" s="94">
        <f t="shared" si="58"/>
        <v>0.676293065670583</v>
      </c>
      <c r="AI95" s="97">
        <f t="shared" si="69"/>
        <v>0.91338500745051709</v>
      </c>
      <c r="AJ95" s="96">
        <f t="shared" si="70"/>
        <v>2.4444444444444446</v>
      </c>
      <c r="AK95" s="94">
        <f t="shared" si="59"/>
        <v>4.0206168266590243</v>
      </c>
      <c r="AL95" s="94">
        <f t="shared" si="60"/>
        <v>0.1422551650679604</v>
      </c>
      <c r="AM95" s="94">
        <f t="shared" si="71"/>
        <v>0.36009600000000008</v>
      </c>
      <c r="AN95" s="237">
        <f t="shared" si="61"/>
        <v>5.5464838455476756E-2</v>
      </c>
      <c r="AO95" s="97">
        <f t="shared" si="72"/>
        <v>0.5578160035234373</v>
      </c>
      <c r="AP95" s="96">
        <f t="shared" si="62"/>
        <v>0.12932287733450945</v>
      </c>
      <c r="AQ95" s="257">
        <f t="shared" si="63"/>
        <v>8.621525155633962E-2</v>
      </c>
      <c r="AR95" s="257">
        <f t="shared" si="64"/>
        <v>0.24041576743369195</v>
      </c>
      <c r="AS95" s="94">
        <f t="shared" si="65"/>
        <v>4.3999999999999997E-2</v>
      </c>
      <c r="AT95" s="97">
        <f t="shared" si="66"/>
        <v>2.9699999999999997E-5</v>
      </c>
      <c r="AU95" s="96">
        <f t="shared" si="73"/>
        <v>2.057399858854835</v>
      </c>
      <c r="AV95" s="94">
        <f t="shared" si="74"/>
        <v>58.666666666666671</v>
      </c>
      <c r="AW95" s="97">
        <f t="shared" si="75"/>
        <v>96.611887219394077</v>
      </c>
    </row>
    <row r="96" spans="17:49" x14ac:dyDescent="0.3">
      <c r="Q96" s="32">
        <v>89</v>
      </c>
      <c r="R96" s="96">
        <f t="shared" si="49"/>
        <v>24</v>
      </c>
      <c r="S96" s="94">
        <f t="shared" si="50"/>
        <v>2.4722222222222223</v>
      </c>
      <c r="T96" s="94">
        <f t="shared" si="51"/>
        <v>9</v>
      </c>
      <c r="U96" s="97">
        <f t="shared" si="52"/>
        <v>6.5925925925925926</v>
      </c>
      <c r="V96" s="96">
        <f>IF(Variable_Management!$B$20=3,2,IF((S96*R96/T96)&lt;((T96*(1-(T96/R96)))/(2*Lm*Fsw)),1,2))</f>
        <v>2</v>
      </c>
      <c r="W96" s="94">
        <f t="shared" si="53"/>
        <v>0.625</v>
      </c>
      <c r="X96" s="97">
        <f t="shared" si="54"/>
        <v>0.375</v>
      </c>
      <c r="Y96" s="96">
        <f t="shared" si="55"/>
        <v>2.7200193423597678</v>
      </c>
      <c r="Z96" s="94">
        <f t="shared" si="77"/>
        <v>7.9526022637724765</v>
      </c>
      <c r="AA96" s="94">
        <f t="shared" si="78"/>
        <v>6.6391881426728423</v>
      </c>
      <c r="AB96" s="94">
        <v>0</v>
      </c>
      <c r="AC96" s="94">
        <f t="shared" si="56"/>
        <v>8.8157638387615339E-2</v>
      </c>
      <c r="AD96" s="97">
        <f t="shared" si="67"/>
        <v>8.8157638387615339E-2</v>
      </c>
      <c r="AE96" s="96">
        <f t="shared" si="76"/>
        <v>4.1203703703703702</v>
      </c>
      <c r="AF96" s="94">
        <f t="shared" si="68"/>
        <v>5.2487390863072809</v>
      </c>
      <c r="AG96" s="94">
        <f t="shared" si="57"/>
        <v>0.24243350556594218</v>
      </c>
      <c r="AH96" s="94">
        <f t="shared" si="58"/>
        <v>0.6839782141441122</v>
      </c>
      <c r="AI96" s="97">
        <f t="shared" si="69"/>
        <v>0.92641171971005432</v>
      </c>
      <c r="AJ96" s="96">
        <f t="shared" si="70"/>
        <v>2.4722222222222223</v>
      </c>
      <c r="AK96" s="94">
        <f t="shared" si="59"/>
        <v>4.0656558139712065</v>
      </c>
      <c r="AL96" s="94">
        <f t="shared" si="60"/>
        <v>0.1454601033395653</v>
      </c>
      <c r="AM96" s="94">
        <f t="shared" si="71"/>
        <v>0.36009600000000008</v>
      </c>
      <c r="AN96" s="237">
        <f t="shared" si="61"/>
        <v>5.598631993695824E-2</v>
      </c>
      <c r="AO96" s="97">
        <f t="shared" si="72"/>
        <v>0.56154242327652359</v>
      </c>
      <c r="AP96" s="96">
        <f t="shared" si="62"/>
        <v>0.13223645758142299</v>
      </c>
      <c r="AQ96" s="257">
        <f t="shared" si="63"/>
        <v>8.8157638387615339E-2</v>
      </c>
      <c r="AR96" s="257">
        <f t="shared" si="64"/>
        <v>0.24041576743369195</v>
      </c>
      <c r="AS96" s="94">
        <f t="shared" si="65"/>
        <v>4.3999999999999997E-2</v>
      </c>
      <c r="AT96" s="97">
        <f t="shared" si="66"/>
        <v>2.9699999999999997E-5</v>
      </c>
      <c r="AU96" s="96">
        <f t="shared" si="73"/>
        <v>2.0809513447769232</v>
      </c>
      <c r="AV96" s="94">
        <f t="shared" si="74"/>
        <v>59.333333333333336</v>
      </c>
      <c r="AW96" s="97">
        <f t="shared" si="75"/>
        <v>96.611616734308996</v>
      </c>
    </row>
    <row r="97" spans="17:49" x14ac:dyDescent="0.3">
      <c r="Q97" s="32">
        <v>90</v>
      </c>
      <c r="R97" s="96">
        <f t="shared" si="49"/>
        <v>24</v>
      </c>
      <c r="S97" s="94">
        <f t="shared" si="50"/>
        <v>2.5</v>
      </c>
      <c r="T97" s="94">
        <f t="shared" si="51"/>
        <v>9</v>
      </c>
      <c r="U97" s="97">
        <f t="shared" si="52"/>
        <v>6.666666666666667</v>
      </c>
      <c r="V97" s="96">
        <f>IF(Variable_Management!$B$20=3,2,IF((S97*R97/T97)&lt;((T97*(1-(T97/R97)))/(2*Lm*Fsw)),1,2))</f>
        <v>2</v>
      </c>
      <c r="W97" s="94">
        <f t="shared" si="53"/>
        <v>0.625</v>
      </c>
      <c r="X97" s="97">
        <f t="shared" si="54"/>
        <v>0.375</v>
      </c>
      <c r="Y97" s="96">
        <f t="shared" si="55"/>
        <v>2.7200193423597678</v>
      </c>
      <c r="Z97" s="94">
        <f t="shared" si="77"/>
        <v>8.0266763378465509</v>
      </c>
      <c r="AA97" s="94">
        <f t="shared" si="78"/>
        <v>6.7127480621832811</v>
      </c>
      <c r="AB97" s="94">
        <v>0</v>
      </c>
      <c r="AC97" s="94">
        <f t="shared" si="56"/>
        <v>9.0121973092690794E-2</v>
      </c>
      <c r="AD97" s="97">
        <f t="shared" si="67"/>
        <v>9.0121973092690794E-2</v>
      </c>
      <c r="AE97" s="96">
        <f t="shared" si="76"/>
        <v>4.166666666666667</v>
      </c>
      <c r="AF97" s="94">
        <f t="shared" si="68"/>
        <v>5.3068933088451917</v>
      </c>
      <c r="AG97" s="94">
        <f t="shared" si="57"/>
        <v>0.24783542600489966</v>
      </c>
      <c r="AH97" s="94">
        <f t="shared" si="58"/>
        <v>0.69166336261764161</v>
      </c>
      <c r="AI97" s="97">
        <f t="shared" si="69"/>
        <v>0.93949878862254121</v>
      </c>
      <c r="AJ97" s="96">
        <f t="shared" si="70"/>
        <v>2.5</v>
      </c>
      <c r="AK97" s="94">
        <f t="shared" si="59"/>
        <v>4.1107018810514004</v>
      </c>
      <c r="AL97" s="94">
        <f t="shared" si="60"/>
        <v>0.14870125560293979</v>
      </c>
      <c r="AM97" s="94">
        <f t="shared" si="71"/>
        <v>0.36009600000000008</v>
      </c>
      <c r="AN97" s="237">
        <f t="shared" si="61"/>
        <v>5.6507801418439717E-2</v>
      </c>
      <c r="AO97" s="97">
        <f t="shared" si="72"/>
        <v>0.56530505702137956</v>
      </c>
      <c r="AP97" s="96">
        <f t="shared" si="62"/>
        <v>0.1351829596390362</v>
      </c>
      <c r="AQ97" s="257">
        <f t="shared" si="63"/>
        <v>9.0121973092690794E-2</v>
      </c>
      <c r="AR97" s="257">
        <f t="shared" si="64"/>
        <v>0.24041576743369195</v>
      </c>
      <c r="AS97" s="94">
        <f t="shared" si="65"/>
        <v>4.3999999999999997E-2</v>
      </c>
      <c r="AT97" s="97">
        <f t="shared" si="66"/>
        <v>2.9699999999999997E-5</v>
      </c>
      <c r="AU97" s="96">
        <f t="shared" si="73"/>
        <v>2.1046762189020303</v>
      </c>
      <c r="AV97" s="94">
        <f t="shared" si="74"/>
        <v>60</v>
      </c>
      <c r="AW97" s="97">
        <f t="shared" si="75"/>
        <v>96.611082535099897</v>
      </c>
    </row>
    <row r="98" spans="17:49" x14ac:dyDescent="0.3">
      <c r="Q98" s="32">
        <v>91</v>
      </c>
      <c r="R98" s="96">
        <f t="shared" si="49"/>
        <v>24</v>
      </c>
      <c r="S98" s="94">
        <f t="shared" si="50"/>
        <v>2.5277777777777781</v>
      </c>
      <c r="T98" s="94">
        <f t="shared" si="51"/>
        <v>9</v>
      </c>
      <c r="U98" s="97">
        <f t="shared" si="52"/>
        <v>6.7407407407407414</v>
      </c>
      <c r="V98" s="96">
        <f>IF(Variable_Management!$B$20=3,2,IF((S98*R98/T98)&lt;((T98*(1-(T98/R98)))/(2*Lm*Fsw)),1,2))</f>
        <v>2</v>
      </c>
      <c r="W98" s="94">
        <f t="shared" si="53"/>
        <v>0.625</v>
      </c>
      <c r="X98" s="97">
        <f t="shared" si="54"/>
        <v>0.375</v>
      </c>
      <c r="Y98" s="96">
        <f t="shared" si="55"/>
        <v>2.7200193423597678</v>
      </c>
      <c r="Z98" s="94">
        <f t="shared" si="77"/>
        <v>8.1007504119206253</v>
      </c>
      <c r="AA98" s="94">
        <f t="shared" si="78"/>
        <v>6.7863191669551597</v>
      </c>
      <c r="AB98" s="94">
        <v>0</v>
      </c>
      <c r="AC98" s="94">
        <f t="shared" si="56"/>
        <v>9.2108255671565942E-2</v>
      </c>
      <c r="AD98" s="97">
        <f t="shared" si="67"/>
        <v>9.2108255671565942E-2</v>
      </c>
      <c r="AE98" s="96">
        <f t="shared" si="76"/>
        <v>4.2129629629629637</v>
      </c>
      <c r="AF98" s="94">
        <f t="shared" si="68"/>
        <v>5.3650563741086978</v>
      </c>
      <c r="AG98" s="94">
        <f t="shared" si="57"/>
        <v>0.25329770309680644</v>
      </c>
      <c r="AH98" s="94">
        <f t="shared" si="58"/>
        <v>0.69934851109117113</v>
      </c>
      <c r="AI98" s="97">
        <f t="shared" si="69"/>
        <v>0.95264621418797757</v>
      </c>
      <c r="AJ98" s="96">
        <f t="shared" si="70"/>
        <v>2.5277777777777781</v>
      </c>
      <c r="AK98" s="94">
        <f t="shared" si="59"/>
        <v>4.1557547976773872</v>
      </c>
      <c r="AL98" s="94">
        <f t="shared" si="60"/>
        <v>0.15197862185808389</v>
      </c>
      <c r="AM98" s="94">
        <f t="shared" si="71"/>
        <v>0.36009600000000008</v>
      </c>
      <c r="AN98" s="237">
        <f t="shared" si="61"/>
        <v>5.7029282899921201E-2</v>
      </c>
      <c r="AO98" s="97">
        <f t="shared" si="72"/>
        <v>0.5691039047580051</v>
      </c>
      <c r="AP98" s="96">
        <f t="shared" si="62"/>
        <v>0.13816238350734891</v>
      </c>
      <c r="AQ98" s="257">
        <f t="shared" si="63"/>
        <v>9.2108255671565942E-2</v>
      </c>
      <c r="AR98" s="257">
        <f t="shared" si="64"/>
        <v>0.24041576743369195</v>
      </c>
      <c r="AS98" s="94">
        <f t="shared" si="65"/>
        <v>4.3999999999999997E-2</v>
      </c>
      <c r="AT98" s="97">
        <f t="shared" si="66"/>
        <v>2.9699999999999997E-5</v>
      </c>
      <c r="AU98" s="96">
        <f t="shared" si="73"/>
        <v>2.1285744812301557</v>
      </c>
      <c r="AV98" s="94">
        <f t="shared" si="74"/>
        <v>60.666666666666671</v>
      </c>
      <c r="AW98" s="97">
        <f t="shared" si="75"/>
        <v>96.610293324271368</v>
      </c>
    </row>
    <row r="99" spans="17:49" x14ac:dyDescent="0.3">
      <c r="Q99" s="32">
        <v>92</v>
      </c>
      <c r="R99" s="96">
        <f t="shared" si="49"/>
        <v>24</v>
      </c>
      <c r="S99" s="94">
        <f t="shared" si="50"/>
        <v>2.5555555555555558</v>
      </c>
      <c r="T99" s="94">
        <f t="shared" si="51"/>
        <v>9</v>
      </c>
      <c r="U99" s="97">
        <f t="shared" si="52"/>
        <v>6.8148148148148158</v>
      </c>
      <c r="V99" s="96">
        <f>IF(Variable_Management!$B$20=3,2,IF((S99*R99/T99)&lt;((T99*(1-(T99/R99)))/(2*Lm*Fsw)),1,2))</f>
        <v>2</v>
      </c>
      <c r="W99" s="94">
        <f t="shared" si="53"/>
        <v>0.625</v>
      </c>
      <c r="X99" s="97">
        <f t="shared" si="54"/>
        <v>0.375</v>
      </c>
      <c r="Y99" s="96">
        <f t="shared" si="55"/>
        <v>2.7200193423597678</v>
      </c>
      <c r="Z99" s="94">
        <f t="shared" si="77"/>
        <v>8.1748244859946997</v>
      </c>
      <c r="AA99" s="94">
        <f t="shared" si="78"/>
        <v>6.8599010971092307</v>
      </c>
      <c r="AB99" s="94">
        <v>0</v>
      </c>
      <c r="AC99" s="94">
        <f t="shared" si="56"/>
        <v>9.4116486124240853E-2</v>
      </c>
      <c r="AD99" s="97">
        <f t="shared" si="67"/>
        <v>9.4116486124240853E-2</v>
      </c>
      <c r="AE99" s="96">
        <f t="shared" si="76"/>
        <v>4.2592592592592595</v>
      </c>
      <c r="AF99" s="94">
        <f t="shared" si="68"/>
        <v>5.4232279975882696</v>
      </c>
      <c r="AG99" s="94">
        <f t="shared" si="57"/>
        <v>0.25882033684166239</v>
      </c>
      <c r="AH99" s="94">
        <f t="shared" si="58"/>
        <v>0.70703365956470032</v>
      </c>
      <c r="AI99" s="97">
        <f t="shared" si="69"/>
        <v>0.96585399640636271</v>
      </c>
      <c r="AJ99" s="96">
        <f t="shared" si="70"/>
        <v>2.5555555555555558</v>
      </c>
      <c r="AK99" s="94">
        <f t="shared" si="59"/>
        <v>4.200814343469033</v>
      </c>
      <c r="AL99" s="94">
        <f t="shared" si="60"/>
        <v>0.15529220210499745</v>
      </c>
      <c r="AM99" s="94">
        <f t="shared" si="71"/>
        <v>0.36009600000000008</v>
      </c>
      <c r="AN99" s="237">
        <f t="shared" si="61"/>
        <v>5.7550764381402685E-2</v>
      </c>
      <c r="AO99" s="97">
        <f t="shared" si="72"/>
        <v>0.5729389664864003</v>
      </c>
      <c r="AP99" s="96">
        <f t="shared" si="62"/>
        <v>0.14117472918636129</v>
      </c>
      <c r="AQ99" s="257">
        <f t="shared" si="63"/>
        <v>9.4116486124240853E-2</v>
      </c>
      <c r="AR99" s="257">
        <f t="shared" si="64"/>
        <v>0.24041576743369195</v>
      </c>
      <c r="AS99" s="94">
        <f t="shared" si="65"/>
        <v>4.3999999999999997E-2</v>
      </c>
      <c r="AT99" s="97">
        <f t="shared" si="66"/>
        <v>2.9699999999999997E-5</v>
      </c>
      <c r="AU99" s="96">
        <f t="shared" si="73"/>
        <v>2.1526461317612982</v>
      </c>
      <c r="AV99" s="94">
        <f t="shared" si="74"/>
        <v>61.333333333333343</v>
      </c>
      <c r="AW99" s="97">
        <f t="shared" si="75"/>
        <v>96.609257429910414</v>
      </c>
    </row>
    <row r="100" spans="17:49" x14ac:dyDescent="0.3">
      <c r="Q100" s="32">
        <v>93</v>
      </c>
      <c r="R100" s="96">
        <f t="shared" si="49"/>
        <v>24</v>
      </c>
      <c r="S100" s="94">
        <f t="shared" si="50"/>
        <v>2.5833333333333335</v>
      </c>
      <c r="T100" s="94">
        <f t="shared" si="51"/>
        <v>9</v>
      </c>
      <c r="U100" s="97">
        <f t="shared" si="52"/>
        <v>6.8888888888888893</v>
      </c>
      <c r="V100" s="96">
        <f>IF(Variable_Management!$B$20=3,2,IF((S100*R100/T100)&lt;((T100*(1-(T100/R100)))/(2*Lm*Fsw)),1,2))</f>
        <v>2</v>
      </c>
      <c r="W100" s="94">
        <f t="shared" si="53"/>
        <v>0.625</v>
      </c>
      <c r="X100" s="97">
        <f t="shared" si="54"/>
        <v>0.375</v>
      </c>
      <c r="Y100" s="96">
        <f t="shared" si="55"/>
        <v>2.7200193423597678</v>
      </c>
      <c r="Z100" s="94">
        <f t="shared" si="77"/>
        <v>8.2488985600687741</v>
      </c>
      <c r="AA100" s="94">
        <f t="shared" si="78"/>
        <v>6.9334935079913169</v>
      </c>
      <c r="AB100" s="94">
        <v>0</v>
      </c>
      <c r="AC100" s="94">
        <f t="shared" si="56"/>
        <v>9.6146664450715486E-2</v>
      </c>
      <c r="AD100" s="97">
        <f t="shared" si="67"/>
        <v>9.6146664450715486E-2</v>
      </c>
      <c r="AE100" s="96">
        <f t="shared" si="76"/>
        <v>4.3055555555555554</v>
      </c>
      <c r="AF100" s="94">
        <f t="shared" si="68"/>
        <v>5.4814079068108583</v>
      </c>
      <c r="AG100" s="94">
        <f t="shared" si="57"/>
        <v>0.26440332723946763</v>
      </c>
      <c r="AH100" s="94">
        <f t="shared" si="58"/>
        <v>0.71471880803822974</v>
      </c>
      <c r="AI100" s="97">
        <f t="shared" si="69"/>
        <v>0.97912213527769731</v>
      </c>
      <c r="AJ100" s="96">
        <f t="shared" si="70"/>
        <v>2.5833333333333335</v>
      </c>
      <c r="AK100" s="94">
        <f t="shared" si="59"/>
        <v>4.2458803073696219</v>
      </c>
      <c r="AL100" s="94">
        <f t="shared" si="60"/>
        <v>0.15864199634368056</v>
      </c>
      <c r="AM100" s="94">
        <f t="shared" si="71"/>
        <v>0.36009600000000008</v>
      </c>
      <c r="AN100" s="237">
        <f t="shared" si="61"/>
        <v>5.8072245862884168E-2</v>
      </c>
      <c r="AO100" s="97">
        <f t="shared" si="72"/>
        <v>0.57681024220656485</v>
      </c>
      <c r="AP100" s="96">
        <f t="shared" si="62"/>
        <v>0.14421999667607321</v>
      </c>
      <c r="AQ100" s="257">
        <f t="shared" si="63"/>
        <v>9.6146664450715486E-2</v>
      </c>
      <c r="AR100" s="257">
        <f t="shared" si="64"/>
        <v>0.24041576743369195</v>
      </c>
      <c r="AS100" s="94">
        <f t="shared" si="65"/>
        <v>4.3999999999999997E-2</v>
      </c>
      <c r="AT100" s="97">
        <f t="shared" si="66"/>
        <v>2.9699999999999997E-5</v>
      </c>
      <c r="AU100" s="96">
        <f t="shared" si="73"/>
        <v>2.1768911704954581</v>
      </c>
      <c r="AV100" s="94">
        <f t="shared" si="74"/>
        <v>62</v>
      </c>
      <c r="AW100" s="97">
        <f t="shared" si="75"/>
        <v>96.607982825605845</v>
      </c>
    </row>
    <row r="101" spans="17:49" x14ac:dyDescent="0.3">
      <c r="Q101" s="32">
        <v>94</v>
      </c>
      <c r="R101" s="96">
        <f t="shared" si="49"/>
        <v>24</v>
      </c>
      <c r="S101" s="94">
        <f t="shared" si="50"/>
        <v>2.6111111111111112</v>
      </c>
      <c r="T101" s="94">
        <f t="shared" si="51"/>
        <v>9</v>
      </c>
      <c r="U101" s="97">
        <f t="shared" si="52"/>
        <v>6.9629629629629637</v>
      </c>
      <c r="V101" s="96">
        <f>IF(Variable_Management!$B$20=3,2,IF((S101*R101/T101)&lt;((T101*(1-(T101/R101)))/(2*Lm*Fsw)),1,2))</f>
        <v>2</v>
      </c>
      <c r="W101" s="94">
        <f t="shared" si="53"/>
        <v>0.625</v>
      </c>
      <c r="X101" s="97">
        <f t="shared" si="54"/>
        <v>0.375</v>
      </c>
      <c r="Y101" s="96">
        <f t="shared" si="55"/>
        <v>2.7200193423597678</v>
      </c>
      <c r="Z101" s="94">
        <f t="shared" si="77"/>
        <v>8.3229726341428467</v>
      </c>
      <c r="AA101" s="94">
        <f t="shared" si="78"/>
        <v>7.0070960693781643</v>
      </c>
      <c r="AB101" s="94">
        <v>0</v>
      </c>
      <c r="AC101" s="94">
        <f t="shared" si="56"/>
        <v>9.819879065098984E-2</v>
      </c>
      <c r="AD101" s="97">
        <f t="shared" si="67"/>
        <v>9.819879065098984E-2</v>
      </c>
      <c r="AE101" s="96">
        <f t="shared" si="76"/>
        <v>4.3518518518518521</v>
      </c>
      <c r="AF101" s="94">
        <f t="shared" si="68"/>
        <v>5.5395958407120567</v>
      </c>
      <c r="AG101" s="94">
        <f t="shared" si="57"/>
        <v>0.270046674290222</v>
      </c>
      <c r="AH101" s="94">
        <f t="shared" si="58"/>
        <v>0.72240395651175904</v>
      </c>
      <c r="AI101" s="97">
        <f t="shared" si="69"/>
        <v>0.99245063080198104</v>
      </c>
      <c r="AJ101" s="96">
        <f t="shared" si="70"/>
        <v>2.6111111111111116</v>
      </c>
      <c r="AK101" s="94">
        <f t="shared" si="59"/>
        <v>4.2909524871595339</v>
      </c>
      <c r="AL101" s="94">
        <f t="shared" si="60"/>
        <v>0.16202800457413319</v>
      </c>
      <c r="AM101" s="94">
        <f t="shared" si="71"/>
        <v>0.36009600000000008</v>
      </c>
      <c r="AN101" s="237">
        <f t="shared" si="61"/>
        <v>5.8593727344365645E-2</v>
      </c>
      <c r="AO101" s="97">
        <f t="shared" si="72"/>
        <v>0.58071773191849896</v>
      </c>
      <c r="AP101" s="96">
        <f t="shared" si="62"/>
        <v>0.14729818597648475</v>
      </c>
      <c r="AQ101" s="257">
        <f t="shared" si="63"/>
        <v>9.819879065098984E-2</v>
      </c>
      <c r="AR101" s="257">
        <f t="shared" si="64"/>
        <v>0.24041576743369195</v>
      </c>
      <c r="AS101" s="94">
        <f t="shared" si="65"/>
        <v>4.3999999999999997E-2</v>
      </c>
      <c r="AT101" s="97">
        <f t="shared" si="66"/>
        <v>2.9699999999999997E-5</v>
      </c>
      <c r="AU101" s="96">
        <f t="shared" si="73"/>
        <v>2.2013095974326364</v>
      </c>
      <c r="AV101" s="94">
        <f t="shared" si="74"/>
        <v>62.666666666666671</v>
      </c>
      <c r="AW101" s="97">
        <f t="shared" si="75"/>
        <v>96.606477149109182</v>
      </c>
    </row>
    <row r="102" spans="17:49" x14ac:dyDescent="0.3">
      <c r="Q102" s="32">
        <v>95</v>
      </c>
      <c r="R102" s="96">
        <f t="shared" si="49"/>
        <v>24</v>
      </c>
      <c r="S102" s="94">
        <f t="shared" si="50"/>
        <v>2.6388888888888893</v>
      </c>
      <c r="T102" s="94">
        <f t="shared" si="51"/>
        <v>9</v>
      </c>
      <c r="U102" s="97">
        <f t="shared" si="52"/>
        <v>7.0370370370370381</v>
      </c>
      <c r="V102" s="96">
        <f>IF(Variable_Management!$B$20=3,2,IF((S102*R102/T102)&lt;((T102*(1-(T102/R102)))/(2*Lm*Fsw)),1,2))</f>
        <v>2</v>
      </c>
      <c r="W102" s="94">
        <f t="shared" si="53"/>
        <v>0.625</v>
      </c>
      <c r="X102" s="97">
        <f t="shared" si="54"/>
        <v>0.375</v>
      </c>
      <c r="Y102" s="96">
        <f t="shared" si="55"/>
        <v>2.7200193423597678</v>
      </c>
      <c r="Z102" s="94">
        <f t="shared" si="77"/>
        <v>8.3970467082169229</v>
      </c>
      <c r="AA102" s="94">
        <f t="shared" si="78"/>
        <v>7.0807084647323215</v>
      </c>
      <c r="AB102" s="94">
        <v>0</v>
      </c>
      <c r="AC102" s="94">
        <f t="shared" si="56"/>
        <v>0.1002728647250639</v>
      </c>
      <c r="AD102" s="97">
        <f t="shared" si="67"/>
        <v>0.1002728647250639</v>
      </c>
      <c r="AE102" s="96">
        <f t="shared" si="76"/>
        <v>4.3981481481481488</v>
      </c>
      <c r="AF102" s="94">
        <f t="shared" si="68"/>
        <v>5.5977915490470425</v>
      </c>
      <c r="AG102" s="94">
        <f t="shared" si="57"/>
        <v>0.27575037799392593</v>
      </c>
      <c r="AH102" s="94">
        <f t="shared" si="58"/>
        <v>0.73008910498528845</v>
      </c>
      <c r="AI102" s="97">
        <f t="shared" si="69"/>
        <v>1.0058394829792143</v>
      </c>
      <c r="AJ102" s="96">
        <f t="shared" si="70"/>
        <v>2.6388888888888893</v>
      </c>
      <c r="AK102" s="94">
        <f t="shared" si="59"/>
        <v>4.3360306889999629</v>
      </c>
      <c r="AL102" s="94">
        <f t="shared" si="60"/>
        <v>0.16545022679635554</v>
      </c>
      <c r="AM102" s="94">
        <f t="shared" si="71"/>
        <v>0.36009600000000008</v>
      </c>
      <c r="AN102" s="237">
        <f t="shared" si="61"/>
        <v>5.9115208825847136E-2</v>
      </c>
      <c r="AO102" s="97">
        <f t="shared" si="72"/>
        <v>0.58466143562220274</v>
      </c>
      <c r="AP102" s="96">
        <f t="shared" si="62"/>
        <v>0.15040929708759584</v>
      </c>
      <c r="AQ102" s="257">
        <f t="shared" si="63"/>
        <v>0.1002728647250639</v>
      </c>
      <c r="AR102" s="257">
        <f t="shared" si="64"/>
        <v>0.24041576743369195</v>
      </c>
      <c r="AS102" s="94">
        <f t="shared" si="65"/>
        <v>4.3999999999999997E-2</v>
      </c>
      <c r="AT102" s="97">
        <f t="shared" si="66"/>
        <v>2.9699999999999997E-5</v>
      </c>
      <c r="AU102" s="96">
        <f t="shared" si="73"/>
        <v>2.2259014125728327</v>
      </c>
      <c r="AV102" s="94">
        <f t="shared" si="74"/>
        <v>63.333333333333343</v>
      </c>
      <c r="AW102" s="97">
        <f t="shared" si="75"/>
        <v>96.604747719829305</v>
      </c>
    </row>
    <row r="103" spans="17:49" x14ac:dyDescent="0.3">
      <c r="Q103" s="32">
        <v>96</v>
      </c>
      <c r="R103" s="96">
        <f t="shared" si="49"/>
        <v>24</v>
      </c>
      <c r="S103" s="94">
        <f t="shared" ref="S103:S134" si="79">Q103*$O$12</f>
        <v>2.666666666666667</v>
      </c>
      <c r="T103" s="94">
        <f t="shared" si="51"/>
        <v>9</v>
      </c>
      <c r="U103" s="97">
        <f t="shared" ref="U103:U134" si="80">(R103*S103)/(T103*EFF_est)</f>
        <v>7.1111111111111107</v>
      </c>
      <c r="V103" s="96">
        <f>IF(Variable_Management!$B$20=3,2,IF((S103*R103/T103)&lt;((T103*(1-(T103/R103)))/(2*Lm*Fsw)),1,2))</f>
        <v>2</v>
      </c>
      <c r="W103" s="94">
        <f t="shared" ref="W103:W134" si="81">CHOOSE(V103,SQRT((2*S103*Lm*Fsw*(R103-T103))/((T103)^2)),1-(T103/R103))</f>
        <v>0.625</v>
      </c>
      <c r="X103" s="97">
        <f t="shared" ref="X103:X134" si="82">CHOOSE(V103,(Lm*Z103*Fsw)/(R103-T103),1-W103)</f>
        <v>0.375</v>
      </c>
      <c r="Y103" s="96">
        <f t="shared" ref="Y103:Y134" si="83">(T103*W103)/(Lm*Fsw)</f>
        <v>2.7200193423597678</v>
      </c>
      <c r="Z103" s="94">
        <f t="shared" si="77"/>
        <v>8.4711207822909955</v>
      </c>
      <c r="AA103" s="94">
        <f t="shared" si="78"/>
        <v>7.154330390502583</v>
      </c>
      <c r="AB103" s="94">
        <v>0</v>
      </c>
      <c r="AC103" s="94">
        <f t="shared" ref="AC103:AC134" si="84">(AA103^2)*Rdcr</f>
        <v>0.10236888667293768</v>
      </c>
      <c r="AD103" s="97">
        <f t="shared" si="67"/>
        <v>0.10236888667293768</v>
      </c>
      <c r="AE103" s="96">
        <f t="shared" si="76"/>
        <v>4.4444444444444446</v>
      </c>
      <c r="AF103" s="94">
        <f t="shared" si="68"/>
        <v>5.6559947918375091</v>
      </c>
      <c r="AG103" s="94">
        <f t="shared" ref="AG103:AG134" si="85">(AF103^2)*RDS_on</f>
        <v>0.28151443835057866</v>
      </c>
      <c r="AH103" s="94">
        <f t="shared" ref="AH103:AH134" si="86">((R103*U103)/2)*Fsw*(tr_sw+tf_sw)</f>
        <v>0.73777425345881764</v>
      </c>
      <c r="AI103" s="97">
        <f t="shared" si="69"/>
        <v>1.0192886918093964</v>
      </c>
      <c r="AJ103" s="96">
        <f t="shared" si="70"/>
        <v>2.6666666666666665</v>
      </c>
      <c r="AK103" s="94">
        <f t="shared" ref="AK103:AK134" si="87">CHOOSE(V103,Z103*SQRT(X103/3),SQRT(X103*((Z103^2)+((Y103^2)/3)-(Y103*Z103))))</f>
        <v>4.3811147270045119</v>
      </c>
      <c r="AL103" s="94">
        <f t="shared" ref="AL103:AL134" si="88">(AK103^2)*RDS_on_HS</f>
        <v>0.16890866301034721</v>
      </c>
      <c r="AM103" s="94">
        <f t="shared" si="71"/>
        <v>0.36009600000000008</v>
      </c>
      <c r="AN103" s="237">
        <f t="shared" ref="AN103:AN134" si="89">Vd_rect*t_dead*Fsw*Z103</f>
        <v>5.9636690307328613E-2</v>
      </c>
      <c r="AO103" s="97">
        <f t="shared" si="72"/>
        <v>0.58864135331767597</v>
      </c>
      <c r="AP103" s="96">
        <f t="shared" ref="AP103:AP134" si="90">(AA103^2)*R_cs</f>
        <v>0.15355333000940652</v>
      </c>
      <c r="AQ103" s="257">
        <f t="shared" ref="AQ103:AQ134" si="91">Rdcr*AA103^2</f>
        <v>0.10236888667293768</v>
      </c>
      <c r="AR103" s="257">
        <f t="shared" ref="AR103:AR134" si="92">ABS(7.759*10^-3*Fsw^0.9458*(0.00787*Y103)^2.304)</f>
        <v>0.24041576743369195</v>
      </c>
      <c r="AS103" s="94">
        <f t="shared" ref="AS103:AS134" si="93">(Qg_tot+Qg_tot_HS)*Vcc*Fsw</f>
        <v>4.3999999999999997E-2</v>
      </c>
      <c r="AT103" s="97">
        <f t="shared" ref="AT103:AT134" si="94">IQ*T103</f>
        <v>2.9699999999999997E-5</v>
      </c>
      <c r="AU103" s="96">
        <f t="shared" si="73"/>
        <v>2.250666615916046</v>
      </c>
      <c r="AV103" s="94">
        <f t="shared" si="74"/>
        <v>64</v>
      </c>
      <c r="AW103" s="97">
        <f t="shared" si="75"/>
        <v>96.602801555244511</v>
      </c>
    </row>
    <row r="104" spans="17:49" x14ac:dyDescent="0.3">
      <c r="Q104" s="32">
        <v>97</v>
      </c>
      <c r="R104" s="96">
        <f t="shared" si="49"/>
        <v>24</v>
      </c>
      <c r="S104" s="94">
        <f t="shared" si="79"/>
        <v>2.6944444444444446</v>
      </c>
      <c r="T104" s="94">
        <f t="shared" si="51"/>
        <v>9</v>
      </c>
      <c r="U104" s="97">
        <f t="shared" si="80"/>
        <v>7.185185185185186</v>
      </c>
      <c r="V104" s="96">
        <f>IF(Variable_Management!$B$20=3,2,IF((S104*R104/T104)&lt;((T104*(1-(T104/R104)))/(2*Lm*Fsw)),1,2))</f>
        <v>2</v>
      </c>
      <c r="W104" s="94">
        <f t="shared" si="81"/>
        <v>0.625</v>
      </c>
      <c r="X104" s="97">
        <f t="shared" si="82"/>
        <v>0.375</v>
      </c>
      <c r="Y104" s="96">
        <f t="shared" si="83"/>
        <v>2.7200193423597678</v>
      </c>
      <c r="Z104" s="94">
        <f t="shared" si="77"/>
        <v>8.5451948563650699</v>
      </c>
      <c r="AA104" s="94">
        <f t="shared" si="78"/>
        <v>7.2279615554667709</v>
      </c>
      <c r="AB104" s="94">
        <v>0</v>
      </c>
      <c r="AC104" s="94">
        <f t="shared" si="84"/>
        <v>0.10448685649461124</v>
      </c>
      <c r="AD104" s="97">
        <f t="shared" si="67"/>
        <v>0.10448685649461124</v>
      </c>
      <c r="AE104" s="96">
        <f t="shared" si="76"/>
        <v>4.4907407407407414</v>
      </c>
      <c r="AF104" s="94">
        <f t="shared" si="68"/>
        <v>5.7142053388521141</v>
      </c>
      <c r="AG104" s="94">
        <f t="shared" si="85"/>
        <v>0.28733885536018089</v>
      </c>
      <c r="AH104" s="94">
        <f t="shared" si="86"/>
        <v>0.74545940193234717</v>
      </c>
      <c r="AI104" s="97">
        <f t="shared" si="69"/>
        <v>1.0327982572925281</v>
      </c>
      <c r="AJ104" s="96">
        <f t="shared" si="70"/>
        <v>2.6944444444444446</v>
      </c>
      <c r="AK104" s="94">
        <f t="shared" si="87"/>
        <v>4.4262044228367499</v>
      </c>
      <c r="AL104" s="94">
        <f t="shared" si="88"/>
        <v>0.17240331321610855</v>
      </c>
      <c r="AM104" s="94">
        <f t="shared" ref="AM104:AM135" si="95">CHOOSE(V104,(R104+Vd_rect)*Qrr*Fsw,(R104+Vd_rect)*Qrr*Fsw)</f>
        <v>0.36009600000000008</v>
      </c>
      <c r="AN104" s="237">
        <f t="shared" si="89"/>
        <v>6.0158171788810097E-2</v>
      </c>
      <c r="AO104" s="97">
        <f t="shared" si="72"/>
        <v>0.59265748500491877</v>
      </c>
      <c r="AP104" s="96">
        <f t="shared" si="90"/>
        <v>0.15673028474191686</v>
      </c>
      <c r="AQ104" s="257">
        <f t="shared" si="91"/>
        <v>0.10448685649461124</v>
      </c>
      <c r="AR104" s="257">
        <f t="shared" si="92"/>
        <v>0.24041576743369195</v>
      </c>
      <c r="AS104" s="94">
        <f t="shared" si="93"/>
        <v>4.3999999999999997E-2</v>
      </c>
      <c r="AT104" s="97">
        <f t="shared" si="94"/>
        <v>2.9699999999999997E-5</v>
      </c>
      <c r="AU104" s="96">
        <f t="shared" si="73"/>
        <v>2.2756052074622781</v>
      </c>
      <c r="AV104" s="94">
        <f t="shared" si="74"/>
        <v>64.666666666666671</v>
      </c>
      <c r="AW104" s="97">
        <f t="shared" si="75"/>
        <v>96.600645386309751</v>
      </c>
    </row>
    <row r="105" spans="17:49" x14ac:dyDescent="0.3">
      <c r="Q105" s="32">
        <v>98</v>
      </c>
      <c r="R105" s="96">
        <f t="shared" si="49"/>
        <v>24</v>
      </c>
      <c r="S105" s="94">
        <f t="shared" si="79"/>
        <v>2.7222222222222223</v>
      </c>
      <c r="T105" s="94">
        <f t="shared" si="51"/>
        <v>9</v>
      </c>
      <c r="U105" s="97">
        <f t="shared" si="80"/>
        <v>7.2592592592592604</v>
      </c>
      <c r="V105" s="96">
        <f>IF(Variable_Management!$B$20=3,2,IF((S105*R105/T105)&lt;((T105*(1-(T105/R105)))/(2*Lm*Fsw)),1,2))</f>
        <v>2</v>
      </c>
      <c r="W105" s="94">
        <f t="shared" si="81"/>
        <v>0.625</v>
      </c>
      <c r="X105" s="97">
        <f t="shared" si="82"/>
        <v>0.375</v>
      </c>
      <c r="Y105" s="96">
        <f t="shared" si="83"/>
        <v>2.7200193423597678</v>
      </c>
      <c r="Z105" s="94">
        <f t="shared" si="77"/>
        <v>8.6192689304391443</v>
      </c>
      <c r="AA105" s="94">
        <f t="shared" si="78"/>
        <v>7.3016016801139081</v>
      </c>
      <c r="AB105" s="94">
        <v>0</v>
      </c>
      <c r="AC105" s="94">
        <f t="shared" si="84"/>
        <v>0.1066267741900845</v>
      </c>
      <c r="AD105" s="97">
        <f t="shared" si="67"/>
        <v>0.1066267741900845</v>
      </c>
      <c r="AE105" s="96">
        <f t="shared" si="76"/>
        <v>4.5370370370370381</v>
      </c>
      <c r="AF105" s="94">
        <f t="shared" si="68"/>
        <v>5.7724229691180291</v>
      </c>
      <c r="AG105" s="94">
        <f t="shared" si="85"/>
        <v>0.29322362902273236</v>
      </c>
      <c r="AH105" s="94">
        <f t="shared" si="86"/>
        <v>0.75314455040587658</v>
      </c>
      <c r="AI105" s="97">
        <f t="shared" si="69"/>
        <v>1.046368179428609</v>
      </c>
      <c r="AJ105" s="96">
        <f t="shared" si="70"/>
        <v>2.7222222222222228</v>
      </c>
      <c r="AK105" s="94">
        <f t="shared" si="87"/>
        <v>4.4712996053318594</v>
      </c>
      <c r="AL105" s="94">
        <f t="shared" si="88"/>
        <v>0.17593417741363943</v>
      </c>
      <c r="AM105" s="94">
        <f t="shared" si="95"/>
        <v>0.36009600000000008</v>
      </c>
      <c r="AN105" s="237">
        <f t="shared" si="89"/>
        <v>6.0679653270291581E-2</v>
      </c>
      <c r="AO105" s="97">
        <f t="shared" si="72"/>
        <v>0.59670983068393113</v>
      </c>
      <c r="AP105" s="96">
        <f t="shared" si="90"/>
        <v>0.15994016128512673</v>
      </c>
      <c r="AQ105" s="257">
        <f t="shared" si="91"/>
        <v>0.1066267741900845</v>
      </c>
      <c r="AR105" s="257">
        <f t="shared" si="92"/>
        <v>0.24041576743369195</v>
      </c>
      <c r="AS105" s="94">
        <f t="shared" si="93"/>
        <v>4.3999999999999997E-2</v>
      </c>
      <c r="AT105" s="97">
        <f t="shared" si="94"/>
        <v>2.9699999999999997E-5</v>
      </c>
      <c r="AU105" s="96">
        <f t="shared" si="73"/>
        <v>2.3007171872115277</v>
      </c>
      <c r="AV105" s="94">
        <f t="shared" si="74"/>
        <v>65.333333333333343</v>
      </c>
      <c r="AW105" s="97">
        <f t="shared" si="75"/>
        <v>96.598285671929915</v>
      </c>
    </row>
    <row r="106" spans="17:49" x14ac:dyDescent="0.3">
      <c r="Q106" s="32">
        <v>99</v>
      </c>
      <c r="R106" s="96">
        <f t="shared" si="49"/>
        <v>24</v>
      </c>
      <c r="S106" s="94">
        <f t="shared" si="79"/>
        <v>2.75</v>
      </c>
      <c r="T106" s="94">
        <f t="shared" si="51"/>
        <v>9</v>
      </c>
      <c r="U106" s="97">
        <f t="shared" si="80"/>
        <v>7.333333333333333</v>
      </c>
      <c r="V106" s="96">
        <f>IF(Variable_Management!$B$20=3,2,IF((S106*R106/T106)&lt;((T106*(1-(T106/R106)))/(2*Lm*Fsw)),1,2))</f>
        <v>2</v>
      </c>
      <c r="W106" s="94">
        <f t="shared" si="81"/>
        <v>0.625</v>
      </c>
      <c r="X106" s="97">
        <f t="shared" si="82"/>
        <v>0.375</v>
      </c>
      <c r="Y106" s="96">
        <f t="shared" si="83"/>
        <v>2.7200193423597678</v>
      </c>
      <c r="Z106" s="94">
        <f t="shared" si="77"/>
        <v>8.693343004513217</v>
      </c>
      <c r="AA106" s="94">
        <f t="shared" si="78"/>
        <v>7.3752504960630807</v>
      </c>
      <c r="AB106" s="94">
        <v>0</v>
      </c>
      <c r="AC106" s="94">
        <f t="shared" si="84"/>
        <v>0.10878863975935744</v>
      </c>
      <c r="AD106" s="97">
        <f t="shared" si="67"/>
        <v>0.10878863975935744</v>
      </c>
      <c r="AE106" s="96">
        <f t="shared" si="76"/>
        <v>4.583333333333333</v>
      </c>
      <c r="AF106" s="94">
        <f t="shared" si="68"/>
        <v>5.8306474704615097</v>
      </c>
      <c r="AG106" s="94">
        <f t="shared" si="85"/>
        <v>0.299168759338233</v>
      </c>
      <c r="AH106" s="94">
        <f t="shared" si="86"/>
        <v>0.76082969887940577</v>
      </c>
      <c r="AI106" s="97">
        <f t="shared" si="69"/>
        <v>1.0599984582176387</v>
      </c>
      <c r="AJ106" s="96">
        <f t="shared" si="70"/>
        <v>2.75</v>
      </c>
      <c r="AK106" s="94">
        <f t="shared" si="87"/>
        <v>4.5164001101407658</v>
      </c>
      <c r="AL106" s="94">
        <f t="shared" si="88"/>
        <v>0.17950125560293981</v>
      </c>
      <c r="AM106" s="94">
        <f t="shared" si="95"/>
        <v>0.36009600000000008</v>
      </c>
      <c r="AN106" s="237">
        <f t="shared" si="89"/>
        <v>6.1201134751773051E-2</v>
      </c>
      <c r="AO106" s="97">
        <f t="shared" si="72"/>
        <v>0.60079839035471294</v>
      </c>
      <c r="AP106" s="96">
        <f t="shared" si="90"/>
        <v>0.16318295963903615</v>
      </c>
      <c r="AQ106" s="257">
        <f t="shared" si="91"/>
        <v>0.10878863975935744</v>
      </c>
      <c r="AR106" s="257">
        <f t="shared" si="92"/>
        <v>0.24041576743369195</v>
      </c>
      <c r="AS106" s="94">
        <f t="shared" si="93"/>
        <v>4.3999999999999997E-2</v>
      </c>
      <c r="AT106" s="97">
        <f t="shared" si="94"/>
        <v>2.9699999999999997E-5</v>
      </c>
      <c r="AU106" s="96">
        <f t="shared" si="73"/>
        <v>2.3260025551637944</v>
      </c>
      <c r="AV106" s="94">
        <f t="shared" si="74"/>
        <v>66</v>
      </c>
      <c r="AW106" s="97">
        <f t="shared" si="75"/>
        <v>96.595728612564642</v>
      </c>
    </row>
    <row r="107" spans="17:49" x14ac:dyDescent="0.3">
      <c r="Q107" s="32">
        <v>100</v>
      </c>
      <c r="R107" s="96">
        <f t="shared" si="49"/>
        <v>24</v>
      </c>
      <c r="S107" s="94">
        <f t="shared" si="79"/>
        <v>2.7777777777777781</v>
      </c>
      <c r="T107" s="94">
        <f t="shared" si="51"/>
        <v>9</v>
      </c>
      <c r="U107" s="97">
        <f t="shared" si="80"/>
        <v>7.4074074074074083</v>
      </c>
      <c r="V107" s="96">
        <f>IF(Variable_Management!$B$20=3,2,IF((S107*R107/T107)&lt;((T107*(1-(T107/R107)))/(2*Lm*Fsw)),1,2))</f>
        <v>2</v>
      </c>
      <c r="W107" s="94">
        <f t="shared" si="81"/>
        <v>0.625</v>
      </c>
      <c r="X107" s="97">
        <f t="shared" si="82"/>
        <v>0.375</v>
      </c>
      <c r="Y107" s="96">
        <f t="shared" si="83"/>
        <v>2.7200193423597678</v>
      </c>
      <c r="Z107" s="94">
        <f t="shared" si="77"/>
        <v>8.7674170785872931</v>
      </c>
      <c r="AA107" s="94">
        <f t="shared" si="78"/>
        <v>7.4489077455164576</v>
      </c>
      <c r="AB107" s="94">
        <v>0</v>
      </c>
      <c r="AC107" s="94">
        <f t="shared" si="84"/>
        <v>0.11097245320243014</v>
      </c>
      <c r="AD107" s="97">
        <f t="shared" si="67"/>
        <v>0.11097245320243014</v>
      </c>
      <c r="AE107" s="96">
        <f t="shared" si="76"/>
        <v>4.6296296296296298</v>
      </c>
      <c r="AF107" s="94">
        <f t="shared" si="68"/>
        <v>5.888878639075477</v>
      </c>
      <c r="AG107" s="94">
        <f t="shared" si="85"/>
        <v>0.30517424630668311</v>
      </c>
      <c r="AH107" s="94">
        <f t="shared" si="86"/>
        <v>0.76851484735293529</v>
      </c>
      <c r="AI107" s="97">
        <f t="shared" si="69"/>
        <v>1.0736890936596184</v>
      </c>
      <c r="AJ107" s="96">
        <f t="shared" si="70"/>
        <v>2.7777777777777781</v>
      </c>
      <c r="AK107" s="94">
        <f t="shared" si="87"/>
        <v>4.5615057793951843</v>
      </c>
      <c r="AL107" s="94">
        <f t="shared" si="88"/>
        <v>0.18310454778400989</v>
      </c>
      <c r="AM107" s="94">
        <f t="shared" si="95"/>
        <v>0.36009600000000008</v>
      </c>
      <c r="AN107" s="237">
        <f t="shared" si="89"/>
        <v>6.1722616233254549E-2</v>
      </c>
      <c r="AO107" s="97">
        <f t="shared" si="72"/>
        <v>0.60492316401726454</v>
      </c>
      <c r="AP107" s="96">
        <f t="shared" si="90"/>
        <v>0.16645867980364523</v>
      </c>
      <c r="AQ107" s="257">
        <f t="shared" si="91"/>
        <v>0.11097245320243014</v>
      </c>
      <c r="AR107" s="257">
        <f t="shared" si="92"/>
        <v>0.24041576743369195</v>
      </c>
      <c r="AS107" s="94">
        <f t="shared" si="93"/>
        <v>4.3999999999999997E-2</v>
      </c>
      <c r="AT107" s="97">
        <f t="shared" si="94"/>
        <v>2.9699999999999997E-5</v>
      </c>
      <c r="AU107" s="96">
        <f t="shared" si="73"/>
        <v>2.3514613113190799</v>
      </c>
      <c r="AV107" s="94">
        <f t="shared" si="74"/>
        <v>66.666666666666671</v>
      </c>
      <c r="AW107" s="97">
        <f t="shared" si="75"/>
        <v>96.592980163024549</v>
      </c>
    </row>
    <row r="108" spans="17:49" x14ac:dyDescent="0.3">
      <c r="Q108" s="32">
        <v>101</v>
      </c>
      <c r="R108" s="96">
        <f t="shared" si="49"/>
        <v>24</v>
      </c>
      <c r="S108" s="94">
        <f t="shared" si="79"/>
        <v>2.8055555555555558</v>
      </c>
      <c r="T108" s="94">
        <f t="shared" si="51"/>
        <v>9</v>
      </c>
      <c r="U108" s="97">
        <f t="shared" si="80"/>
        <v>7.4814814814814827</v>
      </c>
      <c r="V108" s="96">
        <f>IF(Variable_Management!$B$20=3,2,IF((S108*R108/T108)&lt;((T108*(1-(T108/R108)))/(2*Lm*Fsw)),1,2))</f>
        <v>2</v>
      </c>
      <c r="W108" s="94">
        <f t="shared" si="81"/>
        <v>0.625</v>
      </c>
      <c r="X108" s="97">
        <f t="shared" si="82"/>
        <v>0.375</v>
      </c>
      <c r="Y108" s="96">
        <f t="shared" si="83"/>
        <v>2.7200193423597678</v>
      </c>
      <c r="Z108" s="94">
        <f t="shared" si="77"/>
        <v>8.8414911526613658</v>
      </c>
      <c r="AA108" s="94">
        <f t="shared" si="78"/>
        <v>7.5225731807441596</v>
      </c>
      <c r="AB108" s="94">
        <v>0</v>
      </c>
      <c r="AC108" s="94">
        <f t="shared" si="84"/>
        <v>0.1131782145193026</v>
      </c>
      <c r="AD108" s="97">
        <f t="shared" si="67"/>
        <v>0.1131782145193026</v>
      </c>
      <c r="AE108" s="96">
        <f t="shared" si="76"/>
        <v>4.6759259259259265</v>
      </c>
      <c r="AF108" s="94">
        <f t="shared" si="68"/>
        <v>5.9471162791122607</v>
      </c>
      <c r="AG108" s="94">
        <f t="shared" si="85"/>
        <v>0.31124008992808216</v>
      </c>
      <c r="AH108" s="94">
        <f t="shared" si="86"/>
        <v>0.77619999582646459</v>
      </c>
      <c r="AI108" s="97">
        <f t="shared" si="69"/>
        <v>1.0874400857545468</v>
      </c>
      <c r="AJ108" s="96">
        <f t="shared" si="70"/>
        <v>2.8055555555555562</v>
      </c>
      <c r="AK108" s="94">
        <f t="shared" si="87"/>
        <v>4.6066164613921607</v>
      </c>
      <c r="AL108" s="94">
        <f t="shared" si="88"/>
        <v>0.18674405395684926</v>
      </c>
      <c r="AM108" s="94">
        <f t="shared" si="95"/>
        <v>0.36009600000000008</v>
      </c>
      <c r="AN108" s="237">
        <f t="shared" si="89"/>
        <v>6.2244097714736019E-2</v>
      </c>
      <c r="AO108" s="97">
        <f t="shared" si="72"/>
        <v>0.60908415167158536</v>
      </c>
      <c r="AP108" s="96">
        <f t="shared" si="90"/>
        <v>0.1697673217789539</v>
      </c>
      <c r="AQ108" s="257">
        <f t="shared" si="91"/>
        <v>0.1131782145193026</v>
      </c>
      <c r="AR108" s="257">
        <f t="shared" si="92"/>
        <v>0.24041576743369195</v>
      </c>
      <c r="AS108" s="94">
        <f t="shared" si="93"/>
        <v>4.3999999999999997E-2</v>
      </c>
      <c r="AT108" s="97">
        <f t="shared" si="94"/>
        <v>2.9699999999999997E-5</v>
      </c>
      <c r="AU108" s="96">
        <f t="shared" si="73"/>
        <v>2.3770934556773828</v>
      </c>
      <c r="AV108" s="94">
        <f t="shared" si="74"/>
        <v>67.333333333333343</v>
      </c>
      <c r="AW108" s="97">
        <f t="shared" si="75"/>
        <v>96.590046044514949</v>
      </c>
    </row>
    <row r="109" spans="17:49" x14ac:dyDescent="0.3">
      <c r="Q109" s="32">
        <v>102</v>
      </c>
      <c r="R109" s="96">
        <f t="shared" si="49"/>
        <v>24</v>
      </c>
      <c r="S109" s="94">
        <f t="shared" si="79"/>
        <v>2.8333333333333335</v>
      </c>
      <c r="T109" s="94">
        <f t="shared" si="51"/>
        <v>9</v>
      </c>
      <c r="U109" s="97">
        <f t="shared" si="80"/>
        <v>7.5555555555555554</v>
      </c>
      <c r="V109" s="96">
        <f>IF(Variable_Management!$B$20=3,2,IF((S109*R109/T109)&lt;((T109*(1-(T109/R109)))/(2*Lm*Fsw)),1,2))</f>
        <v>2</v>
      </c>
      <c r="W109" s="94">
        <f t="shared" si="81"/>
        <v>0.625</v>
      </c>
      <c r="X109" s="97">
        <f t="shared" si="82"/>
        <v>0.375</v>
      </c>
      <c r="Y109" s="96">
        <f t="shared" si="83"/>
        <v>2.7200193423597678</v>
      </c>
      <c r="Z109" s="94">
        <f t="shared" si="77"/>
        <v>8.9155652267354384</v>
      </c>
      <c r="AA109" s="94">
        <f t="shared" si="78"/>
        <v>7.596246563598851</v>
      </c>
      <c r="AB109" s="94">
        <v>0</v>
      </c>
      <c r="AC109" s="94">
        <f t="shared" si="84"/>
        <v>0.1154059237099747</v>
      </c>
      <c r="AD109" s="97">
        <f t="shared" si="67"/>
        <v>0.1154059237099747</v>
      </c>
      <c r="AE109" s="96">
        <f t="shared" si="76"/>
        <v>4.7222222222222223</v>
      </c>
      <c r="AF109" s="94">
        <f t="shared" si="68"/>
        <v>6.0053602022998662</v>
      </c>
      <c r="AG109" s="94">
        <f t="shared" si="85"/>
        <v>0.31736629020243046</v>
      </c>
      <c r="AH109" s="94">
        <f t="shared" si="86"/>
        <v>0.78388514429999367</v>
      </c>
      <c r="AI109" s="97">
        <f t="shared" si="69"/>
        <v>1.1012514345024242</v>
      </c>
      <c r="AJ109" s="96">
        <f t="shared" si="70"/>
        <v>2.833333333333333</v>
      </c>
      <c r="AK109" s="94">
        <f t="shared" si="87"/>
        <v>4.651732010296838</v>
      </c>
      <c r="AL109" s="94">
        <f t="shared" si="88"/>
        <v>0.1904197741214583</v>
      </c>
      <c r="AM109" s="94">
        <f t="shared" si="95"/>
        <v>0.36009600000000008</v>
      </c>
      <c r="AN109" s="237">
        <f t="shared" si="89"/>
        <v>6.2765579196217489E-2</v>
      </c>
      <c r="AO109" s="97">
        <f t="shared" si="72"/>
        <v>0.61328135331767586</v>
      </c>
      <c r="AP109" s="96">
        <f t="shared" si="90"/>
        <v>0.17310888556496207</v>
      </c>
      <c r="AQ109" s="257">
        <f t="shared" si="91"/>
        <v>0.1154059237099747</v>
      </c>
      <c r="AR109" s="257">
        <f t="shared" si="92"/>
        <v>0.24041576743369195</v>
      </c>
      <c r="AS109" s="94">
        <f t="shared" si="93"/>
        <v>4.3999999999999997E-2</v>
      </c>
      <c r="AT109" s="97">
        <f t="shared" si="94"/>
        <v>2.9699999999999997E-5</v>
      </c>
      <c r="AU109" s="96">
        <f t="shared" si="73"/>
        <v>2.4028989882387033</v>
      </c>
      <c r="AV109" s="94">
        <f t="shared" si="74"/>
        <v>68</v>
      </c>
      <c r="AW109" s="97">
        <f t="shared" si="75"/>
        <v>96.586931755977659</v>
      </c>
    </row>
    <row r="110" spans="17:49" x14ac:dyDescent="0.3">
      <c r="Q110" s="32">
        <v>103</v>
      </c>
      <c r="R110" s="96">
        <f t="shared" si="49"/>
        <v>24</v>
      </c>
      <c r="S110" s="94">
        <f t="shared" si="79"/>
        <v>2.8611111111111112</v>
      </c>
      <c r="T110" s="94">
        <f t="shared" si="51"/>
        <v>9</v>
      </c>
      <c r="U110" s="97">
        <f t="shared" si="80"/>
        <v>7.6296296296296298</v>
      </c>
      <c r="V110" s="96">
        <f>IF(Variable_Management!$B$20=3,2,IF((S110*R110/T110)&lt;((T110*(1-(T110/R110)))/(2*Lm*Fsw)),1,2))</f>
        <v>2</v>
      </c>
      <c r="W110" s="94">
        <f t="shared" si="81"/>
        <v>0.625</v>
      </c>
      <c r="X110" s="97">
        <f t="shared" si="82"/>
        <v>0.375</v>
      </c>
      <c r="Y110" s="96">
        <f t="shared" si="83"/>
        <v>2.7200193423597678</v>
      </c>
      <c r="Z110" s="94">
        <f t="shared" si="77"/>
        <v>8.9896393008095146</v>
      </c>
      <c r="AA110" s="94">
        <f t="shared" si="78"/>
        <v>7.669927665058081</v>
      </c>
      <c r="AB110" s="94">
        <v>0</v>
      </c>
      <c r="AC110" s="94">
        <f t="shared" si="84"/>
        <v>0.11765558077444663</v>
      </c>
      <c r="AD110" s="97">
        <f t="shared" si="67"/>
        <v>0.11765558077444663</v>
      </c>
      <c r="AE110" s="96">
        <f t="shared" si="76"/>
        <v>4.768518518518519</v>
      </c>
      <c r="AF110" s="94">
        <f t="shared" si="68"/>
        <v>6.0636102275801482</v>
      </c>
      <c r="AG110" s="94">
        <f t="shared" si="85"/>
        <v>0.32355284712972826</v>
      </c>
      <c r="AH110" s="94">
        <f t="shared" si="86"/>
        <v>0.7915702927735232</v>
      </c>
      <c r="AI110" s="97">
        <f t="shared" si="69"/>
        <v>1.1151231399032515</v>
      </c>
      <c r="AJ110" s="96">
        <f t="shared" si="70"/>
        <v>2.8611111111111112</v>
      </c>
      <c r="AK110" s="94">
        <f t="shared" si="87"/>
        <v>4.6968522858621755</v>
      </c>
      <c r="AL110" s="94">
        <f t="shared" si="88"/>
        <v>0.19413170827783693</v>
      </c>
      <c r="AM110" s="94">
        <f t="shared" si="95"/>
        <v>0.36009600000000008</v>
      </c>
      <c r="AN110" s="237">
        <f t="shared" si="89"/>
        <v>6.3287060677698986E-2</v>
      </c>
      <c r="AO110" s="97">
        <f t="shared" si="72"/>
        <v>0.61751476895553603</v>
      </c>
      <c r="AP110" s="96">
        <f t="shared" si="90"/>
        <v>0.17648337116166993</v>
      </c>
      <c r="AQ110" s="257">
        <f t="shared" si="91"/>
        <v>0.11765558077444663</v>
      </c>
      <c r="AR110" s="257">
        <f t="shared" si="92"/>
        <v>0.24041576743369195</v>
      </c>
      <c r="AS110" s="94">
        <f t="shared" si="93"/>
        <v>4.3999999999999997E-2</v>
      </c>
      <c r="AT110" s="97">
        <f t="shared" si="94"/>
        <v>2.9699999999999997E-5</v>
      </c>
      <c r="AU110" s="96">
        <f t="shared" si="73"/>
        <v>2.4288779090030426</v>
      </c>
      <c r="AV110" s="94">
        <f t="shared" si="74"/>
        <v>68.666666666666671</v>
      </c>
      <c r="AW110" s="97">
        <f t="shared" si="75"/>
        <v>96.583642584778431</v>
      </c>
    </row>
    <row r="111" spans="17:49" x14ac:dyDescent="0.3">
      <c r="Q111" s="32">
        <v>104</v>
      </c>
      <c r="R111" s="96">
        <f t="shared" si="49"/>
        <v>24</v>
      </c>
      <c r="S111" s="94">
        <f t="shared" si="79"/>
        <v>2.8888888888888893</v>
      </c>
      <c r="T111" s="94">
        <f t="shared" si="51"/>
        <v>9</v>
      </c>
      <c r="U111" s="97">
        <f t="shared" si="80"/>
        <v>7.7037037037037051</v>
      </c>
      <c r="V111" s="96">
        <f>IF(Variable_Management!$B$20=3,2,IF((S111*R111/T111)&lt;((T111*(1-(T111/R111)))/(2*Lm*Fsw)),1,2))</f>
        <v>2</v>
      </c>
      <c r="W111" s="94">
        <f t="shared" si="81"/>
        <v>0.625</v>
      </c>
      <c r="X111" s="97">
        <f t="shared" si="82"/>
        <v>0.375</v>
      </c>
      <c r="Y111" s="96">
        <f t="shared" si="83"/>
        <v>2.7200193423597678</v>
      </c>
      <c r="Z111" s="94">
        <f t="shared" si="77"/>
        <v>9.063713374883589</v>
      </c>
      <c r="AA111" s="94">
        <f t="shared" si="78"/>
        <v>7.7436162647925109</v>
      </c>
      <c r="AB111" s="94">
        <v>0</v>
      </c>
      <c r="AC111" s="94">
        <f t="shared" si="84"/>
        <v>0.11992718571271824</v>
      </c>
      <c r="AD111" s="97">
        <f t="shared" si="67"/>
        <v>0.11992718571271824</v>
      </c>
      <c r="AE111" s="96">
        <f t="shared" si="76"/>
        <v>4.8148148148148158</v>
      </c>
      <c r="AF111" s="94">
        <f t="shared" si="68"/>
        <v>6.1218661807674666</v>
      </c>
      <c r="AG111" s="94">
        <f t="shared" si="85"/>
        <v>0.32979976070997519</v>
      </c>
      <c r="AH111" s="94">
        <f t="shared" si="86"/>
        <v>0.79925544124705261</v>
      </c>
      <c r="AI111" s="97">
        <f t="shared" si="69"/>
        <v>1.1290552019570277</v>
      </c>
      <c r="AJ111" s="96">
        <f t="shared" si="70"/>
        <v>2.8888888888888893</v>
      </c>
      <c r="AK111" s="94">
        <f t="shared" si="87"/>
        <v>4.7419771531645605</v>
      </c>
      <c r="AL111" s="94">
        <f t="shared" si="88"/>
        <v>0.1978798564259851</v>
      </c>
      <c r="AM111" s="94">
        <f t="shared" si="95"/>
        <v>0.36009600000000008</v>
      </c>
      <c r="AN111" s="237">
        <f t="shared" si="89"/>
        <v>6.380854215918047E-2</v>
      </c>
      <c r="AO111" s="97">
        <f t="shared" si="72"/>
        <v>0.62178439858516565</v>
      </c>
      <c r="AP111" s="96">
        <f t="shared" si="90"/>
        <v>0.17989077856907737</v>
      </c>
      <c r="AQ111" s="257">
        <f t="shared" si="91"/>
        <v>0.11992718571271824</v>
      </c>
      <c r="AR111" s="257">
        <f t="shared" si="92"/>
        <v>0.24041576743369195</v>
      </c>
      <c r="AS111" s="94">
        <f t="shared" si="93"/>
        <v>4.3999999999999997E-2</v>
      </c>
      <c r="AT111" s="97">
        <f t="shared" si="94"/>
        <v>2.9699999999999997E-5</v>
      </c>
      <c r="AU111" s="96">
        <f t="shared" si="73"/>
        <v>2.4550302179703989</v>
      </c>
      <c r="AV111" s="94">
        <f t="shared" si="74"/>
        <v>69.333333333333343</v>
      </c>
      <c r="AW111" s="97">
        <f t="shared" si="75"/>
        <v>96.580183616783643</v>
      </c>
    </row>
    <row r="112" spans="17:49" x14ac:dyDescent="0.3">
      <c r="Q112" s="32">
        <v>105</v>
      </c>
      <c r="R112" s="96">
        <f t="shared" si="49"/>
        <v>24</v>
      </c>
      <c r="S112" s="94">
        <f t="shared" si="79"/>
        <v>2.916666666666667</v>
      </c>
      <c r="T112" s="94">
        <f t="shared" si="51"/>
        <v>9</v>
      </c>
      <c r="U112" s="97">
        <f t="shared" si="80"/>
        <v>7.7777777777777777</v>
      </c>
      <c r="V112" s="96">
        <f>IF(Variable_Management!$B$20=3,2,IF((S112*R112/T112)&lt;((T112*(1-(T112/R112)))/(2*Lm*Fsw)),1,2))</f>
        <v>2</v>
      </c>
      <c r="W112" s="94">
        <f t="shared" si="81"/>
        <v>0.625</v>
      </c>
      <c r="X112" s="97">
        <f t="shared" si="82"/>
        <v>0.375</v>
      </c>
      <c r="Y112" s="96">
        <f t="shared" si="83"/>
        <v>2.7200193423597678</v>
      </c>
      <c r="Z112" s="94">
        <f t="shared" si="77"/>
        <v>9.1377874489576616</v>
      </c>
      <c r="AA112" s="94">
        <f t="shared" si="78"/>
        <v>7.81731215075839</v>
      </c>
      <c r="AB112" s="94">
        <v>0</v>
      </c>
      <c r="AC112" s="94">
        <f t="shared" si="84"/>
        <v>0.12222073852478953</v>
      </c>
      <c r="AD112" s="97">
        <f t="shared" si="67"/>
        <v>0.12222073852478953</v>
      </c>
      <c r="AE112" s="96">
        <f t="shared" si="76"/>
        <v>4.8611111111111107</v>
      </c>
      <c r="AF112" s="94">
        <f t="shared" si="68"/>
        <v>6.180127894226521</v>
      </c>
      <c r="AG112" s="94">
        <f t="shared" si="85"/>
        <v>0.33610703094317129</v>
      </c>
      <c r="AH112" s="94">
        <f t="shared" si="86"/>
        <v>0.8069405897205818</v>
      </c>
      <c r="AI112" s="97">
        <f t="shared" si="69"/>
        <v>1.143047620663753</v>
      </c>
      <c r="AJ112" s="96">
        <f t="shared" si="70"/>
        <v>2.9166666666666665</v>
      </c>
      <c r="AK112" s="94">
        <f t="shared" si="87"/>
        <v>4.7871064823542451</v>
      </c>
      <c r="AL112" s="94">
        <f t="shared" si="88"/>
        <v>0.20166421856590269</v>
      </c>
      <c r="AM112" s="94">
        <f t="shared" si="95"/>
        <v>0.36009600000000008</v>
      </c>
      <c r="AN112" s="237">
        <f t="shared" si="89"/>
        <v>6.433002364066194E-2</v>
      </c>
      <c r="AO112" s="97">
        <f t="shared" si="72"/>
        <v>0.62609024220656473</v>
      </c>
      <c r="AP112" s="96">
        <f t="shared" si="90"/>
        <v>0.18333110778718428</v>
      </c>
      <c r="AQ112" s="257">
        <f t="shared" si="91"/>
        <v>0.12222073852478953</v>
      </c>
      <c r="AR112" s="257">
        <f t="shared" si="92"/>
        <v>0.24041576743369195</v>
      </c>
      <c r="AS112" s="94">
        <f t="shared" si="93"/>
        <v>4.3999999999999997E-2</v>
      </c>
      <c r="AT112" s="97">
        <f t="shared" si="94"/>
        <v>2.9699999999999997E-5</v>
      </c>
      <c r="AU112" s="96">
        <f t="shared" si="73"/>
        <v>2.4813559151407723</v>
      </c>
      <c r="AV112" s="94">
        <f t="shared" si="74"/>
        <v>70</v>
      </c>
      <c r="AW112" s="97">
        <f t="shared" si="75"/>
        <v>96.576559745866405</v>
      </c>
    </row>
    <row r="113" spans="17:49" x14ac:dyDescent="0.3">
      <c r="Q113" s="32">
        <v>106</v>
      </c>
      <c r="R113" s="96">
        <f t="shared" si="49"/>
        <v>24</v>
      </c>
      <c r="S113" s="94">
        <f t="shared" si="79"/>
        <v>2.9444444444444446</v>
      </c>
      <c r="T113" s="94">
        <f t="shared" si="51"/>
        <v>9</v>
      </c>
      <c r="U113" s="97">
        <f t="shared" si="80"/>
        <v>7.8518518518518521</v>
      </c>
      <c r="V113" s="96">
        <f>IF(Variable_Management!$B$20=3,2,IF((S113*R113/T113)&lt;((T113*(1-(T113/R113)))/(2*Lm*Fsw)),1,2))</f>
        <v>2</v>
      </c>
      <c r="W113" s="94">
        <f t="shared" si="81"/>
        <v>0.625</v>
      </c>
      <c r="X113" s="97">
        <f t="shared" si="82"/>
        <v>0.375</v>
      </c>
      <c r="Y113" s="96">
        <f t="shared" si="83"/>
        <v>2.7200193423597678</v>
      </c>
      <c r="Z113" s="94">
        <f t="shared" si="77"/>
        <v>9.211861523031736</v>
      </c>
      <c r="AA113" s="94">
        <f t="shared" si="78"/>
        <v>7.89101511881268</v>
      </c>
      <c r="AB113" s="94">
        <v>0</v>
      </c>
      <c r="AC113" s="94">
        <f t="shared" si="84"/>
        <v>0.12453623921066058</v>
      </c>
      <c r="AD113" s="97">
        <f t="shared" si="67"/>
        <v>0.12453623921066058</v>
      </c>
      <c r="AE113" s="96">
        <f t="shared" si="76"/>
        <v>4.9074074074074074</v>
      </c>
      <c r="AF113" s="94">
        <f t="shared" si="68"/>
        <v>6.2383952065680672</v>
      </c>
      <c r="AG113" s="94">
        <f t="shared" si="85"/>
        <v>0.34247465782931669</v>
      </c>
      <c r="AH113" s="94">
        <f t="shared" si="86"/>
        <v>0.81462573819411133</v>
      </c>
      <c r="AI113" s="97">
        <f t="shared" si="69"/>
        <v>1.1571003960234281</v>
      </c>
      <c r="AJ113" s="96">
        <f t="shared" si="70"/>
        <v>2.9444444444444446</v>
      </c>
      <c r="AK113" s="94">
        <f t="shared" si="87"/>
        <v>4.8322401484196611</v>
      </c>
      <c r="AL113" s="94">
        <f t="shared" si="88"/>
        <v>0.20548479469759007</v>
      </c>
      <c r="AM113" s="94">
        <f t="shared" si="95"/>
        <v>0.36009600000000008</v>
      </c>
      <c r="AN113" s="237">
        <f t="shared" si="89"/>
        <v>6.4851505122143424E-2</v>
      </c>
      <c r="AO113" s="97">
        <f t="shared" si="72"/>
        <v>0.63043229981973359</v>
      </c>
      <c r="AP113" s="96">
        <f t="shared" si="90"/>
        <v>0.18680435881599089</v>
      </c>
      <c r="AQ113" s="257">
        <f t="shared" si="91"/>
        <v>0.12453623921066058</v>
      </c>
      <c r="AR113" s="257">
        <f t="shared" si="92"/>
        <v>0.24041576743369195</v>
      </c>
      <c r="AS113" s="94">
        <f t="shared" si="93"/>
        <v>4.3999999999999997E-2</v>
      </c>
      <c r="AT113" s="97">
        <f t="shared" si="94"/>
        <v>2.9699999999999997E-5</v>
      </c>
      <c r="AU113" s="96">
        <f t="shared" si="73"/>
        <v>2.5078550005141653</v>
      </c>
      <c r="AV113" s="94">
        <f t="shared" si="74"/>
        <v>70.666666666666671</v>
      </c>
      <c r="AW113" s="97">
        <f t="shared" si="75"/>
        <v>96.57277568287958</v>
      </c>
    </row>
    <row r="114" spans="17:49" x14ac:dyDescent="0.3">
      <c r="Q114" s="32">
        <v>107</v>
      </c>
      <c r="R114" s="96">
        <f t="shared" si="49"/>
        <v>24</v>
      </c>
      <c r="S114" s="94">
        <f t="shared" si="79"/>
        <v>2.9722222222222223</v>
      </c>
      <c r="T114" s="94">
        <f t="shared" si="51"/>
        <v>9</v>
      </c>
      <c r="U114" s="97">
        <f t="shared" si="80"/>
        <v>7.9259259259259274</v>
      </c>
      <c r="V114" s="96">
        <f>IF(Variable_Management!$B$20=3,2,IF((S114*R114/T114)&lt;((T114*(1-(T114/R114)))/(2*Lm*Fsw)),1,2))</f>
        <v>2</v>
      </c>
      <c r="W114" s="94">
        <f t="shared" si="81"/>
        <v>0.625</v>
      </c>
      <c r="X114" s="97">
        <f t="shared" si="82"/>
        <v>0.375</v>
      </c>
      <c r="Y114" s="96">
        <f t="shared" si="83"/>
        <v>2.7200193423597678</v>
      </c>
      <c r="Z114" s="94">
        <f t="shared" si="77"/>
        <v>9.2859355971058122</v>
      </c>
      <c r="AA114" s="94">
        <f t="shared" si="78"/>
        <v>7.964724972349372</v>
      </c>
      <c r="AB114" s="94">
        <v>0</v>
      </c>
      <c r="AC114" s="94">
        <f t="shared" si="84"/>
        <v>0.12687368777033142</v>
      </c>
      <c r="AD114" s="97">
        <f t="shared" si="67"/>
        <v>0.12687368777033142</v>
      </c>
      <c r="AE114" s="96">
        <f t="shared" si="76"/>
        <v>4.9537037037037042</v>
      </c>
      <c r="AF114" s="94">
        <f t="shared" si="68"/>
        <v>6.2966679623614095</v>
      </c>
      <c r="AG114" s="94">
        <f t="shared" si="85"/>
        <v>0.34890264136841159</v>
      </c>
      <c r="AH114" s="94">
        <f t="shared" si="86"/>
        <v>0.82231088666764074</v>
      </c>
      <c r="AI114" s="97">
        <f t="shared" si="69"/>
        <v>1.1712135280360523</v>
      </c>
      <c r="AJ114" s="96">
        <f t="shared" si="70"/>
        <v>2.9722222222222228</v>
      </c>
      <c r="AK114" s="94">
        <f t="shared" si="87"/>
        <v>4.8773780309647057</v>
      </c>
      <c r="AL114" s="94">
        <f t="shared" si="88"/>
        <v>0.20934158482104692</v>
      </c>
      <c r="AM114" s="94">
        <f t="shared" si="95"/>
        <v>0.36009600000000008</v>
      </c>
      <c r="AN114" s="237">
        <f t="shared" si="89"/>
        <v>6.5372986603624922E-2</v>
      </c>
      <c r="AO114" s="97">
        <f t="shared" si="72"/>
        <v>0.6348105714246719</v>
      </c>
      <c r="AP114" s="96">
        <f t="shared" si="90"/>
        <v>0.19031053165549713</v>
      </c>
      <c r="AQ114" s="257">
        <f t="shared" si="91"/>
        <v>0.12687368777033142</v>
      </c>
      <c r="AR114" s="257">
        <f t="shared" si="92"/>
        <v>0.24041576743369195</v>
      </c>
      <c r="AS114" s="94">
        <f t="shared" si="93"/>
        <v>4.3999999999999997E-2</v>
      </c>
      <c r="AT114" s="97">
        <f t="shared" si="94"/>
        <v>2.9699999999999997E-5</v>
      </c>
      <c r="AU114" s="96">
        <f t="shared" si="73"/>
        <v>2.5345274740905759</v>
      </c>
      <c r="AV114" s="94">
        <f t="shared" si="74"/>
        <v>71.333333333333343</v>
      </c>
      <c r="AW114" s="97">
        <f t="shared" si="75"/>
        <v>96.568835964130358</v>
      </c>
    </row>
    <row r="115" spans="17:49" x14ac:dyDescent="0.3">
      <c r="Q115" s="32">
        <v>108</v>
      </c>
      <c r="R115" s="96">
        <f t="shared" si="49"/>
        <v>24</v>
      </c>
      <c r="S115" s="94">
        <f t="shared" si="79"/>
        <v>3</v>
      </c>
      <c r="T115" s="94">
        <f t="shared" si="51"/>
        <v>9</v>
      </c>
      <c r="U115" s="97">
        <f t="shared" si="80"/>
        <v>8</v>
      </c>
      <c r="V115" s="96">
        <f>IF(Variable_Management!$B$20=3,2,IF((S115*R115/T115)&lt;((T115*(1-(T115/R115)))/(2*Lm*Fsw)),1,2))</f>
        <v>2</v>
      </c>
      <c r="W115" s="94">
        <f t="shared" si="81"/>
        <v>0.625</v>
      </c>
      <c r="X115" s="97">
        <f t="shared" si="82"/>
        <v>0.375</v>
      </c>
      <c r="Y115" s="96">
        <f t="shared" si="83"/>
        <v>2.7200193423597678</v>
      </c>
      <c r="Z115" s="94">
        <f t="shared" si="77"/>
        <v>9.3600096711798848</v>
      </c>
      <c r="AA115" s="94">
        <f t="shared" si="78"/>
        <v>8.0384415219556669</v>
      </c>
      <c r="AB115" s="94">
        <v>0</v>
      </c>
      <c r="AC115" s="94">
        <f t="shared" si="84"/>
        <v>0.12923308420380186</v>
      </c>
      <c r="AD115" s="97">
        <f t="shared" si="67"/>
        <v>0.12923308420380186</v>
      </c>
      <c r="AE115" s="96">
        <f t="shared" si="76"/>
        <v>5</v>
      </c>
      <c r="AF115" s="94">
        <f t="shared" si="68"/>
        <v>6.3549460118625793</v>
      </c>
      <c r="AG115" s="94">
        <f t="shared" si="85"/>
        <v>0.35539098156045529</v>
      </c>
      <c r="AH115" s="94">
        <f t="shared" si="86"/>
        <v>0.82999603514116993</v>
      </c>
      <c r="AI115" s="97">
        <f t="shared" si="69"/>
        <v>1.1853870167016252</v>
      </c>
      <c r="AJ115" s="96">
        <f t="shared" si="70"/>
        <v>3</v>
      </c>
      <c r="AK115" s="94">
        <f t="shared" si="87"/>
        <v>4.9225200139982022</v>
      </c>
      <c r="AL115" s="94">
        <f t="shared" si="88"/>
        <v>0.21323458893627317</v>
      </c>
      <c r="AM115" s="94">
        <f t="shared" si="95"/>
        <v>0.36009600000000008</v>
      </c>
      <c r="AN115" s="237">
        <f t="shared" si="89"/>
        <v>6.5894468085106392E-2</v>
      </c>
      <c r="AO115" s="97">
        <f t="shared" si="72"/>
        <v>0.63922505702137955</v>
      </c>
      <c r="AP115" s="96">
        <f t="shared" si="90"/>
        <v>0.19384962630570279</v>
      </c>
      <c r="AQ115" s="257">
        <f t="shared" si="91"/>
        <v>0.12923308420380186</v>
      </c>
      <c r="AR115" s="257">
        <f t="shared" si="92"/>
        <v>0.24041576743369195</v>
      </c>
      <c r="AS115" s="94">
        <f t="shared" si="93"/>
        <v>4.3999999999999997E-2</v>
      </c>
      <c r="AT115" s="97">
        <f t="shared" si="94"/>
        <v>2.9699999999999997E-5</v>
      </c>
      <c r="AU115" s="96">
        <f t="shared" si="73"/>
        <v>2.5613733358700026</v>
      </c>
      <c r="AV115" s="94">
        <f t="shared" si="74"/>
        <v>72</v>
      </c>
      <c r="AW115" s="97">
        <f t="shared" si="75"/>
        <v>96.564744959388008</v>
      </c>
    </row>
    <row r="116" spans="17:49" x14ac:dyDescent="0.3">
      <c r="Q116" s="32">
        <v>109</v>
      </c>
      <c r="R116" s="96">
        <f t="shared" si="49"/>
        <v>24</v>
      </c>
      <c r="S116" s="94">
        <f t="shared" si="79"/>
        <v>3.0277777777777781</v>
      </c>
      <c r="T116" s="94">
        <f t="shared" si="51"/>
        <v>9</v>
      </c>
      <c r="U116" s="97">
        <f t="shared" si="80"/>
        <v>8.0740740740740744</v>
      </c>
      <c r="V116" s="96">
        <f>IF(Variable_Management!$B$20=3,2,IF((S116*R116/T116)&lt;((T116*(1-(T116/R116)))/(2*Lm*Fsw)),1,2))</f>
        <v>2</v>
      </c>
      <c r="W116" s="94">
        <f t="shared" si="81"/>
        <v>0.625</v>
      </c>
      <c r="X116" s="97">
        <f t="shared" si="82"/>
        <v>0.375</v>
      </c>
      <c r="Y116" s="96">
        <f t="shared" si="83"/>
        <v>2.7200193423597678</v>
      </c>
      <c r="Z116" s="94">
        <f t="shared" si="77"/>
        <v>9.4340837452539574</v>
      </c>
      <c r="AA116" s="94">
        <f t="shared" si="78"/>
        <v>8.1121645850867736</v>
      </c>
      <c r="AB116" s="94">
        <v>0</v>
      </c>
      <c r="AC116" s="94">
        <f t="shared" si="84"/>
        <v>0.13161442851107213</v>
      </c>
      <c r="AD116" s="97">
        <f t="shared" si="67"/>
        <v>0.13161442851107213</v>
      </c>
      <c r="AE116" s="96">
        <f t="shared" si="76"/>
        <v>5.0462962962962967</v>
      </c>
      <c r="AF116" s="94">
        <f t="shared" si="68"/>
        <v>6.4132292107572475</v>
      </c>
      <c r="AG116" s="94">
        <f t="shared" si="85"/>
        <v>0.36193967840544827</v>
      </c>
      <c r="AH116" s="94">
        <f t="shared" si="86"/>
        <v>0.83768118361469923</v>
      </c>
      <c r="AI116" s="97">
        <f t="shared" si="69"/>
        <v>1.1996208620201476</v>
      </c>
      <c r="AJ116" s="96">
        <f t="shared" si="70"/>
        <v>3.0277777777777777</v>
      </c>
      <c r="AK116" s="94">
        <f t="shared" si="87"/>
        <v>4.9676659857347518</v>
      </c>
      <c r="AL116" s="94">
        <f t="shared" si="88"/>
        <v>0.21716380704326901</v>
      </c>
      <c r="AM116" s="94">
        <f t="shared" si="95"/>
        <v>0.36009600000000008</v>
      </c>
      <c r="AN116" s="237">
        <f t="shared" si="89"/>
        <v>6.6415949566587862E-2</v>
      </c>
      <c r="AO116" s="97">
        <f t="shared" si="72"/>
        <v>0.64367575660985699</v>
      </c>
      <c r="AP116" s="96">
        <f t="shared" si="90"/>
        <v>0.1974216427666082</v>
      </c>
      <c r="AQ116" s="257">
        <f t="shared" si="91"/>
        <v>0.13161442851107213</v>
      </c>
      <c r="AR116" s="257">
        <f t="shared" si="92"/>
        <v>0.24041576743369195</v>
      </c>
      <c r="AS116" s="94">
        <f t="shared" si="93"/>
        <v>4.3999999999999997E-2</v>
      </c>
      <c r="AT116" s="97">
        <f t="shared" si="94"/>
        <v>2.9699999999999997E-5</v>
      </c>
      <c r="AU116" s="96">
        <f t="shared" si="73"/>
        <v>2.588392585852449</v>
      </c>
      <c r="AV116" s="94">
        <f t="shared" si="74"/>
        <v>72.666666666666671</v>
      </c>
      <c r="AW116" s="97">
        <f t="shared" si="75"/>
        <v>96.560506879455019</v>
      </c>
    </row>
    <row r="117" spans="17:49" x14ac:dyDescent="0.3">
      <c r="Q117" s="32">
        <v>110</v>
      </c>
      <c r="R117" s="96">
        <f t="shared" si="49"/>
        <v>24</v>
      </c>
      <c r="S117" s="94">
        <f t="shared" si="79"/>
        <v>3.0555555555555558</v>
      </c>
      <c r="T117" s="94">
        <f t="shared" si="51"/>
        <v>9</v>
      </c>
      <c r="U117" s="97">
        <f t="shared" si="80"/>
        <v>8.1481481481481488</v>
      </c>
      <c r="V117" s="96">
        <f>IF(Variable_Management!$B$20=3,2,IF((S117*R117/T117)&lt;((T117*(1-(T117/R117)))/(2*Lm*Fsw)),1,2))</f>
        <v>2</v>
      </c>
      <c r="W117" s="94">
        <f t="shared" si="81"/>
        <v>0.625</v>
      </c>
      <c r="X117" s="97">
        <f t="shared" si="82"/>
        <v>0.375</v>
      </c>
      <c r="Y117" s="96">
        <f t="shared" si="83"/>
        <v>2.7200193423597678</v>
      </c>
      <c r="Z117" s="94">
        <f t="shared" si="77"/>
        <v>9.5081578193280336</v>
      </c>
      <c r="AA117" s="94">
        <f t="shared" si="78"/>
        <v>8.1858939857581259</v>
      </c>
      <c r="AB117" s="94">
        <v>0</v>
      </c>
      <c r="AC117" s="94">
        <f t="shared" si="84"/>
        <v>0.13401772069214213</v>
      </c>
      <c r="AD117" s="97">
        <f t="shared" si="67"/>
        <v>0.13401772069214213</v>
      </c>
      <c r="AE117" s="96">
        <f t="shared" si="76"/>
        <v>5.0925925925925934</v>
      </c>
      <c r="AF117" s="94">
        <f t="shared" si="68"/>
        <v>6.4715174199174044</v>
      </c>
      <c r="AG117" s="94">
        <f t="shared" si="85"/>
        <v>0.36854873190339094</v>
      </c>
      <c r="AH117" s="94">
        <f t="shared" si="86"/>
        <v>0.84536633208822864</v>
      </c>
      <c r="AI117" s="97">
        <f t="shared" si="69"/>
        <v>1.2139150639916196</v>
      </c>
      <c r="AJ117" s="96">
        <f t="shared" si="70"/>
        <v>3.0555555555555558</v>
      </c>
      <c r="AK117" s="94">
        <f t="shared" si="87"/>
        <v>5.0128158384062589</v>
      </c>
      <c r="AL117" s="94">
        <f t="shared" si="88"/>
        <v>0.22112923914203447</v>
      </c>
      <c r="AM117" s="94">
        <f t="shared" si="95"/>
        <v>0.36009600000000008</v>
      </c>
      <c r="AN117" s="237">
        <f t="shared" si="89"/>
        <v>6.693743104806936E-2</v>
      </c>
      <c r="AO117" s="97">
        <f t="shared" si="72"/>
        <v>0.64816267019010387</v>
      </c>
      <c r="AP117" s="96">
        <f t="shared" si="90"/>
        <v>0.20102658103821319</v>
      </c>
      <c r="AQ117" s="257">
        <f t="shared" si="91"/>
        <v>0.13401772069214213</v>
      </c>
      <c r="AR117" s="257">
        <f t="shared" si="92"/>
        <v>0.24041576743369195</v>
      </c>
      <c r="AS117" s="94">
        <f t="shared" si="93"/>
        <v>4.3999999999999997E-2</v>
      </c>
      <c r="AT117" s="97">
        <f t="shared" si="94"/>
        <v>2.9699999999999997E-5</v>
      </c>
      <c r="AU117" s="96">
        <f t="shared" si="73"/>
        <v>2.615585224037912</v>
      </c>
      <c r="AV117" s="94">
        <f t="shared" si="74"/>
        <v>73.333333333333343</v>
      </c>
      <c r="AW117" s="97">
        <f t="shared" si="75"/>
        <v>96.55612578332881</v>
      </c>
    </row>
    <row r="118" spans="17:49" x14ac:dyDescent="0.3">
      <c r="Q118" s="32">
        <v>111</v>
      </c>
      <c r="R118" s="96">
        <f t="shared" si="49"/>
        <v>24</v>
      </c>
      <c r="S118" s="94">
        <f t="shared" si="79"/>
        <v>3.0833333333333335</v>
      </c>
      <c r="T118" s="94">
        <f t="shared" si="51"/>
        <v>9</v>
      </c>
      <c r="U118" s="97">
        <f t="shared" si="80"/>
        <v>8.2222222222222214</v>
      </c>
      <c r="V118" s="96">
        <f>IF(Variable_Management!$B$20=3,2,IF((S118*R118/T118)&lt;((T118*(1-(T118/R118)))/(2*Lm*Fsw)),1,2))</f>
        <v>2</v>
      </c>
      <c r="W118" s="94">
        <f t="shared" si="81"/>
        <v>0.625</v>
      </c>
      <c r="X118" s="97">
        <f t="shared" si="82"/>
        <v>0.375</v>
      </c>
      <c r="Y118" s="96">
        <f t="shared" si="83"/>
        <v>2.7200193423597678</v>
      </c>
      <c r="Z118" s="94">
        <f t="shared" si="77"/>
        <v>9.5822318934021062</v>
      </c>
      <c r="AA118" s="94">
        <f t="shared" si="78"/>
        <v>8.2596295542539835</v>
      </c>
      <c r="AB118" s="94">
        <v>0</v>
      </c>
      <c r="AC118" s="94">
        <f t="shared" si="84"/>
        <v>0.1364429607470117</v>
      </c>
      <c r="AD118" s="97">
        <f t="shared" si="67"/>
        <v>0.1364429607470117</v>
      </c>
      <c r="AE118" s="96">
        <f t="shared" si="76"/>
        <v>5.1388888888888884</v>
      </c>
      <c r="AF118" s="94">
        <f t="shared" si="68"/>
        <v>6.5298105051709721</v>
      </c>
      <c r="AG118" s="94">
        <f t="shared" si="85"/>
        <v>0.37521814205428244</v>
      </c>
      <c r="AH118" s="94">
        <f t="shared" si="86"/>
        <v>0.85305148056175784</v>
      </c>
      <c r="AI118" s="97">
        <f t="shared" si="69"/>
        <v>1.2282696226160403</v>
      </c>
      <c r="AJ118" s="96">
        <f t="shared" si="70"/>
        <v>3.083333333333333</v>
      </c>
      <c r="AK118" s="94">
        <f t="shared" si="87"/>
        <v>5.057969468083483</v>
      </c>
      <c r="AL118" s="94">
        <f t="shared" si="88"/>
        <v>0.22513088523256947</v>
      </c>
      <c r="AM118" s="94">
        <f t="shared" si="95"/>
        <v>0.36009600000000008</v>
      </c>
      <c r="AN118" s="237">
        <f t="shared" si="89"/>
        <v>6.745891252955083E-2</v>
      </c>
      <c r="AO118" s="97">
        <f t="shared" si="72"/>
        <v>0.65268579776212032</v>
      </c>
      <c r="AP118" s="96">
        <f t="shared" si="90"/>
        <v>0.20466444112051757</v>
      </c>
      <c r="AQ118" s="257">
        <f t="shared" si="91"/>
        <v>0.1364429607470117</v>
      </c>
      <c r="AR118" s="257">
        <f t="shared" si="92"/>
        <v>0.24041576743369195</v>
      </c>
      <c r="AS118" s="94">
        <f t="shared" si="93"/>
        <v>4.3999999999999997E-2</v>
      </c>
      <c r="AT118" s="97">
        <f t="shared" si="94"/>
        <v>2.9699999999999997E-5</v>
      </c>
      <c r="AU118" s="96">
        <f t="shared" si="73"/>
        <v>2.6429512504263935</v>
      </c>
      <c r="AV118" s="94">
        <f t="shared" si="74"/>
        <v>74</v>
      </c>
      <c r="AW118" s="97">
        <f t="shared" si="75"/>
        <v>96.551605584979754</v>
      </c>
    </row>
    <row r="119" spans="17:49" x14ac:dyDescent="0.3">
      <c r="Q119" s="32">
        <v>112</v>
      </c>
      <c r="R119" s="96">
        <f t="shared" si="49"/>
        <v>24</v>
      </c>
      <c r="S119" s="94">
        <f t="shared" si="79"/>
        <v>3.1111111111111112</v>
      </c>
      <c r="T119" s="94">
        <f t="shared" si="51"/>
        <v>9</v>
      </c>
      <c r="U119" s="97">
        <f t="shared" si="80"/>
        <v>8.2962962962962976</v>
      </c>
      <c r="V119" s="96">
        <f>IF(Variable_Management!$B$20=3,2,IF((S119*R119/T119)&lt;((T119*(1-(T119/R119)))/(2*Lm*Fsw)),1,2))</f>
        <v>2</v>
      </c>
      <c r="W119" s="94">
        <f t="shared" si="81"/>
        <v>0.625</v>
      </c>
      <c r="X119" s="97">
        <f t="shared" si="82"/>
        <v>0.375</v>
      </c>
      <c r="Y119" s="96">
        <f t="shared" si="83"/>
        <v>2.7200193423597678</v>
      </c>
      <c r="Z119" s="94">
        <f t="shared" si="77"/>
        <v>9.6563059674761824</v>
      </c>
      <c r="AA119" s="94">
        <f t="shared" si="78"/>
        <v>8.3333711268514019</v>
      </c>
      <c r="AB119" s="94">
        <v>0</v>
      </c>
      <c r="AC119" s="94">
        <f t="shared" si="84"/>
        <v>0.13889014867568122</v>
      </c>
      <c r="AD119" s="97">
        <f t="shared" si="67"/>
        <v>0.13889014867568122</v>
      </c>
      <c r="AE119" s="96">
        <f t="shared" si="76"/>
        <v>5.185185185185186</v>
      </c>
      <c r="AF119" s="94">
        <f t="shared" si="68"/>
        <v>6.5881083370835967</v>
      </c>
      <c r="AG119" s="94">
        <f t="shared" si="85"/>
        <v>0.38194790885812346</v>
      </c>
      <c r="AH119" s="94">
        <f t="shared" si="86"/>
        <v>0.86073662903528736</v>
      </c>
      <c r="AI119" s="97">
        <f t="shared" si="69"/>
        <v>1.2426845378934108</v>
      </c>
      <c r="AJ119" s="96">
        <f t="shared" si="70"/>
        <v>3.1111111111111116</v>
      </c>
      <c r="AK119" s="94">
        <f t="shared" si="87"/>
        <v>5.1031267745070013</v>
      </c>
      <c r="AL119" s="94">
        <f t="shared" si="88"/>
        <v>0.22916874531487405</v>
      </c>
      <c r="AM119" s="94">
        <f t="shared" si="95"/>
        <v>0.36009600000000008</v>
      </c>
      <c r="AN119" s="237">
        <f t="shared" si="89"/>
        <v>6.7980394011032327E-2</v>
      </c>
      <c r="AO119" s="97">
        <f t="shared" si="72"/>
        <v>0.65724513932590645</v>
      </c>
      <c r="AP119" s="96">
        <f t="shared" si="90"/>
        <v>0.20833522301352184</v>
      </c>
      <c r="AQ119" s="257">
        <f t="shared" si="91"/>
        <v>0.13889014867568122</v>
      </c>
      <c r="AR119" s="257">
        <f t="shared" si="92"/>
        <v>0.24041576743369195</v>
      </c>
      <c r="AS119" s="94">
        <f t="shared" si="93"/>
        <v>4.3999999999999997E-2</v>
      </c>
      <c r="AT119" s="97">
        <f t="shared" si="94"/>
        <v>2.9699999999999997E-5</v>
      </c>
      <c r="AU119" s="96">
        <f t="shared" si="73"/>
        <v>2.6704906650178928</v>
      </c>
      <c r="AV119" s="94">
        <f t="shared" si="74"/>
        <v>74.666666666666671</v>
      </c>
      <c r="AW119" s="97">
        <f t="shared" si="75"/>
        <v>96.546950059769259</v>
      </c>
    </row>
    <row r="120" spans="17:49" x14ac:dyDescent="0.3">
      <c r="Q120" s="32">
        <v>113</v>
      </c>
      <c r="R120" s="96">
        <f t="shared" si="49"/>
        <v>24</v>
      </c>
      <c r="S120" s="94">
        <f t="shared" si="79"/>
        <v>3.1388888888888893</v>
      </c>
      <c r="T120" s="94">
        <f t="shared" si="51"/>
        <v>9</v>
      </c>
      <c r="U120" s="97">
        <f t="shared" si="80"/>
        <v>8.370370370370372</v>
      </c>
      <c r="V120" s="96">
        <f>IF(Variable_Management!$B$20=3,2,IF((S120*R120/T120)&lt;((T120*(1-(T120/R120)))/(2*Lm*Fsw)),1,2))</f>
        <v>2</v>
      </c>
      <c r="W120" s="94">
        <f t="shared" si="81"/>
        <v>0.625</v>
      </c>
      <c r="X120" s="97">
        <f t="shared" si="82"/>
        <v>0.375</v>
      </c>
      <c r="Y120" s="96">
        <f t="shared" si="83"/>
        <v>2.7200193423597678</v>
      </c>
      <c r="Z120" s="94">
        <f t="shared" si="77"/>
        <v>9.730380041550255</v>
      </c>
      <c r="AA120" s="94">
        <f t="shared" si="78"/>
        <v>8.4071185455585891</v>
      </c>
      <c r="AB120" s="94">
        <v>0</v>
      </c>
      <c r="AC120" s="94">
        <f t="shared" si="84"/>
        <v>0.14135928447815033</v>
      </c>
      <c r="AD120" s="97">
        <f t="shared" si="67"/>
        <v>0.14135928447815033</v>
      </c>
      <c r="AE120" s="96">
        <f t="shared" si="76"/>
        <v>5.2314814814814827</v>
      </c>
      <c r="AF120" s="94">
        <f t="shared" si="68"/>
        <v>6.6464107907518013</v>
      </c>
      <c r="AG120" s="94">
        <f t="shared" si="85"/>
        <v>0.3887380323149135</v>
      </c>
      <c r="AH120" s="94">
        <f t="shared" si="86"/>
        <v>0.86842177750881677</v>
      </c>
      <c r="AI120" s="97">
        <f t="shared" si="69"/>
        <v>1.2571598098237302</v>
      </c>
      <c r="AJ120" s="96">
        <f t="shared" si="70"/>
        <v>3.1388888888888893</v>
      </c>
      <c r="AK120" s="94">
        <f t="shared" si="87"/>
        <v>5.1482876609269983</v>
      </c>
      <c r="AL120" s="94">
        <f t="shared" si="88"/>
        <v>0.23324281938894803</v>
      </c>
      <c r="AM120" s="94">
        <f t="shared" si="95"/>
        <v>0.36009600000000008</v>
      </c>
      <c r="AN120" s="237">
        <f t="shared" si="89"/>
        <v>6.8501875492513797E-2</v>
      </c>
      <c r="AO120" s="97">
        <f t="shared" si="72"/>
        <v>0.66184069488146191</v>
      </c>
      <c r="AP120" s="96">
        <f t="shared" si="90"/>
        <v>0.21203892671722549</v>
      </c>
      <c r="AQ120" s="257">
        <f t="shared" si="91"/>
        <v>0.14135928447815033</v>
      </c>
      <c r="AR120" s="257">
        <f t="shared" si="92"/>
        <v>0.24041576743369195</v>
      </c>
      <c r="AS120" s="94">
        <f t="shared" si="93"/>
        <v>4.3999999999999997E-2</v>
      </c>
      <c r="AT120" s="97">
        <f t="shared" si="94"/>
        <v>2.9699999999999997E-5</v>
      </c>
      <c r="AU120" s="96">
        <f t="shared" si="73"/>
        <v>2.6982034678124101</v>
      </c>
      <c r="AV120" s="94">
        <f t="shared" si="74"/>
        <v>75.333333333333343</v>
      </c>
      <c r="AW120" s="97">
        <f t="shared" si="75"/>
        <v>96.542162850529962</v>
      </c>
    </row>
    <row r="121" spans="17:49" x14ac:dyDescent="0.3">
      <c r="Q121" s="32">
        <v>114</v>
      </c>
      <c r="R121" s="96">
        <f t="shared" si="49"/>
        <v>24</v>
      </c>
      <c r="S121" s="94">
        <f t="shared" si="79"/>
        <v>3.166666666666667</v>
      </c>
      <c r="T121" s="94">
        <f t="shared" si="51"/>
        <v>9</v>
      </c>
      <c r="U121" s="97">
        <f t="shared" si="80"/>
        <v>8.4444444444444446</v>
      </c>
      <c r="V121" s="96">
        <f>IF(Variable_Management!$B$20=3,2,IF((S121*R121/T121)&lt;((T121*(1-(T121/R121)))/(2*Lm*Fsw)),1,2))</f>
        <v>2</v>
      </c>
      <c r="W121" s="94">
        <f t="shared" si="81"/>
        <v>0.625</v>
      </c>
      <c r="X121" s="97">
        <f t="shared" si="82"/>
        <v>0.375</v>
      </c>
      <c r="Y121" s="96">
        <f t="shared" si="83"/>
        <v>2.7200193423597678</v>
      </c>
      <c r="Z121" s="94">
        <f t="shared" si="77"/>
        <v>9.8044541156243277</v>
      </c>
      <c r="AA121" s="94">
        <f t="shared" si="78"/>
        <v>8.4808716578668708</v>
      </c>
      <c r="AB121" s="94">
        <v>0</v>
      </c>
      <c r="AC121" s="94">
        <f t="shared" si="84"/>
        <v>0.14385036815441912</v>
      </c>
      <c r="AD121" s="97">
        <f t="shared" si="67"/>
        <v>0.14385036815441912</v>
      </c>
      <c r="AE121" s="96">
        <f t="shared" si="76"/>
        <v>5.2777777777777777</v>
      </c>
      <c r="AF121" s="94">
        <f t="shared" si="68"/>
        <v>6.7047177456068932</v>
      </c>
      <c r="AG121" s="94">
        <f t="shared" si="85"/>
        <v>0.39558851242465265</v>
      </c>
      <c r="AH121" s="94">
        <f t="shared" si="86"/>
        <v>0.87610692598234607</v>
      </c>
      <c r="AI121" s="97">
        <f t="shared" si="69"/>
        <v>1.2716954384069987</v>
      </c>
      <c r="AJ121" s="96">
        <f t="shared" si="70"/>
        <v>3.166666666666667</v>
      </c>
      <c r="AK121" s="94">
        <f t="shared" si="87"/>
        <v>5.1934520339513668</v>
      </c>
      <c r="AL121" s="94">
        <f t="shared" si="88"/>
        <v>0.2373531074547916</v>
      </c>
      <c r="AM121" s="94">
        <f t="shared" si="95"/>
        <v>0.36009600000000008</v>
      </c>
      <c r="AN121" s="237">
        <f t="shared" si="89"/>
        <v>6.9023356973995267E-2</v>
      </c>
      <c r="AO121" s="97">
        <f t="shared" si="72"/>
        <v>0.66647246442878694</v>
      </c>
      <c r="AP121" s="96">
        <f t="shared" si="90"/>
        <v>0.2157755522316287</v>
      </c>
      <c r="AQ121" s="257">
        <f t="shared" si="91"/>
        <v>0.14385036815441912</v>
      </c>
      <c r="AR121" s="257">
        <f t="shared" si="92"/>
        <v>0.24041576743369195</v>
      </c>
      <c r="AS121" s="94">
        <f t="shared" si="93"/>
        <v>4.3999999999999997E-2</v>
      </c>
      <c r="AT121" s="97">
        <f t="shared" si="94"/>
        <v>2.9699999999999997E-5</v>
      </c>
      <c r="AU121" s="96">
        <f t="shared" si="73"/>
        <v>2.7260896588099439</v>
      </c>
      <c r="AV121" s="94">
        <f t="shared" si="74"/>
        <v>76</v>
      </c>
      <c r="AW121" s="97">
        <f t="shared" si="75"/>
        <v>96.537247473328719</v>
      </c>
    </row>
    <row r="122" spans="17:49" x14ac:dyDescent="0.3">
      <c r="Q122" s="32">
        <v>115</v>
      </c>
      <c r="R122" s="96">
        <f t="shared" si="49"/>
        <v>24</v>
      </c>
      <c r="S122" s="94">
        <f t="shared" si="79"/>
        <v>3.1944444444444446</v>
      </c>
      <c r="T122" s="94">
        <f t="shared" si="51"/>
        <v>9</v>
      </c>
      <c r="U122" s="97">
        <f t="shared" si="80"/>
        <v>8.518518518518519</v>
      </c>
      <c r="V122" s="96">
        <f>IF(Variable_Management!$B$20=3,2,IF((S122*R122/T122)&lt;((T122*(1-(T122/R122)))/(2*Lm*Fsw)),1,2))</f>
        <v>2</v>
      </c>
      <c r="W122" s="94">
        <f t="shared" si="81"/>
        <v>0.625</v>
      </c>
      <c r="X122" s="97">
        <f t="shared" si="82"/>
        <v>0.375</v>
      </c>
      <c r="Y122" s="96">
        <f t="shared" si="83"/>
        <v>2.7200193423597678</v>
      </c>
      <c r="Z122" s="94">
        <f t="shared" si="77"/>
        <v>9.8785281896984038</v>
      </c>
      <c r="AA122" s="94">
        <f t="shared" si="78"/>
        <v>8.5546303165153716</v>
      </c>
      <c r="AB122" s="94">
        <v>0</v>
      </c>
      <c r="AC122" s="94">
        <f t="shared" si="84"/>
        <v>0.14636339970448775</v>
      </c>
      <c r="AD122" s="97">
        <f t="shared" si="67"/>
        <v>0.14636339970448775</v>
      </c>
      <c r="AE122" s="96">
        <f t="shared" si="76"/>
        <v>5.3240740740740744</v>
      </c>
      <c r="AF122" s="94">
        <f t="shared" si="68"/>
        <v>6.7630290852289292</v>
      </c>
      <c r="AG122" s="94">
        <f t="shared" si="85"/>
        <v>0.40249934918734154</v>
      </c>
      <c r="AH122" s="94">
        <f t="shared" si="86"/>
        <v>0.88379207445587549</v>
      </c>
      <c r="AI122" s="97">
        <f t="shared" si="69"/>
        <v>1.286291423643217</v>
      </c>
      <c r="AJ122" s="96">
        <f t="shared" si="70"/>
        <v>3.1944444444444446</v>
      </c>
      <c r="AK122" s="94">
        <f t="shared" si="87"/>
        <v>5.2386198034016047</v>
      </c>
      <c r="AL122" s="94">
        <f t="shared" si="88"/>
        <v>0.24149960951240493</v>
      </c>
      <c r="AM122" s="94">
        <f t="shared" si="95"/>
        <v>0.36009600000000008</v>
      </c>
      <c r="AN122" s="237">
        <f t="shared" si="89"/>
        <v>6.9544838455476765E-2</v>
      </c>
      <c r="AO122" s="97">
        <f t="shared" si="72"/>
        <v>0.67114044796788175</v>
      </c>
      <c r="AP122" s="96">
        <f t="shared" si="90"/>
        <v>0.21954509955673165</v>
      </c>
      <c r="AQ122" s="257">
        <f t="shared" si="91"/>
        <v>0.14636339970448775</v>
      </c>
      <c r="AR122" s="257">
        <f t="shared" si="92"/>
        <v>0.24041576743369195</v>
      </c>
      <c r="AS122" s="94">
        <f t="shared" si="93"/>
        <v>4.3999999999999997E-2</v>
      </c>
      <c r="AT122" s="97">
        <f t="shared" si="94"/>
        <v>2.9699999999999997E-5</v>
      </c>
      <c r="AU122" s="96">
        <f t="shared" si="73"/>
        <v>2.7541492380104975</v>
      </c>
      <c r="AV122" s="94">
        <f t="shared" si="74"/>
        <v>76.666666666666671</v>
      </c>
      <c r="AW122" s="97">
        <f t="shared" si="75"/>
        <v>96.532207322931441</v>
      </c>
    </row>
    <row r="123" spans="17:49" x14ac:dyDescent="0.3">
      <c r="Q123" s="32">
        <v>116</v>
      </c>
      <c r="R123" s="96">
        <f t="shared" si="49"/>
        <v>24</v>
      </c>
      <c r="S123" s="94">
        <f t="shared" si="79"/>
        <v>3.2222222222222223</v>
      </c>
      <c r="T123" s="94">
        <f t="shared" si="51"/>
        <v>9</v>
      </c>
      <c r="U123" s="97">
        <f t="shared" si="80"/>
        <v>8.5925925925925934</v>
      </c>
      <c r="V123" s="96">
        <f>IF(Variable_Management!$B$20=3,2,IF((S123*R123/T123)&lt;((T123*(1-(T123/R123)))/(2*Lm*Fsw)),1,2))</f>
        <v>2</v>
      </c>
      <c r="W123" s="94">
        <f t="shared" si="81"/>
        <v>0.625</v>
      </c>
      <c r="X123" s="97">
        <f t="shared" si="82"/>
        <v>0.375</v>
      </c>
      <c r="Y123" s="96">
        <f t="shared" si="83"/>
        <v>2.7200193423597678</v>
      </c>
      <c r="Z123" s="94">
        <f t="shared" si="77"/>
        <v>9.9526022637724765</v>
      </c>
      <c r="AA123" s="94">
        <f t="shared" si="78"/>
        <v>8.6283943792676769</v>
      </c>
      <c r="AB123" s="94">
        <v>0</v>
      </c>
      <c r="AC123" s="94">
        <f t="shared" si="84"/>
        <v>0.14889837912835607</v>
      </c>
      <c r="AD123" s="97">
        <f t="shared" si="67"/>
        <v>0.14889837912835607</v>
      </c>
      <c r="AE123" s="96">
        <f t="shared" si="76"/>
        <v>5.3703703703703711</v>
      </c>
      <c r="AF123" s="94">
        <f t="shared" si="68"/>
        <v>6.8213446971701455</v>
      </c>
      <c r="AG123" s="94">
        <f t="shared" si="85"/>
        <v>0.4094705426029791</v>
      </c>
      <c r="AH123" s="94">
        <f t="shared" si="86"/>
        <v>0.89147722292940468</v>
      </c>
      <c r="AI123" s="97">
        <f t="shared" si="69"/>
        <v>1.3009477655323838</v>
      </c>
      <c r="AJ123" s="96">
        <f t="shared" si="70"/>
        <v>3.2222222222222223</v>
      </c>
      <c r="AK123" s="94">
        <f t="shared" si="87"/>
        <v>5.2837908821760502</v>
      </c>
      <c r="AL123" s="94">
        <f t="shared" si="88"/>
        <v>0.24568232556178754</v>
      </c>
      <c r="AM123" s="94">
        <f t="shared" si="95"/>
        <v>0.36009600000000008</v>
      </c>
      <c r="AN123" s="237">
        <f t="shared" si="89"/>
        <v>7.0066319936958235E-2</v>
      </c>
      <c r="AO123" s="97">
        <f t="shared" si="72"/>
        <v>0.6758446454987459</v>
      </c>
      <c r="AP123" s="96">
        <f t="shared" si="90"/>
        <v>0.22334756869253414</v>
      </c>
      <c r="AQ123" s="257">
        <f t="shared" si="91"/>
        <v>0.14889837912835607</v>
      </c>
      <c r="AR123" s="257">
        <f t="shared" si="92"/>
        <v>0.24041576743369195</v>
      </c>
      <c r="AS123" s="94">
        <f t="shared" si="93"/>
        <v>4.3999999999999997E-2</v>
      </c>
      <c r="AT123" s="97">
        <f t="shared" si="94"/>
        <v>2.9699999999999997E-5</v>
      </c>
      <c r="AU123" s="96">
        <f t="shared" si="73"/>
        <v>2.7823822054140681</v>
      </c>
      <c r="AV123" s="94">
        <f t="shared" si="74"/>
        <v>77.333333333333343</v>
      </c>
      <c r="AW123" s="97">
        <f t="shared" si="75"/>
        <v>96.527045677987616</v>
      </c>
    </row>
    <row r="124" spans="17:49" x14ac:dyDescent="0.3">
      <c r="Q124" s="32">
        <v>117</v>
      </c>
      <c r="R124" s="96">
        <f t="shared" si="49"/>
        <v>24</v>
      </c>
      <c r="S124" s="94">
        <f t="shared" si="79"/>
        <v>3.2500000000000004</v>
      </c>
      <c r="T124" s="94">
        <f t="shared" si="51"/>
        <v>9</v>
      </c>
      <c r="U124" s="97">
        <f t="shared" si="80"/>
        <v>8.6666666666666679</v>
      </c>
      <c r="V124" s="96">
        <f>IF(Variable_Management!$B$20=3,2,IF((S124*R124/T124)&lt;((T124*(1-(T124/R124)))/(2*Lm*Fsw)),1,2))</f>
        <v>2</v>
      </c>
      <c r="W124" s="94">
        <f t="shared" si="81"/>
        <v>0.625</v>
      </c>
      <c r="X124" s="97">
        <f t="shared" si="82"/>
        <v>0.375</v>
      </c>
      <c r="Y124" s="96">
        <f t="shared" si="83"/>
        <v>2.7200193423597678</v>
      </c>
      <c r="Z124" s="94">
        <f t="shared" si="77"/>
        <v>10.026676337846553</v>
      </c>
      <c r="AA124" s="94">
        <f t="shared" si="78"/>
        <v>8.7021637086998123</v>
      </c>
      <c r="AB124" s="94">
        <v>0</v>
      </c>
      <c r="AC124" s="94">
        <f t="shared" si="84"/>
        <v>0.15145530642602414</v>
      </c>
      <c r="AD124" s="97">
        <f t="shared" si="67"/>
        <v>0.15145530642602414</v>
      </c>
      <c r="AE124" s="96">
        <f t="shared" si="76"/>
        <v>5.4166666666666679</v>
      </c>
      <c r="AF124" s="94">
        <f t="shared" si="68"/>
        <v>6.8796644727873577</v>
      </c>
      <c r="AG124" s="94">
        <f t="shared" si="85"/>
        <v>0.41650209267156646</v>
      </c>
      <c r="AH124" s="94">
        <f t="shared" si="86"/>
        <v>0.8991623714029342</v>
      </c>
      <c r="AI124" s="97">
        <f t="shared" si="69"/>
        <v>1.3156644640745006</v>
      </c>
      <c r="AJ124" s="96">
        <f t="shared" si="70"/>
        <v>3.2500000000000004</v>
      </c>
      <c r="AK124" s="94">
        <f t="shared" si="87"/>
        <v>5.3289651861200529</v>
      </c>
      <c r="AL124" s="94">
        <f t="shared" si="88"/>
        <v>0.24990125560293985</v>
      </c>
      <c r="AM124" s="94">
        <f t="shared" si="95"/>
        <v>0.36009600000000008</v>
      </c>
      <c r="AN124" s="237">
        <f t="shared" si="89"/>
        <v>7.0587801418439733E-2</v>
      </c>
      <c r="AO124" s="97">
        <f t="shared" si="72"/>
        <v>0.68058505702137961</v>
      </c>
      <c r="AP124" s="96">
        <f t="shared" si="90"/>
        <v>0.22718295963903623</v>
      </c>
      <c r="AQ124" s="257">
        <f t="shared" si="91"/>
        <v>0.15145530642602414</v>
      </c>
      <c r="AR124" s="257">
        <f t="shared" si="92"/>
        <v>0.24041576743369195</v>
      </c>
      <c r="AS124" s="94">
        <f t="shared" si="93"/>
        <v>4.3999999999999997E-2</v>
      </c>
      <c r="AT124" s="97">
        <f t="shared" si="94"/>
        <v>2.9699999999999997E-5</v>
      </c>
      <c r="AU124" s="96">
        <f t="shared" si="73"/>
        <v>2.8107885610206562</v>
      </c>
      <c r="AV124" s="94">
        <f t="shared" si="74"/>
        <v>78.000000000000014</v>
      </c>
      <c r="AW124" s="97">
        <f t="shared" si="75"/>
        <v>96.521765705951239</v>
      </c>
    </row>
    <row r="125" spans="17:49" x14ac:dyDescent="0.3">
      <c r="Q125" s="32">
        <v>118</v>
      </c>
      <c r="R125" s="96">
        <f t="shared" si="49"/>
        <v>24</v>
      </c>
      <c r="S125" s="94">
        <f t="shared" si="79"/>
        <v>3.2777777777777781</v>
      </c>
      <c r="T125" s="94">
        <f t="shared" si="51"/>
        <v>9</v>
      </c>
      <c r="U125" s="97">
        <f t="shared" si="80"/>
        <v>8.7407407407407405</v>
      </c>
      <c r="V125" s="96">
        <f>IF(Variable_Management!$B$20=3,2,IF((S125*R125/T125)&lt;((T125*(1-(T125/R125)))/(2*Lm*Fsw)),1,2))</f>
        <v>2</v>
      </c>
      <c r="W125" s="94">
        <f t="shared" si="81"/>
        <v>0.625</v>
      </c>
      <c r="X125" s="97">
        <f t="shared" si="82"/>
        <v>0.375</v>
      </c>
      <c r="Y125" s="96">
        <f t="shared" si="83"/>
        <v>2.7200193423597678</v>
      </c>
      <c r="Z125" s="94">
        <f t="shared" si="77"/>
        <v>10.100750411920625</v>
      </c>
      <c r="AA125" s="94">
        <f t="shared" si="78"/>
        <v>8.775938171998817</v>
      </c>
      <c r="AB125" s="94">
        <v>0</v>
      </c>
      <c r="AC125" s="94">
        <f t="shared" si="84"/>
        <v>0.15403418159749188</v>
      </c>
      <c r="AD125" s="97">
        <f t="shared" si="67"/>
        <v>0.15403418159749188</v>
      </c>
      <c r="AE125" s="96">
        <f t="shared" si="76"/>
        <v>5.4629629629629628</v>
      </c>
      <c r="AF125" s="94">
        <f t="shared" si="68"/>
        <v>6.937988307082696</v>
      </c>
      <c r="AG125" s="94">
        <f t="shared" si="85"/>
        <v>0.42359399939310266</v>
      </c>
      <c r="AH125" s="94">
        <f t="shared" si="86"/>
        <v>0.90684751987646339</v>
      </c>
      <c r="AI125" s="97">
        <f t="shared" si="69"/>
        <v>1.330441519269566</v>
      </c>
      <c r="AJ125" s="96">
        <f t="shared" si="70"/>
        <v>3.2777777777777777</v>
      </c>
      <c r="AK125" s="94">
        <f t="shared" si="87"/>
        <v>5.3741426339026148</v>
      </c>
      <c r="AL125" s="94">
        <f t="shared" si="88"/>
        <v>0.25415639963586167</v>
      </c>
      <c r="AM125" s="94">
        <f t="shared" si="95"/>
        <v>0.36009600000000008</v>
      </c>
      <c r="AN125" s="237">
        <f t="shared" si="89"/>
        <v>7.1109282899921203E-2</v>
      </c>
      <c r="AO125" s="97">
        <f t="shared" si="72"/>
        <v>0.685361682535783</v>
      </c>
      <c r="AP125" s="96">
        <f t="shared" si="90"/>
        <v>0.23105127239623782</v>
      </c>
      <c r="AQ125" s="257">
        <f t="shared" si="91"/>
        <v>0.15403418159749188</v>
      </c>
      <c r="AR125" s="257">
        <f t="shared" si="92"/>
        <v>0.24041576743369195</v>
      </c>
      <c r="AS125" s="94">
        <f t="shared" si="93"/>
        <v>4.3999999999999997E-2</v>
      </c>
      <c r="AT125" s="97">
        <f t="shared" si="94"/>
        <v>2.9699999999999997E-5</v>
      </c>
      <c r="AU125" s="96">
        <f t="shared" si="73"/>
        <v>2.8393683048302623</v>
      </c>
      <c r="AV125" s="94">
        <f t="shared" si="74"/>
        <v>78.666666666666671</v>
      </c>
      <c r="AW125" s="97">
        <f t="shared" si="75"/>
        <v>96.516370467753461</v>
      </c>
    </row>
    <row r="126" spans="17:49" x14ac:dyDescent="0.3">
      <c r="Q126" s="32">
        <v>119</v>
      </c>
      <c r="R126" s="96">
        <f t="shared" si="49"/>
        <v>24</v>
      </c>
      <c r="S126" s="94">
        <f t="shared" si="79"/>
        <v>3.3055555555555558</v>
      </c>
      <c r="T126" s="94">
        <f t="shared" si="51"/>
        <v>9</v>
      </c>
      <c r="U126" s="97">
        <f t="shared" si="80"/>
        <v>8.8148148148148167</v>
      </c>
      <c r="V126" s="96">
        <f>IF(Variable_Management!$B$20=3,2,IF((S126*R126/T126)&lt;((T126*(1-(T126/R126)))/(2*Lm*Fsw)),1,2))</f>
        <v>2</v>
      </c>
      <c r="W126" s="94">
        <f t="shared" si="81"/>
        <v>0.625</v>
      </c>
      <c r="X126" s="97">
        <f t="shared" si="82"/>
        <v>0.375</v>
      </c>
      <c r="Y126" s="96">
        <f t="shared" si="83"/>
        <v>2.7200193423597678</v>
      </c>
      <c r="Z126" s="94">
        <f t="shared" si="77"/>
        <v>10.174824485994701</v>
      </c>
      <c r="AA126" s="94">
        <f t="shared" si="78"/>
        <v>8.8497176407713543</v>
      </c>
      <c r="AB126" s="94">
        <v>0</v>
      </c>
      <c r="AC126" s="94">
        <f t="shared" si="84"/>
        <v>0.15663500464275942</v>
      </c>
      <c r="AD126" s="97">
        <f t="shared" si="67"/>
        <v>0.15663500464275942</v>
      </c>
      <c r="AE126" s="96">
        <f t="shared" si="76"/>
        <v>5.5092592592592604</v>
      </c>
      <c r="AF126" s="94">
        <f t="shared" si="68"/>
        <v>6.9963160985523176</v>
      </c>
      <c r="AG126" s="94">
        <f t="shared" si="85"/>
        <v>0.43074626276758848</v>
      </c>
      <c r="AH126" s="94">
        <f t="shared" si="86"/>
        <v>0.91453266834999292</v>
      </c>
      <c r="AI126" s="97">
        <f t="shared" si="69"/>
        <v>1.3452789311175815</v>
      </c>
      <c r="AJ126" s="96">
        <f t="shared" si="70"/>
        <v>3.3055555555555562</v>
      </c>
      <c r="AK126" s="94">
        <f t="shared" si="87"/>
        <v>5.4193231468991954</v>
      </c>
      <c r="AL126" s="94">
        <f t="shared" si="88"/>
        <v>0.25844775766055311</v>
      </c>
      <c r="AM126" s="94">
        <f t="shared" si="95"/>
        <v>0.36009600000000008</v>
      </c>
      <c r="AN126" s="237">
        <f t="shared" si="89"/>
        <v>7.1630764381402701E-2</v>
      </c>
      <c r="AO126" s="97">
        <f t="shared" si="72"/>
        <v>0.69017452204195595</v>
      </c>
      <c r="AP126" s="96">
        <f t="shared" si="90"/>
        <v>0.23495250696413914</v>
      </c>
      <c r="AQ126" s="257">
        <f t="shared" si="91"/>
        <v>0.15663500464275942</v>
      </c>
      <c r="AR126" s="257">
        <f t="shared" si="92"/>
        <v>0.24041576743369195</v>
      </c>
      <c r="AS126" s="94">
        <f t="shared" si="93"/>
        <v>4.3999999999999997E-2</v>
      </c>
      <c r="AT126" s="97">
        <f t="shared" si="94"/>
        <v>2.9699999999999997E-5</v>
      </c>
      <c r="AU126" s="96">
        <f t="shared" si="73"/>
        <v>2.8681214368428876</v>
      </c>
      <c r="AV126" s="94">
        <f t="shared" si="74"/>
        <v>79.333333333333343</v>
      </c>
      <c r="AW126" s="97">
        <f t="shared" si="75"/>
        <v>96.51086292224177</v>
      </c>
    </row>
    <row r="127" spans="17:49" x14ac:dyDescent="0.3">
      <c r="Q127" s="32">
        <v>120</v>
      </c>
      <c r="R127" s="96">
        <f t="shared" si="49"/>
        <v>24</v>
      </c>
      <c r="S127" s="94">
        <f t="shared" si="79"/>
        <v>3.3333333333333335</v>
      </c>
      <c r="T127" s="94">
        <f t="shared" si="51"/>
        <v>9</v>
      </c>
      <c r="U127" s="97">
        <f t="shared" si="80"/>
        <v>8.8888888888888893</v>
      </c>
      <c r="V127" s="96">
        <f>IF(Variable_Management!$B$20=3,2,IF((S127*R127/T127)&lt;((T127*(1-(T127/R127)))/(2*Lm*Fsw)),1,2))</f>
        <v>2</v>
      </c>
      <c r="W127" s="94">
        <f t="shared" si="81"/>
        <v>0.625</v>
      </c>
      <c r="X127" s="97">
        <f t="shared" si="82"/>
        <v>0.375</v>
      </c>
      <c r="Y127" s="96">
        <f t="shared" si="83"/>
        <v>2.7200193423597678</v>
      </c>
      <c r="Z127" s="94">
        <f t="shared" si="77"/>
        <v>10.248898560068774</v>
      </c>
      <c r="AA127" s="94">
        <f t="shared" si="78"/>
        <v>8.9235019908617321</v>
      </c>
      <c r="AB127" s="94">
        <v>0</v>
      </c>
      <c r="AC127" s="94">
        <f t="shared" si="84"/>
        <v>0.1592577755618266</v>
      </c>
      <c r="AD127" s="97">
        <f t="shared" si="67"/>
        <v>0.1592577755618266</v>
      </c>
      <c r="AE127" s="96">
        <f t="shared" si="76"/>
        <v>5.5555555555555554</v>
      </c>
      <c r="AF127" s="94">
        <f t="shared" si="68"/>
        <v>7.0546477490425294</v>
      </c>
      <c r="AG127" s="94">
        <f t="shared" si="85"/>
        <v>0.43795888279502332</v>
      </c>
      <c r="AH127" s="94">
        <f t="shared" si="86"/>
        <v>0.92221781682352222</v>
      </c>
      <c r="AI127" s="97">
        <f t="shared" si="69"/>
        <v>1.3601766996185456</v>
      </c>
      <c r="AJ127" s="96">
        <f t="shared" si="70"/>
        <v>3.3333333333333335</v>
      </c>
      <c r="AK127" s="94">
        <f t="shared" si="87"/>
        <v>5.4645066490802714</v>
      </c>
      <c r="AL127" s="94">
        <f t="shared" si="88"/>
        <v>0.262775329677014</v>
      </c>
      <c r="AM127" s="94">
        <f t="shared" si="95"/>
        <v>0.36009600000000008</v>
      </c>
      <c r="AN127" s="237">
        <f t="shared" si="89"/>
        <v>7.2152245862884171E-2</v>
      </c>
      <c r="AO127" s="97">
        <f t="shared" si="72"/>
        <v>0.69502357553989824</v>
      </c>
      <c r="AP127" s="96">
        <f t="shared" si="90"/>
        <v>0.23888666334273992</v>
      </c>
      <c r="AQ127" s="257">
        <f t="shared" si="91"/>
        <v>0.1592577755618266</v>
      </c>
      <c r="AR127" s="257">
        <f t="shared" si="92"/>
        <v>0.24041576743369195</v>
      </c>
      <c r="AS127" s="94">
        <f t="shared" si="93"/>
        <v>4.3999999999999997E-2</v>
      </c>
      <c r="AT127" s="97">
        <f t="shared" si="94"/>
        <v>2.9699999999999997E-5</v>
      </c>
      <c r="AU127" s="96">
        <f t="shared" si="73"/>
        <v>2.8970479570585281</v>
      </c>
      <c r="AV127" s="94">
        <f t="shared" si="74"/>
        <v>80</v>
      </c>
      <c r="AW127" s="97">
        <f t="shared" si="75"/>
        <v>96.505245930398829</v>
      </c>
    </row>
    <row r="128" spans="17:49" x14ac:dyDescent="0.3">
      <c r="Q128" s="32">
        <v>121</v>
      </c>
      <c r="R128" s="96">
        <f t="shared" si="49"/>
        <v>24</v>
      </c>
      <c r="S128" s="94">
        <f t="shared" si="79"/>
        <v>3.3611111111111112</v>
      </c>
      <c r="T128" s="94">
        <f t="shared" si="51"/>
        <v>9</v>
      </c>
      <c r="U128" s="97">
        <f t="shared" si="80"/>
        <v>8.9629629629629637</v>
      </c>
      <c r="V128" s="96">
        <f>IF(Variable_Management!$B$20=3,2,IF((S128*R128/T128)&lt;((T128*(1-(T128/R128)))/(2*Lm*Fsw)),1,2))</f>
        <v>2</v>
      </c>
      <c r="W128" s="94">
        <f t="shared" si="81"/>
        <v>0.625</v>
      </c>
      <c r="X128" s="97">
        <f t="shared" si="82"/>
        <v>0.375</v>
      </c>
      <c r="Y128" s="96">
        <f t="shared" si="83"/>
        <v>2.7200193423597678</v>
      </c>
      <c r="Z128" s="94">
        <f t="shared" si="77"/>
        <v>10.322972634142847</v>
      </c>
      <c r="AA128" s="94">
        <f t="shared" si="78"/>
        <v>8.9972911021788526</v>
      </c>
      <c r="AB128" s="94">
        <v>0</v>
      </c>
      <c r="AC128" s="94">
        <f t="shared" si="84"/>
        <v>0.16190249435469353</v>
      </c>
      <c r="AD128" s="97">
        <f t="shared" si="67"/>
        <v>0.16190249435469353</v>
      </c>
      <c r="AE128" s="96">
        <f t="shared" si="76"/>
        <v>5.6018518518518521</v>
      </c>
      <c r="AF128" s="94">
        <f t="shared" si="68"/>
        <v>7.1129831636129808</v>
      </c>
      <c r="AG128" s="94">
        <f t="shared" si="85"/>
        <v>0.44523185947540722</v>
      </c>
      <c r="AH128" s="94">
        <f t="shared" si="86"/>
        <v>0.92990296529705152</v>
      </c>
      <c r="AI128" s="97">
        <f t="shared" si="69"/>
        <v>1.3751348247724589</v>
      </c>
      <c r="AJ128" s="96">
        <f t="shared" si="70"/>
        <v>3.3611111111111116</v>
      </c>
      <c r="AK128" s="94">
        <f t="shared" si="87"/>
        <v>5.5096930669053634</v>
      </c>
      <c r="AL128" s="94">
        <f t="shared" si="88"/>
        <v>0.26713911568524429</v>
      </c>
      <c r="AM128" s="94">
        <f t="shared" si="95"/>
        <v>0.36009600000000008</v>
      </c>
      <c r="AN128" s="237">
        <f t="shared" si="89"/>
        <v>7.2673727344365641E-2</v>
      </c>
      <c r="AO128" s="97">
        <f t="shared" si="72"/>
        <v>0.69990884302960998</v>
      </c>
      <c r="AP128" s="96">
        <f t="shared" si="90"/>
        <v>0.24285374153204028</v>
      </c>
      <c r="AQ128" s="257">
        <f t="shared" si="91"/>
        <v>0.16190249435469353</v>
      </c>
      <c r="AR128" s="257">
        <f t="shared" si="92"/>
        <v>0.24041576743369195</v>
      </c>
      <c r="AS128" s="94">
        <f t="shared" si="93"/>
        <v>4.3999999999999997E-2</v>
      </c>
      <c r="AT128" s="97">
        <f t="shared" si="94"/>
        <v>2.9699999999999997E-5</v>
      </c>
      <c r="AU128" s="96">
        <f t="shared" si="73"/>
        <v>2.926147865477188</v>
      </c>
      <c r="AV128" s="94">
        <f t="shared" si="74"/>
        <v>80.666666666666671</v>
      </c>
      <c r="AW128" s="97">
        <f t="shared" si="75"/>
        <v>96.499522259353995</v>
      </c>
    </row>
    <row r="129" spans="17:49" x14ac:dyDescent="0.3">
      <c r="Q129" s="32">
        <v>122</v>
      </c>
      <c r="R129" s="96">
        <f t="shared" si="49"/>
        <v>24</v>
      </c>
      <c r="S129" s="94">
        <f t="shared" si="79"/>
        <v>3.3888888888888893</v>
      </c>
      <c r="T129" s="94">
        <f t="shared" si="51"/>
        <v>9</v>
      </c>
      <c r="U129" s="97">
        <f t="shared" si="80"/>
        <v>9.0370370370370381</v>
      </c>
      <c r="V129" s="96">
        <f>IF(Variable_Management!$B$20=3,2,IF((S129*R129/T129)&lt;((T129*(1-(T129/R129)))/(2*Lm*Fsw)),1,2))</f>
        <v>2</v>
      </c>
      <c r="W129" s="94">
        <f t="shared" si="81"/>
        <v>0.625</v>
      </c>
      <c r="X129" s="97">
        <f t="shared" si="82"/>
        <v>0.375</v>
      </c>
      <c r="Y129" s="96">
        <f t="shared" si="83"/>
        <v>2.7200193423597678</v>
      </c>
      <c r="Z129" s="94">
        <f t="shared" si="77"/>
        <v>10.397046708216923</v>
      </c>
      <c r="AA129" s="94">
        <f t="shared" si="78"/>
        <v>9.0710848585315365</v>
      </c>
      <c r="AB129" s="94">
        <v>0</v>
      </c>
      <c r="AC129" s="94">
        <f t="shared" si="84"/>
        <v>0.16456916102136021</v>
      </c>
      <c r="AD129" s="97">
        <f t="shared" si="67"/>
        <v>0.16456916102136021</v>
      </c>
      <c r="AE129" s="96">
        <f t="shared" si="76"/>
        <v>5.6481481481481488</v>
      </c>
      <c r="AF129" s="94">
        <f t="shared" si="68"/>
        <v>7.1713222504064813</v>
      </c>
      <c r="AG129" s="94">
        <f t="shared" si="85"/>
        <v>0.45256519280874075</v>
      </c>
      <c r="AH129" s="94">
        <f t="shared" si="86"/>
        <v>0.93758811377058093</v>
      </c>
      <c r="AI129" s="97">
        <f t="shared" si="69"/>
        <v>1.3901533065793217</v>
      </c>
      <c r="AJ129" s="96">
        <f t="shared" si="70"/>
        <v>3.3888888888888893</v>
      </c>
      <c r="AK129" s="94">
        <f t="shared" si="87"/>
        <v>5.5548823292221989</v>
      </c>
      <c r="AL129" s="94">
        <f t="shared" si="88"/>
        <v>0.27153911568524441</v>
      </c>
      <c r="AM129" s="94">
        <f t="shared" si="95"/>
        <v>0.36009600000000008</v>
      </c>
      <c r="AN129" s="237">
        <f t="shared" si="89"/>
        <v>7.3195208825847138E-2</v>
      </c>
      <c r="AO129" s="97">
        <f t="shared" si="72"/>
        <v>0.70483032451109162</v>
      </c>
      <c r="AP129" s="96">
        <f t="shared" si="90"/>
        <v>0.24685374153204032</v>
      </c>
      <c r="AQ129" s="257">
        <f t="shared" si="91"/>
        <v>0.16456916102136021</v>
      </c>
      <c r="AR129" s="257">
        <f t="shared" si="92"/>
        <v>0.24041576743369195</v>
      </c>
      <c r="AS129" s="94">
        <f t="shared" si="93"/>
        <v>4.3999999999999997E-2</v>
      </c>
      <c r="AT129" s="97">
        <f t="shared" si="94"/>
        <v>2.9699999999999997E-5</v>
      </c>
      <c r="AU129" s="96">
        <f t="shared" si="73"/>
        <v>2.9554211620988657</v>
      </c>
      <c r="AV129" s="94">
        <f t="shared" si="74"/>
        <v>81.333333333333343</v>
      </c>
      <c r="AW129" s="97">
        <f t="shared" si="75"/>
        <v>96.493694586198885</v>
      </c>
    </row>
    <row r="130" spans="17:49" x14ac:dyDescent="0.3">
      <c r="Q130" s="32">
        <v>123</v>
      </c>
      <c r="R130" s="96">
        <f t="shared" si="49"/>
        <v>24</v>
      </c>
      <c r="S130" s="94">
        <f t="shared" si="79"/>
        <v>3.416666666666667</v>
      </c>
      <c r="T130" s="94">
        <f t="shared" si="51"/>
        <v>9</v>
      </c>
      <c r="U130" s="97">
        <f t="shared" si="80"/>
        <v>9.1111111111111107</v>
      </c>
      <c r="V130" s="96">
        <f>IF(Variable_Management!$B$20=3,2,IF((S130*R130/T130)&lt;((T130*(1-(T130/R130)))/(2*Lm*Fsw)),1,2))</f>
        <v>2</v>
      </c>
      <c r="W130" s="94">
        <f t="shared" si="81"/>
        <v>0.625</v>
      </c>
      <c r="X130" s="97">
        <f t="shared" si="82"/>
        <v>0.375</v>
      </c>
      <c r="Y130" s="96">
        <f t="shared" si="83"/>
        <v>2.7200193423597678</v>
      </c>
      <c r="Z130" s="94">
        <f t="shared" si="77"/>
        <v>10.471120782290996</v>
      </c>
      <c r="AA130" s="94">
        <f t="shared" si="78"/>
        <v>9.1448831474717753</v>
      </c>
      <c r="AB130" s="94">
        <v>0</v>
      </c>
      <c r="AC130" s="94">
        <f t="shared" si="84"/>
        <v>0.16725777556182658</v>
      </c>
      <c r="AD130" s="97">
        <f t="shared" si="67"/>
        <v>0.16725777556182658</v>
      </c>
      <c r="AE130" s="96">
        <f t="shared" si="76"/>
        <v>5.6944444444444446</v>
      </c>
      <c r="AF130" s="94">
        <f t="shared" si="68"/>
        <v>7.2296649205250727</v>
      </c>
      <c r="AG130" s="94">
        <f t="shared" si="85"/>
        <v>0.45995888279502317</v>
      </c>
      <c r="AH130" s="94">
        <f t="shared" si="86"/>
        <v>0.94527326224411012</v>
      </c>
      <c r="AI130" s="97">
        <f t="shared" si="69"/>
        <v>1.4052321450391334</v>
      </c>
      <c r="AJ130" s="96">
        <f t="shared" si="70"/>
        <v>3.4166666666666665</v>
      </c>
      <c r="AK130" s="94">
        <f t="shared" si="87"/>
        <v>5.6000743671707145</v>
      </c>
      <c r="AL130" s="94">
        <f t="shared" si="88"/>
        <v>0.27597532967701383</v>
      </c>
      <c r="AM130" s="94">
        <f t="shared" si="95"/>
        <v>0.36009600000000008</v>
      </c>
      <c r="AN130" s="237">
        <f t="shared" si="89"/>
        <v>7.3716690307328608E-2</v>
      </c>
      <c r="AO130" s="97">
        <f t="shared" si="72"/>
        <v>0.7097880199843426</v>
      </c>
      <c r="AP130" s="96">
        <f t="shared" si="90"/>
        <v>0.25088666334273985</v>
      </c>
      <c r="AQ130" s="257">
        <f t="shared" si="91"/>
        <v>0.16725777556182658</v>
      </c>
      <c r="AR130" s="257">
        <f t="shared" si="92"/>
        <v>0.24041576743369195</v>
      </c>
      <c r="AS130" s="94">
        <f t="shared" si="93"/>
        <v>4.3999999999999997E-2</v>
      </c>
      <c r="AT130" s="97">
        <f t="shared" si="94"/>
        <v>2.9699999999999997E-5</v>
      </c>
      <c r="AU130" s="96">
        <f t="shared" si="73"/>
        <v>2.9848678469235606</v>
      </c>
      <c r="AV130" s="94">
        <f t="shared" si="74"/>
        <v>82</v>
      </c>
      <c r="AW130" s="97">
        <f t="shared" si="75"/>
        <v>96.487765501618512</v>
      </c>
    </row>
    <row r="131" spans="17:49" x14ac:dyDescent="0.3">
      <c r="Q131" s="32">
        <v>124</v>
      </c>
      <c r="R131" s="96">
        <f t="shared" si="49"/>
        <v>24</v>
      </c>
      <c r="S131" s="94">
        <f t="shared" si="79"/>
        <v>3.4444444444444446</v>
      </c>
      <c r="T131" s="94">
        <f t="shared" si="51"/>
        <v>9</v>
      </c>
      <c r="U131" s="97">
        <f t="shared" si="80"/>
        <v>9.1851851851851851</v>
      </c>
      <c r="V131" s="96">
        <f>IF(Variable_Management!$B$20=3,2,IF((S131*R131/T131)&lt;((T131*(1-(T131/R131)))/(2*Lm*Fsw)),1,2))</f>
        <v>2</v>
      </c>
      <c r="W131" s="94">
        <f t="shared" si="81"/>
        <v>0.625</v>
      </c>
      <c r="X131" s="97">
        <f t="shared" si="82"/>
        <v>0.375</v>
      </c>
      <c r="Y131" s="96">
        <f t="shared" si="83"/>
        <v>2.7200193423597678</v>
      </c>
      <c r="Z131" s="94">
        <f t="shared" si="77"/>
        <v>10.545194856365068</v>
      </c>
      <c r="AA131" s="94">
        <f t="shared" si="78"/>
        <v>9.2186858601454862</v>
      </c>
      <c r="AB131" s="94">
        <v>0</v>
      </c>
      <c r="AC131" s="94">
        <f t="shared" si="84"/>
        <v>0.16996833797609265</v>
      </c>
      <c r="AD131" s="97">
        <f t="shared" si="67"/>
        <v>0.16996833797609265</v>
      </c>
      <c r="AE131" s="96">
        <f t="shared" si="76"/>
        <v>5.7407407407407405</v>
      </c>
      <c r="AF131" s="94">
        <f t="shared" si="68"/>
        <v>7.2880110879120483</v>
      </c>
      <c r="AG131" s="94">
        <f t="shared" si="85"/>
        <v>0.46741292943425489</v>
      </c>
      <c r="AH131" s="94">
        <f t="shared" si="86"/>
        <v>0.95295841071763965</v>
      </c>
      <c r="AI131" s="97">
        <f t="shared" si="69"/>
        <v>1.4203713401518945</v>
      </c>
      <c r="AJ131" s="96">
        <f t="shared" si="70"/>
        <v>3.4444444444444446</v>
      </c>
      <c r="AK131" s="94">
        <f t="shared" si="87"/>
        <v>5.645269114091672</v>
      </c>
      <c r="AL131" s="94">
        <f t="shared" si="88"/>
        <v>0.28044775766055285</v>
      </c>
      <c r="AM131" s="94">
        <f t="shared" si="95"/>
        <v>0.36009600000000008</v>
      </c>
      <c r="AN131" s="237">
        <f t="shared" si="89"/>
        <v>7.4238171788810078E-2</v>
      </c>
      <c r="AO131" s="97">
        <f t="shared" si="72"/>
        <v>0.71478192944936303</v>
      </c>
      <c r="AP131" s="96">
        <f t="shared" si="90"/>
        <v>0.25495250696413896</v>
      </c>
      <c r="AQ131" s="257">
        <f t="shared" si="91"/>
        <v>0.16996833797609265</v>
      </c>
      <c r="AR131" s="257">
        <f t="shared" si="92"/>
        <v>0.24041576743369195</v>
      </c>
      <c r="AS131" s="94">
        <f t="shared" si="93"/>
        <v>4.3999999999999997E-2</v>
      </c>
      <c r="AT131" s="97">
        <f t="shared" si="94"/>
        <v>2.9699999999999997E-5</v>
      </c>
      <c r="AU131" s="96">
        <f t="shared" si="73"/>
        <v>3.0144879199512737</v>
      </c>
      <c r="AV131" s="94">
        <f t="shared" si="74"/>
        <v>82.666666666666671</v>
      </c>
      <c r="AW131" s="97">
        <f t="shared" si="75"/>
        <v>96.481737513348008</v>
      </c>
    </row>
    <row r="132" spans="17:49" x14ac:dyDescent="0.3">
      <c r="Q132" s="32">
        <v>125</v>
      </c>
      <c r="R132" s="96">
        <f t="shared" si="49"/>
        <v>24</v>
      </c>
      <c r="S132" s="94">
        <f t="shared" si="79"/>
        <v>3.4722222222222223</v>
      </c>
      <c r="T132" s="94">
        <f t="shared" si="51"/>
        <v>9</v>
      </c>
      <c r="U132" s="97">
        <f t="shared" si="80"/>
        <v>9.2592592592592595</v>
      </c>
      <c r="V132" s="96">
        <f>IF(Variable_Management!$B$20=3,2,IF((S132*R132/T132)&lt;((T132*(1-(T132/R132)))/(2*Lm*Fsw)),1,2))</f>
        <v>2</v>
      </c>
      <c r="W132" s="94">
        <f t="shared" si="81"/>
        <v>0.625</v>
      </c>
      <c r="X132" s="97">
        <f t="shared" si="82"/>
        <v>0.375</v>
      </c>
      <c r="Y132" s="96">
        <f t="shared" si="83"/>
        <v>2.7200193423597678</v>
      </c>
      <c r="Z132" s="94">
        <f t="shared" si="77"/>
        <v>10.619268930439144</v>
      </c>
      <c r="AA132" s="94">
        <f t="shared" si="78"/>
        <v>9.2924928911503226</v>
      </c>
      <c r="AB132" s="94">
        <v>0</v>
      </c>
      <c r="AC132" s="94">
        <f t="shared" si="84"/>
        <v>0.17270084826415857</v>
      </c>
      <c r="AD132" s="97">
        <f t="shared" si="67"/>
        <v>0.17270084826415857</v>
      </c>
      <c r="AE132" s="96">
        <f t="shared" si="76"/>
        <v>5.7870370370370372</v>
      </c>
      <c r="AF132" s="94">
        <f t="shared" si="68"/>
        <v>7.3463606692395356</v>
      </c>
      <c r="AG132" s="94">
        <f t="shared" si="85"/>
        <v>0.47492733272643611</v>
      </c>
      <c r="AH132" s="94">
        <f t="shared" si="86"/>
        <v>0.96064355919116884</v>
      </c>
      <c r="AI132" s="97">
        <f t="shared" si="69"/>
        <v>1.4355708919176049</v>
      </c>
      <c r="AJ132" s="96">
        <f t="shared" si="70"/>
        <v>3.4722222222222223</v>
      </c>
      <c r="AK132" s="94">
        <f t="shared" si="87"/>
        <v>5.6904665054395789</v>
      </c>
      <c r="AL132" s="94">
        <f t="shared" si="88"/>
        <v>0.28495639963586161</v>
      </c>
      <c r="AM132" s="94">
        <f t="shared" si="95"/>
        <v>0.36009600000000008</v>
      </c>
      <c r="AN132" s="237">
        <f t="shared" si="89"/>
        <v>7.4759653270291576E-2</v>
      </c>
      <c r="AO132" s="97">
        <f t="shared" si="72"/>
        <v>0.71981205290615324</v>
      </c>
      <c r="AP132" s="96">
        <f t="shared" si="90"/>
        <v>0.25905127239623787</v>
      </c>
      <c r="AQ132" s="257">
        <f t="shared" si="91"/>
        <v>0.17270084826415857</v>
      </c>
      <c r="AR132" s="257">
        <f t="shared" si="92"/>
        <v>0.24041576743369195</v>
      </c>
      <c r="AS132" s="94">
        <f t="shared" si="93"/>
        <v>4.3999999999999997E-2</v>
      </c>
      <c r="AT132" s="97">
        <f t="shared" si="94"/>
        <v>2.9699999999999997E-5</v>
      </c>
      <c r="AU132" s="96">
        <f t="shared" si="73"/>
        <v>3.0442813811820049</v>
      </c>
      <c r="AV132" s="94">
        <f t="shared" si="74"/>
        <v>83.333333333333343</v>
      </c>
      <c r="AW132" s="97">
        <f t="shared" si="75"/>
        <v>96.475613049464741</v>
      </c>
    </row>
    <row r="133" spans="17:49" x14ac:dyDescent="0.3">
      <c r="Q133" s="32">
        <v>126</v>
      </c>
      <c r="R133" s="96">
        <f t="shared" si="49"/>
        <v>24</v>
      </c>
      <c r="S133" s="94">
        <f t="shared" si="79"/>
        <v>3.5000000000000004</v>
      </c>
      <c r="T133" s="94">
        <f t="shared" si="51"/>
        <v>9</v>
      </c>
      <c r="U133" s="97">
        <f t="shared" si="80"/>
        <v>9.3333333333333357</v>
      </c>
      <c r="V133" s="96">
        <f>IF(Variable_Management!$B$20=3,2,IF((S133*R133/T133)&lt;((T133*(1-(T133/R133)))/(2*Lm*Fsw)),1,2))</f>
        <v>2</v>
      </c>
      <c r="W133" s="94">
        <f t="shared" si="81"/>
        <v>0.625</v>
      </c>
      <c r="X133" s="97">
        <f t="shared" si="82"/>
        <v>0.375</v>
      </c>
      <c r="Y133" s="96">
        <f t="shared" si="83"/>
        <v>2.7200193423597678</v>
      </c>
      <c r="Z133" s="94">
        <f t="shared" si="77"/>
        <v>10.693343004513221</v>
      </c>
      <c r="AA133" s="94">
        <f t="shared" si="78"/>
        <v>9.3663041384001673</v>
      </c>
      <c r="AB133" s="94">
        <v>0</v>
      </c>
      <c r="AC133" s="94">
        <f t="shared" si="84"/>
        <v>0.17545530642602422</v>
      </c>
      <c r="AD133" s="97">
        <f t="shared" si="67"/>
        <v>0.17545530642602422</v>
      </c>
      <c r="AE133" s="96">
        <f t="shared" si="76"/>
        <v>5.8333333333333348</v>
      </c>
      <c r="AF133" s="94">
        <f t="shared" si="68"/>
        <v>7.4047135838013727</v>
      </c>
      <c r="AG133" s="94">
        <f t="shared" si="85"/>
        <v>0.48250209267156657</v>
      </c>
      <c r="AH133" s="94">
        <f t="shared" si="86"/>
        <v>0.96832870766469858</v>
      </c>
      <c r="AI133" s="97">
        <f t="shared" si="69"/>
        <v>1.4508308003362651</v>
      </c>
      <c r="AJ133" s="96">
        <f t="shared" si="70"/>
        <v>3.5000000000000009</v>
      </c>
      <c r="AK133" s="94">
        <f t="shared" si="87"/>
        <v>5.7356664786997111</v>
      </c>
      <c r="AL133" s="94">
        <f t="shared" si="88"/>
        <v>0.28950125560294004</v>
      </c>
      <c r="AM133" s="94">
        <f t="shared" si="95"/>
        <v>0.36009600000000008</v>
      </c>
      <c r="AN133" s="237">
        <f t="shared" si="89"/>
        <v>7.5281134751773074E-2</v>
      </c>
      <c r="AO133" s="97">
        <f t="shared" si="72"/>
        <v>0.72487839035471324</v>
      </c>
      <c r="AP133" s="96">
        <f t="shared" si="90"/>
        <v>0.26318295963903632</v>
      </c>
      <c r="AQ133" s="257">
        <f t="shared" si="91"/>
        <v>0.17545530642602422</v>
      </c>
      <c r="AR133" s="257">
        <f t="shared" si="92"/>
        <v>0.24041576743369195</v>
      </c>
      <c r="AS133" s="94">
        <f t="shared" si="93"/>
        <v>4.3999999999999997E-2</v>
      </c>
      <c r="AT133" s="97">
        <f t="shared" si="94"/>
        <v>2.9699999999999997E-5</v>
      </c>
      <c r="AU133" s="96">
        <f t="shared" si="73"/>
        <v>3.0742482306157544</v>
      </c>
      <c r="AV133" s="94">
        <f t="shared" si="74"/>
        <v>84.000000000000014</v>
      </c>
      <c r="AW133" s="97">
        <f t="shared" si="75"/>
        <v>96.469394461524814</v>
      </c>
    </row>
    <row r="134" spans="17:49" x14ac:dyDescent="0.3">
      <c r="Q134" s="32">
        <v>127</v>
      </c>
      <c r="R134" s="96">
        <f t="shared" si="49"/>
        <v>24</v>
      </c>
      <c r="S134" s="94">
        <f t="shared" si="79"/>
        <v>3.5277777777777781</v>
      </c>
      <c r="T134" s="94">
        <f t="shared" si="51"/>
        <v>9</v>
      </c>
      <c r="U134" s="97">
        <f t="shared" si="80"/>
        <v>9.4074074074074083</v>
      </c>
      <c r="V134" s="96">
        <f>IF(Variable_Management!$B$20=3,2,IF((S134*R134/T134)&lt;((T134*(1-(T134/R134)))/(2*Lm*Fsw)),1,2))</f>
        <v>2</v>
      </c>
      <c r="W134" s="94">
        <f t="shared" si="81"/>
        <v>0.625</v>
      </c>
      <c r="X134" s="97">
        <f t="shared" si="82"/>
        <v>0.375</v>
      </c>
      <c r="Y134" s="96">
        <f t="shared" si="83"/>
        <v>2.7200193423597678</v>
      </c>
      <c r="Z134" s="94">
        <f t="shared" si="77"/>
        <v>10.767417078587293</v>
      </c>
      <c r="AA134" s="94">
        <f t="shared" si="78"/>
        <v>9.4401195029959606</v>
      </c>
      <c r="AB134" s="94">
        <v>0</v>
      </c>
      <c r="AC134" s="94">
        <f t="shared" si="84"/>
        <v>0.1782317124616894</v>
      </c>
      <c r="AD134" s="97">
        <f t="shared" si="67"/>
        <v>0.1782317124616894</v>
      </c>
      <c r="AE134" s="96">
        <f t="shared" si="76"/>
        <v>5.8796296296296298</v>
      </c>
      <c r="AF134" s="94">
        <f t="shared" si="68"/>
        <v>7.4630697534109895</v>
      </c>
      <c r="AG134" s="94">
        <f t="shared" si="85"/>
        <v>0.49013720926964616</v>
      </c>
      <c r="AH134" s="94">
        <f t="shared" si="86"/>
        <v>0.97601385613822778</v>
      </c>
      <c r="AI134" s="97">
        <f t="shared" si="69"/>
        <v>1.466151065407874</v>
      </c>
      <c r="AJ134" s="96">
        <f t="shared" si="70"/>
        <v>3.5277777777777781</v>
      </c>
      <c r="AK134" s="94">
        <f t="shared" si="87"/>
        <v>5.7808689733090111</v>
      </c>
      <c r="AL134" s="94">
        <f t="shared" si="88"/>
        <v>0.29408232556178771</v>
      </c>
      <c r="AM134" s="94">
        <f t="shared" si="95"/>
        <v>0.36009600000000008</v>
      </c>
      <c r="AN134" s="237">
        <f t="shared" si="89"/>
        <v>7.5802616233254544E-2</v>
      </c>
      <c r="AO134" s="97">
        <f t="shared" si="72"/>
        <v>0.72998094179504236</v>
      </c>
      <c r="AP134" s="96">
        <f t="shared" si="90"/>
        <v>0.26734756869253412</v>
      </c>
      <c r="AQ134" s="257">
        <f t="shared" si="91"/>
        <v>0.1782317124616894</v>
      </c>
      <c r="AR134" s="257">
        <f t="shared" si="92"/>
        <v>0.24041576743369195</v>
      </c>
      <c r="AS134" s="94">
        <f t="shared" si="93"/>
        <v>4.3999999999999997E-2</v>
      </c>
      <c r="AT134" s="97">
        <f t="shared" si="94"/>
        <v>2.9699999999999997E-5</v>
      </c>
      <c r="AU134" s="96">
        <f t="shared" si="73"/>
        <v>3.1043884682525209</v>
      </c>
      <c r="AV134" s="94">
        <f t="shared" si="74"/>
        <v>84.666666666666671</v>
      </c>
      <c r="AW134" s="97">
        <f t="shared" si="75"/>
        <v>96.463084027552654</v>
      </c>
    </row>
    <row r="135" spans="17:49" x14ac:dyDescent="0.3">
      <c r="Q135" s="32">
        <v>128</v>
      </c>
      <c r="R135" s="96">
        <f t="shared" ref="R135:R157" si="96">VOUT</f>
        <v>24</v>
      </c>
      <c r="S135" s="94">
        <f t="shared" ref="S135:S157" si="97">Q135*$O$12</f>
        <v>3.5555555555555558</v>
      </c>
      <c r="T135" s="94">
        <f t="shared" ref="T135:T157" si="98">VIN_var</f>
        <v>9</v>
      </c>
      <c r="U135" s="97">
        <f t="shared" ref="U135:U157" si="99">(R135*S135)/(T135*EFF_est)</f>
        <v>9.4814814814814827</v>
      </c>
      <c r="V135" s="96">
        <f>IF(Variable_Management!$B$20=3,2,IF((S135*R135/T135)&lt;((T135*(1-(T135/R135)))/(2*Lm*Fsw)),1,2))</f>
        <v>2</v>
      </c>
      <c r="W135" s="94">
        <f t="shared" ref="W135:W157" si="100">CHOOSE(V135,SQRT((2*S135*Lm*Fsw*(R135-T135))/((T135)^2)),1-(T135/R135))</f>
        <v>0.625</v>
      </c>
      <c r="X135" s="97">
        <f t="shared" ref="X135:X157" si="101">CHOOSE(V135,(Lm*Z135*Fsw)/(R135-T135),1-W135)</f>
        <v>0.375</v>
      </c>
      <c r="Y135" s="96">
        <f t="shared" ref="Y135:Y157" si="102">(T135*W135)/(Lm*Fsw)</f>
        <v>2.7200193423597678</v>
      </c>
      <c r="Z135" s="94">
        <f t="shared" si="77"/>
        <v>10.841491152661366</v>
      </c>
      <c r="AA135" s="94">
        <f t="shared" si="78"/>
        <v>9.5139388891025156</v>
      </c>
      <c r="AB135" s="94">
        <v>0</v>
      </c>
      <c r="AC135" s="94">
        <f t="shared" ref="AC135:AC157" si="103">(AA135^2)*Rdcr</f>
        <v>0.18103006637115443</v>
      </c>
      <c r="AD135" s="97">
        <f t="shared" si="67"/>
        <v>0.18103006637115443</v>
      </c>
      <c r="AE135" s="96">
        <f t="shared" si="76"/>
        <v>5.9259259259259265</v>
      </c>
      <c r="AF135" s="94">
        <f t="shared" si="68"/>
        <v>7.5214291023040136</v>
      </c>
      <c r="AG135" s="94">
        <f t="shared" ref="AG135:AG157" si="104">(AF135^2)*RDS_on</f>
        <v>0.4978326825206747</v>
      </c>
      <c r="AH135" s="94">
        <f t="shared" ref="AH135:AH157" si="105">((R135*U135)/2)*Fsw*(tr_sw+tf_sw)</f>
        <v>0.98369900461175708</v>
      </c>
      <c r="AI135" s="97">
        <f t="shared" si="69"/>
        <v>1.4815316871324318</v>
      </c>
      <c r="AJ135" s="96">
        <f t="shared" si="70"/>
        <v>3.5555555555555562</v>
      </c>
      <c r="AK135" s="94">
        <f t="shared" ref="AK135:AK157" si="106">CHOOSE(V135,Z135*SQRT(X135/3),SQRT(X135*((Z135^2)+((Y135^2)/3)-(Y135*Z135))))</f>
        <v>5.826073930580649</v>
      </c>
      <c r="AL135" s="94">
        <f t="shared" ref="AL135:AL157" si="107">(AK135^2)*RDS_on_HS</f>
        <v>0.29869960951240476</v>
      </c>
      <c r="AM135" s="94">
        <f t="shared" si="95"/>
        <v>0.36009600000000008</v>
      </c>
      <c r="AN135" s="237">
        <f t="shared" ref="AN135:AN157" si="108">Vd_rect*t_dead*Fsw*Z135</f>
        <v>7.6324097714736014E-2</v>
      </c>
      <c r="AO135" s="97">
        <f t="shared" si="72"/>
        <v>0.73511970722714082</v>
      </c>
      <c r="AP135" s="96">
        <f t="shared" ref="AP135:AP157" si="109">(AA135^2)*R_cs</f>
        <v>0.27154509955673162</v>
      </c>
      <c r="AQ135" s="257">
        <f t="shared" ref="AQ135:AQ157" si="110">Rdcr*AA135^2</f>
        <v>0.18103006637115443</v>
      </c>
      <c r="AR135" s="257">
        <f t="shared" ref="AR135:AR157" si="111">ABS(7.759*10^-3*Fsw^0.9458*(0.00787*Y135)^2.304)</f>
        <v>0.24041576743369195</v>
      </c>
      <c r="AS135" s="94">
        <f t="shared" ref="AS135:AS157" si="112">(Qg_tot+Qg_tot_HS)*Vcc*Fsw</f>
        <v>4.3999999999999997E-2</v>
      </c>
      <c r="AT135" s="97">
        <f t="shared" ref="AT135:AT157" si="113">IQ*T135</f>
        <v>2.9699999999999997E-5</v>
      </c>
      <c r="AU135" s="96">
        <f t="shared" si="73"/>
        <v>3.1347020940923049</v>
      </c>
      <c r="AV135" s="94">
        <f t="shared" si="74"/>
        <v>85.333333333333343</v>
      </c>
      <c r="AW135" s="97">
        <f t="shared" si="75"/>
        <v>96.456683954891432</v>
      </c>
    </row>
    <row r="136" spans="17:49" x14ac:dyDescent="0.3">
      <c r="Q136" s="32">
        <v>129</v>
      </c>
      <c r="R136" s="96">
        <f t="shared" si="96"/>
        <v>24</v>
      </c>
      <c r="S136" s="94">
        <f t="shared" si="97"/>
        <v>3.5833333333333335</v>
      </c>
      <c r="T136" s="94">
        <f t="shared" si="98"/>
        <v>9</v>
      </c>
      <c r="U136" s="97">
        <f t="shared" si="99"/>
        <v>9.5555555555555554</v>
      </c>
      <c r="V136" s="96">
        <f>IF(Variable_Management!$B$20=3,2,IF((S136*R136/T136)&lt;((T136*(1-(T136/R136)))/(2*Lm*Fsw)),1,2))</f>
        <v>2</v>
      </c>
      <c r="W136" s="94">
        <f t="shared" si="100"/>
        <v>0.625</v>
      </c>
      <c r="X136" s="97">
        <f t="shared" si="101"/>
        <v>0.375</v>
      </c>
      <c r="Y136" s="96">
        <f t="shared" si="102"/>
        <v>2.7200193423597678</v>
      </c>
      <c r="Z136" s="94">
        <f t="shared" si="77"/>
        <v>10.915565226735438</v>
      </c>
      <c r="AA136" s="94">
        <f t="shared" si="78"/>
        <v>9.5877622038309624</v>
      </c>
      <c r="AB136" s="94">
        <v>0</v>
      </c>
      <c r="AC136" s="94">
        <f t="shared" si="103"/>
        <v>0.1838503681544191</v>
      </c>
      <c r="AD136" s="97">
        <f t="shared" ref="AD136:AD157" si="114">AB136+AC136</f>
        <v>0.1838503681544191</v>
      </c>
      <c r="AE136" s="96">
        <f t="shared" si="76"/>
        <v>5.9722222222222223</v>
      </c>
      <c r="AF136" s="94">
        <f t="shared" ref="AF136:AF157" si="115">CHOOSE(V136,Z136*SQRT(W136/3),SQRT(W136*((Z136^2)+((Y136^2)/3)-(Z136*Y136))))</f>
        <v>7.5797915570453505</v>
      </c>
      <c r="AG136" s="94">
        <f t="shared" si="104"/>
        <v>0.50558851242465264</v>
      </c>
      <c r="AH136" s="94">
        <f t="shared" si="105"/>
        <v>0.99138415308528616</v>
      </c>
      <c r="AI136" s="97">
        <f t="shared" ref="AI136:AI157" si="116">AG136+AH136</f>
        <v>1.4969726655099387</v>
      </c>
      <c r="AJ136" s="96">
        <f t="shared" ref="AJ136:AJ156" si="117">X136*U136</f>
        <v>3.583333333333333</v>
      </c>
      <c r="AK136" s="94">
        <f t="shared" si="106"/>
        <v>5.8712812936320455</v>
      </c>
      <c r="AL136" s="94">
        <f t="shared" si="107"/>
        <v>0.3033531074547916</v>
      </c>
      <c r="AM136" s="94">
        <f t="shared" ref="AM136:AM157" si="118">CHOOSE(V136,(R136+Vd_rect)*Qrr*Fsw,(R136+Vd_rect)*Qrr*Fsw)</f>
        <v>0.36009600000000008</v>
      </c>
      <c r="AN136" s="237">
        <f t="shared" si="108"/>
        <v>7.6845579196217484E-2</v>
      </c>
      <c r="AO136" s="97">
        <f t="shared" ref="AO136:AO157" si="119">AL136+AM136+AN136</f>
        <v>0.74029468665100917</v>
      </c>
      <c r="AP136" s="96">
        <f t="shared" si="109"/>
        <v>0.27577555223162864</v>
      </c>
      <c r="AQ136" s="257">
        <f t="shared" si="110"/>
        <v>0.1838503681544191</v>
      </c>
      <c r="AR136" s="257">
        <f t="shared" si="111"/>
        <v>0.24041576743369195</v>
      </c>
      <c r="AS136" s="94">
        <f t="shared" si="112"/>
        <v>4.3999999999999997E-2</v>
      </c>
      <c r="AT136" s="97">
        <f t="shared" si="113"/>
        <v>2.9699999999999997E-5</v>
      </c>
      <c r="AU136" s="96">
        <f t="shared" ref="AU136:AU157" si="120">AP136+AO136+AI136+AD136+AS136+AT136+AQ136+AR136</f>
        <v>3.165189108135106</v>
      </c>
      <c r="AV136" s="94">
        <f t="shared" ref="AV136:AV157" si="121">R136*S136</f>
        <v>86</v>
      </c>
      <c r="AW136" s="97">
        <f t="shared" ref="AW136:AW156" si="122">(AV136/(AV136+AU136))*100</f>
        <v>96.450196382921888</v>
      </c>
    </row>
    <row r="137" spans="17:49" x14ac:dyDescent="0.3">
      <c r="Q137" s="32">
        <v>130</v>
      </c>
      <c r="R137" s="96">
        <f t="shared" si="96"/>
        <v>24</v>
      </c>
      <c r="S137" s="94">
        <f t="shared" si="97"/>
        <v>3.6111111111111112</v>
      </c>
      <c r="T137" s="94">
        <f t="shared" si="98"/>
        <v>9</v>
      </c>
      <c r="U137" s="97">
        <f t="shared" si="99"/>
        <v>9.6296296296296298</v>
      </c>
      <c r="V137" s="96">
        <f>IF(Variable_Management!$B$20=3,2,IF((S137*R137/T137)&lt;((T137*(1-(T137/R137)))/(2*Lm*Fsw)),1,2))</f>
        <v>2</v>
      </c>
      <c r="W137" s="94">
        <f t="shared" si="100"/>
        <v>0.625</v>
      </c>
      <c r="X137" s="97">
        <f t="shared" si="101"/>
        <v>0.375</v>
      </c>
      <c r="Y137" s="96">
        <f t="shared" si="102"/>
        <v>2.7200193423597678</v>
      </c>
      <c r="Z137" s="94">
        <f t="shared" si="77"/>
        <v>10.989639300809515</v>
      </c>
      <c r="AA137" s="94">
        <f t="shared" si="78"/>
        <v>9.6615893571265907</v>
      </c>
      <c r="AB137" s="94">
        <v>0</v>
      </c>
      <c r="AC137" s="94">
        <f t="shared" si="103"/>
        <v>0.18669261781148361</v>
      </c>
      <c r="AD137" s="97">
        <f t="shared" si="114"/>
        <v>0.18669261781148361</v>
      </c>
      <c r="AE137" s="96">
        <f t="shared" ref="AE137:AE157" si="123">U137*W137</f>
        <v>6.018518518518519</v>
      </c>
      <c r="AF137" s="94">
        <f t="shared" si="115"/>
        <v>7.6381570464404991</v>
      </c>
      <c r="AG137" s="94">
        <f t="shared" si="104"/>
        <v>0.51340469898158014</v>
      </c>
      <c r="AH137" s="94">
        <f t="shared" si="105"/>
        <v>0.99906930155881568</v>
      </c>
      <c r="AI137" s="97">
        <f t="shared" si="116"/>
        <v>1.5124740005403958</v>
      </c>
      <c r="AJ137" s="96">
        <f t="shared" si="117"/>
        <v>3.6111111111111112</v>
      </c>
      <c r="AK137" s="94">
        <f t="shared" si="106"/>
        <v>5.9164910073161767</v>
      </c>
      <c r="AL137" s="94">
        <f t="shared" si="107"/>
        <v>0.30804281938894806</v>
      </c>
      <c r="AM137" s="94">
        <f t="shared" si="118"/>
        <v>0.36009600000000008</v>
      </c>
      <c r="AN137" s="237">
        <f t="shared" si="108"/>
        <v>7.7367060677698982E-2</v>
      </c>
      <c r="AO137" s="97">
        <f t="shared" si="119"/>
        <v>0.74550588006664709</v>
      </c>
      <c r="AP137" s="96">
        <f t="shared" si="109"/>
        <v>0.28003892671722541</v>
      </c>
      <c r="AQ137" s="257">
        <f t="shared" si="110"/>
        <v>0.18669261781148361</v>
      </c>
      <c r="AR137" s="257">
        <f t="shared" si="111"/>
        <v>0.24041576743369195</v>
      </c>
      <c r="AS137" s="94">
        <f t="shared" si="112"/>
        <v>4.3999999999999997E-2</v>
      </c>
      <c r="AT137" s="97">
        <f t="shared" si="113"/>
        <v>2.9699999999999997E-5</v>
      </c>
      <c r="AU137" s="96">
        <f t="shared" si="120"/>
        <v>3.1958495103809272</v>
      </c>
      <c r="AV137" s="94">
        <f t="shared" si="121"/>
        <v>86.666666666666671</v>
      </c>
      <c r="AW137" s="97">
        <f t="shared" si="122"/>
        <v>96.443623385656778</v>
      </c>
    </row>
    <row r="138" spans="17:49" x14ac:dyDescent="0.3">
      <c r="Q138" s="32">
        <v>131</v>
      </c>
      <c r="R138" s="96">
        <f t="shared" si="96"/>
        <v>24</v>
      </c>
      <c r="S138" s="94">
        <f t="shared" si="97"/>
        <v>3.6388888888888893</v>
      </c>
      <c r="T138" s="94">
        <f t="shared" si="98"/>
        <v>9</v>
      </c>
      <c r="U138" s="97">
        <f t="shared" si="99"/>
        <v>9.7037037037037042</v>
      </c>
      <c r="V138" s="96">
        <f>IF(Variable_Management!$B$20=3,2,IF((S138*R138/T138)&lt;((T138*(1-(T138/R138)))/(2*Lm*Fsw)),1,2))</f>
        <v>2</v>
      </c>
      <c r="W138" s="94">
        <f t="shared" si="100"/>
        <v>0.625</v>
      </c>
      <c r="X138" s="97">
        <f t="shared" si="101"/>
        <v>0.375</v>
      </c>
      <c r="Y138" s="96">
        <f t="shared" si="102"/>
        <v>2.7200193423597678</v>
      </c>
      <c r="Z138" s="94">
        <f t="shared" si="77"/>
        <v>11.063713374883587</v>
      </c>
      <c r="AA138" s="94">
        <f t="shared" si="78"/>
        <v>9.7354202616617389</v>
      </c>
      <c r="AB138" s="94">
        <v>0</v>
      </c>
      <c r="AC138" s="94">
        <f t="shared" si="103"/>
        <v>0.18955681534234786</v>
      </c>
      <c r="AD138" s="97">
        <f t="shared" si="114"/>
        <v>0.18955681534234786</v>
      </c>
      <c r="AE138" s="96">
        <f t="shared" si="123"/>
        <v>6.0648148148148149</v>
      </c>
      <c r="AF138" s="94">
        <f t="shared" si="115"/>
        <v>7.6965255014508784</v>
      </c>
      <c r="AG138" s="94">
        <f t="shared" si="104"/>
        <v>0.52128124219145655</v>
      </c>
      <c r="AH138" s="94">
        <f t="shared" si="105"/>
        <v>1.0067544500323451</v>
      </c>
      <c r="AI138" s="97">
        <f t="shared" si="116"/>
        <v>1.5280356922238016</v>
      </c>
      <c r="AJ138" s="96">
        <f t="shared" si="117"/>
        <v>3.6388888888888893</v>
      </c>
      <c r="AK138" s="94">
        <f t="shared" si="106"/>
        <v>5.9617030181559878</v>
      </c>
      <c r="AL138" s="94">
        <f t="shared" si="107"/>
        <v>0.31276874531487392</v>
      </c>
      <c r="AM138" s="94">
        <f t="shared" si="118"/>
        <v>0.36009600000000008</v>
      </c>
      <c r="AN138" s="237">
        <f t="shared" si="108"/>
        <v>7.7888542159180452E-2</v>
      </c>
      <c r="AO138" s="97">
        <f t="shared" si="119"/>
        <v>0.75075328747405434</v>
      </c>
      <c r="AP138" s="96">
        <f t="shared" si="109"/>
        <v>0.28433522301352177</v>
      </c>
      <c r="AQ138" s="257">
        <f t="shared" si="110"/>
        <v>0.18955681534234786</v>
      </c>
      <c r="AR138" s="257">
        <f t="shared" si="111"/>
        <v>0.24041576743369195</v>
      </c>
      <c r="AS138" s="94">
        <f t="shared" si="112"/>
        <v>4.3999999999999997E-2</v>
      </c>
      <c r="AT138" s="97">
        <f t="shared" si="113"/>
        <v>2.9699999999999997E-5</v>
      </c>
      <c r="AU138" s="96">
        <f t="shared" si="120"/>
        <v>3.2266833008297651</v>
      </c>
      <c r="AV138" s="94">
        <f t="shared" si="121"/>
        <v>87.333333333333343</v>
      </c>
      <c r="AW138" s="97">
        <f t="shared" si="122"/>
        <v>96.436966974217057</v>
      </c>
    </row>
    <row r="139" spans="17:49" x14ac:dyDescent="0.3">
      <c r="Q139" s="32">
        <v>132</v>
      </c>
      <c r="R139" s="96">
        <f t="shared" si="96"/>
        <v>24</v>
      </c>
      <c r="S139" s="94">
        <f t="shared" si="97"/>
        <v>3.666666666666667</v>
      </c>
      <c r="T139" s="94">
        <f t="shared" si="98"/>
        <v>9</v>
      </c>
      <c r="U139" s="97">
        <f t="shared" si="99"/>
        <v>9.7777777777777786</v>
      </c>
      <c r="V139" s="96">
        <f>IF(Variable_Management!$B$20=3,2,IF((S139*R139/T139)&lt;((T139*(1-(T139/R139)))/(2*Lm*Fsw)),1,2))</f>
        <v>2</v>
      </c>
      <c r="W139" s="94">
        <f t="shared" si="100"/>
        <v>0.625</v>
      </c>
      <c r="X139" s="97">
        <f t="shared" si="101"/>
        <v>0.375</v>
      </c>
      <c r="Y139" s="96">
        <f t="shared" si="102"/>
        <v>2.7200193423597678</v>
      </c>
      <c r="Z139" s="94">
        <f t="shared" si="77"/>
        <v>11.137787448957663</v>
      </c>
      <c r="AA139" s="94">
        <f t="shared" si="78"/>
        <v>9.8092548327335187</v>
      </c>
      <c r="AB139" s="94">
        <v>0</v>
      </c>
      <c r="AC139" s="94">
        <f t="shared" si="103"/>
        <v>0.19244296074701181</v>
      </c>
      <c r="AD139" s="97">
        <f t="shared" si="114"/>
        <v>0.19244296074701181</v>
      </c>
      <c r="AE139" s="96">
        <f t="shared" si="123"/>
        <v>6.1111111111111116</v>
      </c>
      <c r="AF139" s="94">
        <f t="shared" si="115"/>
        <v>7.7548968551129809</v>
      </c>
      <c r="AG139" s="94">
        <f t="shared" si="104"/>
        <v>0.52921814205428264</v>
      </c>
      <c r="AH139" s="94">
        <f t="shared" si="105"/>
        <v>1.0144395985058745</v>
      </c>
      <c r="AI139" s="97">
        <f t="shared" si="116"/>
        <v>1.5436577405601573</v>
      </c>
      <c r="AJ139" s="96">
        <f t="shared" si="117"/>
        <v>3.666666666666667</v>
      </c>
      <c r="AK139" s="94">
        <f t="shared" si="106"/>
        <v>6.0069172742817694</v>
      </c>
      <c r="AL139" s="94">
        <f t="shared" si="107"/>
        <v>0.31753088523256956</v>
      </c>
      <c r="AM139" s="94">
        <f t="shared" si="118"/>
        <v>0.36009600000000008</v>
      </c>
      <c r="AN139" s="237">
        <f t="shared" si="108"/>
        <v>7.8410023640661949E-2</v>
      </c>
      <c r="AO139" s="97">
        <f t="shared" si="119"/>
        <v>0.75603690887323161</v>
      </c>
      <c r="AP139" s="96">
        <f t="shared" si="109"/>
        <v>0.2886644411205177</v>
      </c>
      <c r="AQ139" s="257">
        <f t="shared" si="110"/>
        <v>0.19244296074701181</v>
      </c>
      <c r="AR139" s="257">
        <f t="shared" si="111"/>
        <v>0.24041576743369195</v>
      </c>
      <c r="AS139" s="94">
        <f t="shared" si="112"/>
        <v>4.3999999999999997E-2</v>
      </c>
      <c r="AT139" s="97">
        <f t="shared" si="113"/>
        <v>2.9699999999999997E-5</v>
      </c>
      <c r="AU139" s="96">
        <f t="shared" si="120"/>
        <v>3.2576904794816222</v>
      </c>
      <c r="AV139" s="94">
        <f t="shared" si="121"/>
        <v>88</v>
      </c>
      <c r="AW139" s="97">
        <f t="shared" si="122"/>
        <v>96.430229099196765</v>
      </c>
    </row>
    <row r="140" spans="17:49" x14ac:dyDescent="0.3">
      <c r="Q140" s="32">
        <v>133</v>
      </c>
      <c r="R140" s="96">
        <f t="shared" si="96"/>
        <v>24</v>
      </c>
      <c r="S140" s="94">
        <f t="shared" si="97"/>
        <v>3.6944444444444446</v>
      </c>
      <c r="T140" s="94">
        <f t="shared" si="98"/>
        <v>9</v>
      </c>
      <c r="U140" s="97">
        <f t="shared" si="99"/>
        <v>9.851851851851853</v>
      </c>
      <c r="V140" s="96">
        <f>IF(Variable_Management!$B$20=3,2,IF((S140*R140/T140)&lt;((T140*(1-(T140/R140)))/(2*Lm*Fsw)),1,2))</f>
        <v>2</v>
      </c>
      <c r="W140" s="94">
        <f t="shared" si="100"/>
        <v>0.625</v>
      </c>
      <c r="X140" s="97">
        <f t="shared" si="101"/>
        <v>0.375</v>
      </c>
      <c r="Y140" s="96">
        <f t="shared" si="102"/>
        <v>2.7200193423597678</v>
      </c>
      <c r="Z140" s="94">
        <f t="shared" si="77"/>
        <v>11.211861523031736</v>
      </c>
      <c r="AA140" s="94">
        <f t="shared" si="78"/>
        <v>9.8830929881660889</v>
      </c>
      <c r="AB140" s="94">
        <v>0</v>
      </c>
      <c r="AC140" s="94">
        <f t="shared" si="103"/>
        <v>0.19535105402547545</v>
      </c>
      <c r="AD140" s="97">
        <f t="shared" si="114"/>
        <v>0.19535105402547545</v>
      </c>
      <c r="AE140" s="96">
        <f t="shared" si="123"/>
        <v>6.1574074074074083</v>
      </c>
      <c r="AF140" s="94">
        <f t="shared" si="115"/>
        <v>7.8132710424610936</v>
      </c>
      <c r="AG140" s="94">
        <f t="shared" si="104"/>
        <v>0.5372153985700574</v>
      </c>
      <c r="AH140" s="94">
        <f t="shared" si="105"/>
        <v>1.0221247469794039</v>
      </c>
      <c r="AI140" s="97">
        <f t="shared" si="116"/>
        <v>1.5593401455494613</v>
      </c>
      <c r="AJ140" s="96">
        <f t="shared" si="117"/>
        <v>3.6944444444444446</v>
      </c>
      <c r="AK140" s="94">
        <f t="shared" si="106"/>
        <v>6.0521337253712968</v>
      </c>
      <c r="AL140" s="94">
        <f t="shared" si="107"/>
        <v>0.3223292391420346</v>
      </c>
      <c r="AM140" s="94">
        <f t="shared" si="118"/>
        <v>0.36009600000000008</v>
      </c>
      <c r="AN140" s="237">
        <f t="shared" si="108"/>
        <v>7.8931505122143419E-2</v>
      </c>
      <c r="AO140" s="97">
        <f t="shared" si="119"/>
        <v>0.7613567442641781</v>
      </c>
      <c r="AP140" s="96">
        <f t="shared" si="109"/>
        <v>0.29302658103821316</v>
      </c>
      <c r="AQ140" s="257">
        <f t="shared" si="110"/>
        <v>0.19535105402547545</v>
      </c>
      <c r="AR140" s="257">
        <f t="shared" si="111"/>
        <v>0.24041576743369195</v>
      </c>
      <c r="AS140" s="94">
        <f t="shared" si="112"/>
        <v>4.3999999999999997E-2</v>
      </c>
      <c r="AT140" s="97">
        <f t="shared" si="113"/>
        <v>2.9699999999999997E-5</v>
      </c>
      <c r="AU140" s="96">
        <f t="shared" si="120"/>
        <v>3.288871046336495</v>
      </c>
      <c r="AV140" s="94">
        <f t="shared" si="121"/>
        <v>88.666666666666671</v>
      </c>
      <c r="AW140" s="97">
        <f t="shared" si="122"/>
        <v>96.423411652921658</v>
      </c>
    </row>
    <row r="141" spans="17:49" x14ac:dyDescent="0.3">
      <c r="Q141" s="32">
        <v>134</v>
      </c>
      <c r="R141" s="96">
        <f t="shared" si="96"/>
        <v>24</v>
      </c>
      <c r="S141" s="94">
        <f t="shared" si="97"/>
        <v>3.7222222222222223</v>
      </c>
      <c r="T141" s="94">
        <f t="shared" si="98"/>
        <v>9</v>
      </c>
      <c r="U141" s="97">
        <f t="shared" si="99"/>
        <v>9.9259259259259274</v>
      </c>
      <c r="V141" s="96">
        <f>IF(Variable_Management!$B$20=3,2,IF((S141*R141/T141)&lt;((T141*(1-(T141/R141)))/(2*Lm*Fsw)),1,2))</f>
        <v>2</v>
      </c>
      <c r="W141" s="94">
        <f t="shared" si="100"/>
        <v>0.625</v>
      </c>
      <c r="X141" s="97">
        <f t="shared" si="101"/>
        <v>0.375</v>
      </c>
      <c r="Y141" s="96">
        <f t="shared" si="102"/>
        <v>2.7200193423597678</v>
      </c>
      <c r="Z141" s="94">
        <f t="shared" si="77"/>
        <v>11.285935597105812</v>
      </c>
      <c r="AA141" s="94">
        <f t="shared" si="78"/>
        <v>9.9569346482172616</v>
      </c>
      <c r="AB141" s="94">
        <v>0</v>
      </c>
      <c r="AC141" s="94">
        <f t="shared" si="103"/>
        <v>0.19828109517773881</v>
      </c>
      <c r="AD141" s="97">
        <f t="shared" si="114"/>
        <v>0.19828109517773881</v>
      </c>
      <c r="AE141" s="96">
        <f t="shared" si="123"/>
        <v>6.2037037037037042</v>
      </c>
      <c r="AF141" s="94">
        <f t="shared" si="115"/>
        <v>7.8716480004534874</v>
      </c>
      <c r="AG141" s="94">
        <f t="shared" si="104"/>
        <v>0.54527301173878184</v>
      </c>
      <c r="AH141" s="94">
        <f t="shared" si="105"/>
        <v>1.0298098954529331</v>
      </c>
      <c r="AI141" s="97">
        <f t="shared" si="116"/>
        <v>1.575082907191715</v>
      </c>
      <c r="AJ141" s="96">
        <f t="shared" si="117"/>
        <v>3.7222222222222228</v>
      </c>
      <c r="AK141" s="94">
        <f t="shared" si="106"/>
        <v>6.0973523225926538</v>
      </c>
      <c r="AL141" s="94">
        <f t="shared" si="107"/>
        <v>0.32716380704326908</v>
      </c>
      <c r="AM141" s="94">
        <f t="shared" si="118"/>
        <v>0.36009600000000008</v>
      </c>
      <c r="AN141" s="237">
        <f t="shared" si="108"/>
        <v>7.9452986603624917E-2</v>
      </c>
      <c r="AO141" s="97">
        <f t="shared" si="119"/>
        <v>0.76671279364689404</v>
      </c>
      <c r="AP141" s="96">
        <f t="shared" si="109"/>
        <v>0.29742164276660826</v>
      </c>
      <c r="AQ141" s="257">
        <f t="shared" si="110"/>
        <v>0.19828109517773881</v>
      </c>
      <c r="AR141" s="257">
        <f t="shared" si="111"/>
        <v>0.24041576743369195</v>
      </c>
      <c r="AS141" s="94">
        <f t="shared" si="112"/>
        <v>4.3999999999999997E-2</v>
      </c>
      <c r="AT141" s="97">
        <f t="shared" si="113"/>
        <v>2.9699999999999997E-5</v>
      </c>
      <c r="AU141" s="96">
        <f t="shared" si="120"/>
        <v>3.3202250013943866</v>
      </c>
      <c r="AV141" s="94">
        <f t="shared" si="121"/>
        <v>89.333333333333343</v>
      </c>
      <c r="AW141" s="97">
        <f t="shared" si="122"/>
        <v>96.416516471607622</v>
      </c>
    </row>
    <row r="142" spans="17:49" x14ac:dyDescent="0.3">
      <c r="Q142" s="32">
        <v>135</v>
      </c>
      <c r="R142" s="96">
        <f t="shared" si="96"/>
        <v>24</v>
      </c>
      <c r="S142" s="94">
        <f t="shared" si="97"/>
        <v>3.7500000000000004</v>
      </c>
      <c r="T142" s="94">
        <f t="shared" si="98"/>
        <v>9</v>
      </c>
      <c r="U142" s="97">
        <f t="shared" si="99"/>
        <v>10.000000000000002</v>
      </c>
      <c r="V142" s="96">
        <f>IF(Variable_Management!$B$20=3,2,IF((S142*R142/T142)&lt;((T142*(1-(T142/R142)))/(2*Lm*Fsw)),1,2))</f>
        <v>2</v>
      </c>
      <c r="W142" s="94">
        <f t="shared" si="100"/>
        <v>0.625</v>
      </c>
      <c r="X142" s="97">
        <f t="shared" si="101"/>
        <v>0.375</v>
      </c>
      <c r="Y142" s="96">
        <f t="shared" si="102"/>
        <v>2.7200193423597678</v>
      </c>
      <c r="Z142" s="94">
        <f t="shared" si="77"/>
        <v>11.360009671179885</v>
      </c>
      <c r="AA142" s="94">
        <f t="shared" si="78"/>
        <v>10.030779735489208</v>
      </c>
      <c r="AB142" s="94">
        <v>0</v>
      </c>
      <c r="AC142" s="94">
        <f t="shared" si="103"/>
        <v>0.2012330842038019</v>
      </c>
      <c r="AD142" s="97">
        <f t="shared" si="114"/>
        <v>0.2012330842038019</v>
      </c>
      <c r="AE142" s="96">
        <f t="shared" si="123"/>
        <v>6.2500000000000009</v>
      </c>
      <c r="AF142" s="94">
        <f t="shared" si="115"/>
        <v>7.9300276679018022</v>
      </c>
      <c r="AG142" s="94">
        <f t="shared" si="104"/>
        <v>0.5533909815604553</v>
      </c>
      <c r="AH142" s="94">
        <f t="shared" si="105"/>
        <v>1.0374950439264627</v>
      </c>
      <c r="AI142" s="97">
        <f t="shared" si="116"/>
        <v>1.5908860254869182</v>
      </c>
      <c r="AJ142" s="96">
        <f t="shared" si="117"/>
        <v>3.7500000000000009</v>
      </c>
      <c r="AK142" s="94">
        <f t="shared" si="106"/>
        <v>6.1425730185495446</v>
      </c>
      <c r="AL142" s="94">
        <f t="shared" si="107"/>
        <v>0.33203458893627324</v>
      </c>
      <c r="AM142" s="94">
        <f t="shared" si="118"/>
        <v>0.36009600000000008</v>
      </c>
      <c r="AN142" s="237">
        <f t="shared" si="108"/>
        <v>7.9974468085106387E-2</v>
      </c>
      <c r="AO142" s="97">
        <f t="shared" si="119"/>
        <v>0.77210505702137966</v>
      </c>
      <c r="AP142" s="96">
        <f t="shared" si="109"/>
        <v>0.30184962630570283</v>
      </c>
      <c r="AQ142" s="257">
        <f t="shared" si="110"/>
        <v>0.2012330842038019</v>
      </c>
      <c r="AR142" s="257">
        <f t="shared" si="111"/>
        <v>0.24041576743369195</v>
      </c>
      <c r="AS142" s="94">
        <f t="shared" si="112"/>
        <v>4.3999999999999997E-2</v>
      </c>
      <c r="AT142" s="97">
        <f t="shared" si="113"/>
        <v>2.9699999999999997E-5</v>
      </c>
      <c r="AU142" s="96">
        <f t="shared" si="120"/>
        <v>3.3517523446552961</v>
      </c>
      <c r="AV142" s="94">
        <f t="shared" si="121"/>
        <v>90.000000000000014</v>
      </c>
      <c r="AW142" s="97">
        <f t="shared" si="122"/>
        <v>96.409545337423765</v>
      </c>
    </row>
    <row r="143" spans="17:49" x14ac:dyDescent="0.3">
      <c r="Q143" s="32">
        <v>136</v>
      </c>
      <c r="R143" s="96">
        <f t="shared" si="96"/>
        <v>24</v>
      </c>
      <c r="S143" s="94">
        <f t="shared" si="97"/>
        <v>3.7777777777777781</v>
      </c>
      <c r="T143" s="94">
        <f t="shared" si="98"/>
        <v>9</v>
      </c>
      <c r="U143" s="97">
        <f t="shared" si="99"/>
        <v>10.074074074074074</v>
      </c>
      <c r="V143" s="96">
        <f>IF(Variable_Management!$B$20=3,2,IF((S143*R143/T143)&lt;((T143*(1-(T143/R143)))/(2*Lm*Fsw)),1,2))</f>
        <v>2</v>
      </c>
      <c r="W143" s="94">
        <f t="shared" si="100"/>
        <v>0.625</v>
      </c>
      <c r="X143" s="97">
        <f t="shared" si="101"/>
        <v>0.375</v>
      </c>
      <c r="Y143" s="96">
        <f t="shared" si="102"/>
        <v>2.7200193423597678</v>
      </c>
      <c r="Z143" s="94">
        <f t="shared" si="77"/>
        <v>11.434083745253957</v>
      </c>
      <c r="AA143" s="94">
        <f t="shared" si="78"/>
        <v>10.104628174843068</v>
      </c>
      <c r="AB143" s="94">
        <v>0</v>
      </c>
      <c r="AC143" s="94">
        <f t="shared" si="103"/>
        <v>0.20420702110366473</v>
      </c>
      <c r="AD143" s="97">
        <f t="shared" si="114"/>
        <v>0.20420702110366473</v>
      </c>
      <c r="AE143" s="96">
        <f t="shared" si="123"/>
        <v>6.2962962962962967</v>
      </c>
      <c r="AF143" s="94">
        <f t="shared" si="115"/>
        <v>7.9884099854035542</v>
      </c>
      <c r="AG143" s="94">
        <f t="shared" si="104"/>
        <v>0.56156930803507787</v>
      </c>
      <c r="AH143" s="94">
        <f t="shared" si="105"/>
        <v>1.0451801923999917</v>
      </c>
      <c r="AI143" s="97">
        <f t="shared" si="116"/>
        <v>1.6067495004350696</v>
      </c>
      <c r="AJ143" s="96">
        <f t="shared" si="117"/>
        <v>3.7777777777777777</v>
      </c>
      <c r="AK143" s="94">
        <f t="shared" si="106"/>
        <v>6.1877957672289998</v>
      </c>
      <c r="AL143" s="94">
        <f t="shared" si="107"/>
        <v>0.33694158482104675</v>
      </c>
      <c r="AM143" s="94">
        <f t="shared" si="118"/>
        <v>0.36009600000000008</v>
      </c>
      <c r="AN143" s="237">
        <f t="shared" si="108"/>
        <v>8.0495949566587857E-2</v>
      </c>
      <c r="AO143" s="97">
        <f t="shared" si="119"/>
        <v>0.77753353438763473</v>
      </c>
      <c r="AP143" s="96">
        <f t="shared" si="109"/>
        <v>0.3063105316554971</v>
      </c>
      <c r="AQ143" s="257">
        <f t="shared" si="110"/>
        <v>0.20420702110366473</v>
      </c>
      <c r="AR143" s="257">
        <f t="shared" si="111"/>
        <v>0.24041576743369195</v>
      </c>
      <c r="AS143" s="94">
        <f t="shared" si="112"/>
        <v>4.3999999999999997E-2</v>
      </c>
      <c r="AT143" s="97">
        <f t="shared" si="113"/>
        <v>2.9699999999999997E-5</v>
      </c>
      <c r="AU143" s="96">
        <f t="shared" si="120"/>
        <v>3.3834530761192227</v>
      </c>
      <c r="AV143" s="94">
        <f t="shared" si="121"/>
        <v>90.666666666666671</v>
      </c>
      <c r="AW143" s="97">
        <f t="shared" si="122"/>
        <v>96.402499980465208</v>
      </c>
    </row>
    <row r="144" spans="17:49" x14ac:dyDescent="0.3">
      <c r="Q144" s="32">
        <v>137</v>
      </c>
      <c r="R144" s="96">
        <f t="shared" si="96"/>
        <v>24</v>
      </c>
      <c r="S144" s="94">
        <f t="shared" si="97"/>
        <v>3.8055555555555558</v>
      </c>
      <c r="T144" s="94">
        <f t="shared" si="98"/>
        <v>9</v>
      </c>
      <c r="U144" s="97">
        <f t="shared" si="99"/>
        <v>10.148148148148149</v>
      </c>
      <c r="V144" s="96">
        <f>IF(Variable_Management!$B$20=3,2,IF((S144*R144/T144)&lt;((T144*(1-(T144/R144)))/(2*Lm*Fsw)),1,2))</f>
        <v>2</v>
      </c>
      <c r="W144" s="94">
        <f t="shared" si="100"/>
        <v>0.625</v>
      </c>
      <c r="X144" s="97">
        <f t="shared" si="101"/>
        <v>0.375</v>
      </c>
      <c r="Y144" s="96">
        <f t="shared" si="102"/>
        <v>2.7200193423597678</v>
      </c>
      <c r="Z144" s="94">
        <f t="shared" ref="Z144:Z157" si="124">CHOOSE(V144,Y144,U144+(0.5*Y144))</f>
        <v>11.508157819328034</v>
      </c>
      <c r="AA144" s="94">
        <f t="shared" ref="AA144:AA157" si="125">CHOOSE(V144,Z144*SQRT((W144+X144)/3),SQRT((U144^2)+((Y144^2)/12)))</f>
        <v>10.178479893317256</v>
      </c>
      <c r="AB144" s="94">
        <v>0</v>
      </c>
      <c r="AC144" s="94">
        <f t="shared" si="103"/>
        <v>0.20720290587732731</v>
      </c>
      <c r="AD144" s="97">
        <f t="shared" si="114"/>
        <v>0.20720290587732731</v>
      </c>
      <c r="AE144" s="96">
        <f t="shared" si="123"/>
        <v>6.3425925925925934</v>
      </c>
      <c r="AF144" s="94">
        <f t="shared" si="115"/>
        <v>8.0467948952775465</v>
      </c>
      <c r="AG144" s="94">
        <f t="shared" si="104"/>
        <v>0.56980799116265013</v>
      </c>
      <c r="AH144" s="94">
        <f t="shared" si="105"/>
        <v>1.0528653408735211</v>
      </c>
      <c r="AI144" s="97">
        <f t="shared" si="116"/>
        <v>1.6226733320361713</v>
      </c>
      <c r="AJ144" s="96">
        <f t="shared" si="117"/>
        <v>3.8055555555555558</v>
      </c>
      <c r="AK144" s="94">
        <f t="shared" si="106"/>
        <v>6.2330205239513594</v>
      </c>
      <c r="AL144" s="94">
        <f t="shared" si="107"/>
        <v>0.34188479469759014</v>
      </c>
      <c r="AM144" s="94">
        <f t="shared" si="118"/>
        <v>0.36009600000000008</v>
      </c>
      <c r="AN144" s="237">
        <f t="shared" si="108"/>
        <v>8.1017431048069355E-2</v>
      </c>
      <c r="AO144" s="97">
        <f t="shared" si="119"/>
        <v>0.78299822574565958</v>
      </c>
      <c r="AP144" s="96">
        <f t="shared" si="109"/>
        <v>0.310804358815991</v>
      </c>
      <c r="AQ144" s="257">
        <f t="shared" si="110"/>
        <v>0.20720290587732731</v>
      </c>
      <c r="AR144" s="257">
        <f t="shared" si="111"/>
        <v>0.24041576743369195</v>
      </c>
      <c r="AS144" s="94">
        <f t="shared" si="112"/>
        <v>4.3999999999999997E-2</v>
      </c>
      <c r="AT144" s="97">
        <f t="shared" si="113"/>
        <v>2.9699999999999997E-5</v>
      </c>
      <c r="AU144" s="96">
        <f t="shared" si="120"/>
        <v>3.4153271957861682</v>
      </c>
      <c r="AV144" s="94">
        <f t="shared" si="121"/>
        <v>91.333333333333343</v>
      </c>
      <c r="AW144" s="97">
        <f t="shared" si="122"/>
        <v>96.395382080640061</v>
      </c>
    </row>
    <row r="145" spans="17:49" x14ac:dyDescent="0.3">
      <c r="Q145" s="32">
        <v>138</v>
      </c>
      <c r="R145" s="96">
        <f t="shared" si="96"/>
        <v>24</v>
      </c>
      <c r="S145" s="94">
        <f t="shared" si="97"/>
        <v>3.8333333333333335</v>
      </c>
      <c r="T145" s="94">
        <f t="shared" si="98"/>
        <v>9</v>
      </c>
      <c r="U145" s="97">
        <f t="shared" si="99"/>
        <v>10.222222222222221</v>
      </c>
      <c r="V145" s="96">
        <f>IF(Variable_Management!$B$20=3,2,IF((S145*R145/T145)&lt;((T145*(1-(T145/R145)))/(2*Lm*Fsw)),1,2))</f>
        <v>2</v>
      </c>
      <c r="W145" s="94">
        <f t="shared" si="100"/>
        <v>0.625</v>
      </c>
      <c r="X145" s="97">
        <f t="shared" si="101"/>
        <v>0.375</v>
      </c>
      <c r="Y145" s="96">
        <f t="shared" si="102"/>
        <v>2.7200193423597678</v>
      </c>
      <c r="Z145" s="94">
        <f t="shared" si="124"/>
        <v>11.582231893402106</v>
      </c>
      <c r="AA145" s="94">
        <f t="shared" si="125"/>
        <v>10.252334820049272</v>
      </c>
      <c r="AB145" s="94">
        <v>0</v>
      </c>
      <c r="AC145" s="94">
        <f t="shared" si="103"/>
        <v>0.21022073852478948</v>
      </c>
      <c r="AD145" s="97">
        <f t="shared" si="114"/>
        <v>0.21022073852478948</v>
      </c>
      <c r="AE145" s="96">
        <f t="shared" si="123"/>
        <v>6.3888888888888884</v>
      </c>
      <c r="AF145" s="94">
        <f t="shared" si="115"/>
        <v>8.1051823415020543</v>
      </c>
      <c r="AG145" s="94">
        <f t="shared" si="104"/>
        <v>0.57810703094317117</v>
      </c>
      <c r="AH145" s="94">
        <f t="shared" si="105"/>
        <v>1.0605504893470503</v>
      </c>
      <c r="AI145" s="97">
        <f t="shared" si="116"/>
        <v>1.6386575202902214</v>
      </c>
      <c r="AJ145" s="96">
        <f t="shared" si="117"/>
        <v>3.833333333333333</v>
      </c>
      <c r="AK145" s="94">
        <f t="shared" si="106"/>
        <v>6.2782472453223788</v>
      </c>
      <c r="AL145" s="94">
        <f t="shared" si="107"/>
        <v>0.34686421856590277</v>
      </c>
      <c r="AM145" s="94">
        <f t="shared" si="118"/>
        <v>0.36009600000000008</v>
      </c>
      <c r="AN145" s="237">
        <f t="shared" si="108"/>
        <v>8.1538912529550825E-2</v>
      </c>
      <c r="AO145" s="97">
        <f t="shared" si="119"/>
        <v>0.78849913109545366</v>
      </c>
      <c r="AP145" s="96">
        <f t="shared" si="109"/>
        <v>0.31533110778718421</v>
      </c>
      <c r="AQ145" s="257">
        <f t="shared" si="110"/>
        <v>0.21022073852478948</v>
      </c>
      <c r="AR145" s="257">
        <f t="shared" si="111"/>
        <v>0.24041576743369195</v>
      </c>
      <c r="AS145" s="94">
        <f t="shared" si="112"/>
        <v>4.3999999999999997E-2</v>
      </c>
      <c r="AT145" s="97">
        <f t="shared" si="113"/>
        <v>2.9699999999999997E-5</v>
      </c>
      <c r="AU145" s="96">
        <f t="shared" si="120"/>
        <v>3.4473747036561297</v>
      </c>
      <c r="AV145" s="94">
        <f t="shared" si="121"/>
        <v>92</v>
      </c>
      <c r="AW145" s="97">
        <f t="shared" si="122"/>
        <v>96.388193269474939</v>
      </c>
    </row>
    <row r="146" spans="17:49" x14ac:dyDescent="0.3">
      <c r="Q146" s="32">
        <v>139</v>
      </c>
      <c r="R146" s="96">
        <f t="shared" si="96"/>
        <v>24</v>
      </c>
      <c r="S146" s="94">
        <f t="shared" si="97"/>
        <v>3.8611111111111112</v>
      </c>
      <c r="T146" s="94">
        <f t="shared" si="98"/>
        <v>9</v>
      </c>
      <c r="U146" s="97">
        <f t="shared" si="99"/>
        <v>10.296296296296298</v>
      </c>
      <c r="V146" s="96">
        <f>IF(Variable_Management!$B$20=3,2,IF((S146*R146/T146)&lt;((T146*(1-(T146/R146)))/(2*Lm*Fsw)),1,2))</f>
        <v>2</v>
      </c>
      <c r="W146" s="94">
        <f t="shared" si="100"/>
        <v>0.625</v>
      </c>
      <c r="X146" s="97">
        <f t="shared" si="101"/>
        <v>0.375</v>
      </c>
      <c r="Y146" s="96">
        <f t="shared" si="102"/>
        <v>2.7200193423597678</v>
      </c>
      <c r="Z146" s="94">
        <f t="shared" si="124"/>
        <v>11.656305967476182</v>
      </c>
      <c r="AA146" s="94">
        <f t="shared" si="125"/>
        <v>10.326192886200886</v>
      </c>
      <c r="AB146" s="94">
        <v>0</v>
      </c>
      <c r="AC146" s="94">
        <f t="shared" si="103"/>
        <v>0.21326051904605156</v>
      </c>
      <c r="AD146" s="97">
        <f t="shared" si="114"/>
        <v>0.21326051904605156</v>
      </c>
      <c r="AE146" s="96">
        <f t="shared" si="123"/>
        <v>6.435185185185186</v>
      </c>
      <c r="AF146" s="94">
        <f t="shared" si="115"/>
        <v>8.1635722696556776</v>
      </c>
      <c r="AG146" s="94">
        <f t="shared" si="104"/>
        <v>0.58646642737664223</v>
      </c>
      <c r="AH146" s="94">
        <f t="shared" si="105"/>
        <v>1.06823563782058</v>
      </c>
      <c r="AI146" s="97">
        <f t="shared" si="116"/>
        <v>1.6547020651972222</v>
      </c>
      <c r="AJ146" s="96">
        <f t="shared" si="117"/>
        <v>3.8611111111111116</v>
      </c>
      <c r="AK146" s="94">
        <f t="shared" si="106"/>
        <v>6.3234758891874243</v>
      </c>
      <c r="AL146" s="94">
        <f t="shared" si="107"/>
        <v>0.35187985642598529</v>
      </c>
      <c r="AM146" s="94">
        <f t="shared" si="118"/>
        <v>0.36009600000000008</v>
      </c>
      <c r="AN146" s="237">
        <f t="shared" si="108"/>
        <v>8.2060394011032323E-2</v>
      </c>
      <c r="AO146" s="97">
        <f t="shared" si="119"/>
        <v>0.79403625043701775</v>
      </c>
      <c r="AP146" s="96">
        <f t="shared" si="109"/>
        <v>0.31989077856907738</v>
      </c>
      <c r="AQ146" s="257">
        <f t="shared" si="110"/>
        <v>0.21326051904605156</v>
      </c>
      <c r="AR146" s="257">
        <f t="shared" si="111"/>
        <v>0.24041576743369195</v>
      </c>
      <c r="AS146" s="94">
        <f t="shared" si="112"/>
        <v>4.3999999999999997E-2</v>
      </c>
      <c r="AT146" s="97">
        <f t="shared" si="113"/>
        <v>2.9699999999999997E-5</v>
      </c>
      <c r="AU146" s="96">
        <f t="shared" si="120"/>
        <v>3.4795955997291119</v>
      </c>
      <c r="AV146" s="94">
        <f t="shared" si="121"/>
        <v>92.666666666666671</v>
      </c>
      <c r="AW146" s="97">
        <f t="shared" si="122"/>
        <v>96.380935131843117</v>
      </c>
    </row>
    <row r="147" spans="17:49" x14ac:dyDescent="0.3">
      <c r="Q147" s="32">
        <v>140</v>
      </c>
      <c r="R147" s="96">
        <f t="shared" si="96"/>
        <v>24</v>
      </c>
      <c r="S147" s="94">
        <f t="shared" si="97"/>
        <v>3.8888888888888893</v>
      </c>
      <c r="T147" s="94">
        <f t="shared" si="98"/>
        <v>9</v>
      </c>
      <c r="U147" s="97">
        <f t="shared" si="99"/>
        <v>10.370370370370372</v>
      </c>
      <c r="V147" s="96">
        <f>IF(Variable_Management!$B$20=3,2,IF((S147*R147/T147)&lt;((T147*(1-(T147/R147)))/(2*Lm*Fsw)),1,2))</f>
        <v>2</v>
      </c>
      <c r="W147" s="94">
        <f t="shared" si="100"/>
        <v>0.625</v>
      </c>
      <c r="X147" s="97">
        <f t="shared" si="101"/>
        <v>0.375</v>
      </c>
      <c r="Y147" s="96">
        <f t="shared" si="102"/>
        <v>2.7200193423597678</v>
      </c>
      <c r="Z147" s="94">
        <f t="shared" si="124"/>
        <v>11.730380041550255</v>
      </c>
      <c r="AA147" s="94">
        <f t="shared" si="125"/>
        <v>10.40005402488644</v>
      </c>
      <c r="AB147" s="94">
        <v>0</v>
      </c>
      <c r="AC147" s="94">
        <f t="shared" si="103"/>
        <v>0.21632224744111331</v>
      </c>
      <c r="AD147" s="97">
        <f t="shared" si="114"/>
        <v>0.21632224744111331</v>
      </c>
      <c r="AE147" s="96">
        <f t="shared" si="123"/>
        <v>6.4814814814814827</v>
      </c>
      <c r="AF147" s="94">
        <f t="shared" si="115"/>
        <v>8.2219646268606574</v>
      </c>
      <c r="AG147" s="94">
        <f t="shared" si="104"/>
        <v>0.59488618046306163</v>
      </c>
      <c r="AH147" s="94">
        <f t="shared" si="105"/>
        <v>1.0759207862941091</v>
      </c>
      <c r="AI147" s="97">
        <f t="shared" si="116"/>
        <v>1.6708069667571708</v>
      </c>
      <c r="AJ147" s="96">
        <f t="shared" si="117"/>
        <v>3.8888888888888893</v>
      </c>
      <c r="AK147" s="94">
        <f t="shared" si="106"/>
        <v>6.3687064145875603</v>
      </c>
      <c r="AL147" s="94">
        <f t="shared" si="107"/>
        <v>0.35693170827783688</v>
      </c>
      <c r="AM147" s="94">
        <f t="shared" si="118"/>
        <v>0.36009600000000008</v>
      </c>
      <c r="AN147" s="237">
        <f t="shared" si="108"/>
        <v>8.2581875492513793E-2</v>
      </c>
      <c r="AO147" s="97">
        <f t="shared" si="119"/>
        <v>0.79960958377035074</v>
      </c>
      <c r="AP147" s="96">
        <f t="shared" si="109"/>
        <v>0.32448337116166992</v>
      </c>
      <c r="AQ147" s="257">
        <f t="shared" si="110"/>
        <v>0.21632224744111331</v>
      </c>
      <c r="AR147" s="257">
        <f t="shared" si="111"/>
        <v>0.24041576743369195</v>
      </c>
      <c r="AS147" s="94">
        <f t="shared" si="112"/>
        <v>4.3999999999999997E-2</v>
      </c>
      <c r="AT147" s="97">
        <f t="shared" si="113"/>
        <v>2.9699999999999997E-5</v>
      </c>
      <c r="AU147" s="96">
        <f t="shared" si="120"/>
        <v>3.5119898840051098</v>
      </c>
      <c r="AV147" s="94">
        <f t="shared" si="121"/>
        <v>93.333333333333343</v>
      </c>
      <c r="AW147" s="97">
        <f t="shared" si="122"/>
        <v>96.373609207619083</v>
      </c>
    </row>
    <row r="148" spans="17:49" x14ac:dyDescent="0.3">
      <c r="Q148" s="32">
        <v>141</v>
      </c>
      <c r="R148" s="96">
        <f t="shared" si="96"/>
        <v>24</v>
      </c>
      <c r="S148" s="94">
        <f t="shared" si="97"/>
        <v>3.916666666666667</v>
      </c>
      <c r="T148" s="94">
        <f t="shared" si="98"/>
        <v>9</v>
      </c>
      <c r="U148" s="97">
        <f t="shared" si="99"/>
        <v>10.444444444444445</v>
      </c>
      <c r="V148" s="96">
        <f>IF(Variable_Management!$B$20=3,2,IF((S148*R148/T148)&lt;((T148*(1-(T148/R148)))/(2*Lm*Fsw)),1,2))</f>
        <v>2</v>
      </c>
      <c r="W148" s="94">
        <f t="shared" si="100"/>
        <v>0.625</v>
      </c>
      <c r="X148" s="97">
        <f t="shared" si="101"/>
        <v>0.375</v>
      </c>
      <c r="Y148" s="96">
        <f t="shared" si="102"/>
        <v>2.7200193423597678</v>
      </c>
      <c r="Z148" s="94">
        <f t="shared" si="124"/>
        <v>11.804454115624328</v>
      </c>
      <c r="AA148" s="94">
        <f t="shared" si="125"/>
        <v>10.473918171104229</v>
      </c>
      <c r="AB148" s="94">
        <v>0</v>
      </c>
      <c r="AC148" s="94">
        <f t="shared" si="103"/>
        <v>0.21940592370997469</v>
      </c>
      <c r="AD148" s="97">
        <f t="shared" si="114"/>
        <v>0.21940592370997469</v>
      </c>
      <c r="AE148" s="96">
        <f t="shared" si="123"/>
        <v>6.5277777777777777</v>
      </c>
      <c r="AF148" s="94">
        <f t="shared" si="115"/>
        <v>8.2803593617286388</v>
      </c>
      <c r="AG148" s="94">
        <f t="shared" si="104"/>
        <v>0.6033662902024306</v>
      </c>
      <c r="AH148" s="94">
        <f t="shared" si="105"/>
        <v>1.0836059347676386</v>
      </c>
      <c r="AI148" s="97">
        <f t="shared" si="116"/>
        <v>1.6869722249700692</v>
      </c>
      <c r="AJ148" s="96">
        <f t="shared" si="117"/>
        <v>3.916666666666667</v>
      </c>
      <c r="AK148" s="94">
        <f t="shared" si="106"/>
        <v>6.4139387817175386</v>
      </c>
      <c r="AL148" s="94">
        <f t="shared" si="107"/>
        <v>0.36201977412145836</v>
      </c>
      <c r="AM148" s="94">
        <f t="shared" si="118"/>
        <v>0.36009600000000008</v>
      </c>
      <c r="AN148" s="237">
        <f t="shared" si="108"/>
        <v>8.3103356973995277E-2</v>
      </c>
      <c r="AO148" s="97">
        <f t="shared" si="119"/>
        <v>0.80521913109545373</v>
      </c>
      <c r="AP148" s="96">
        <f t="shared" si="109"/>
        <v>0.32910888556496204</v>
      </c>
      <c r="AQ148" s="257">
        <f t="shared" si="110"/>
        <v>0.21940592370997469</v>
      </c>
      <c r="AR148" s="257">
        <f t="shared" si="111"/>
        <v>0.24041576743369195</v>
      </c>
      <c r="AS148" s="94">
        <f t="shared" si="112"/>
        <v>4.3999999999999997E-2</v>
      </c>
      <c r="AT148" s="97">
        <f t="shared" si="113"/>
        <v>2.9699999999999997E-5</v>
      </c>
      <c r="AU148" s="96">
        <f t="shared" si="120"/>
        <v>3.5445575564841261</v>
      </c>
      <c r="AV148" s="94">
        <f t="shared" si="121"/>
        <v>94</v>
      </c>
      <c r="AW148" s="97">
        <f t="shared" si="122"/>
        <v>96.366216993263194</v>
      </c>
    </row>
    <row r="149" spans="17:49" x14ac:dyDescent="0.3">
      <c r="Q149" s="32">
        <v>142</v>
      </c>
      <c r="R149" s="96">
        <f t="shared" si="96"/>
        <v>24</v>
      </c>
      <c r="S149" s="94">
        <f t="shared" si="97"/>
        <v>3.9444444444444446</v>
      </c>
      <c r="T149" s="94">
        <f t="shared" si="98"/>
        <v>9</v>
      </c>
      <c r="U149" s="97">
        <f t="shared" si="99"/>
        <v>10.518518518518519</v>
      </c>
      <c r="V149" s="96">
        <f>IF(Variable_Management!$B$20=3,2,IF((S149*R149/T149)&lt;((T149*(1-(T149/R149)))/(2*Lm*Fsw)),1,2))</f>
        <v>2</v>
      </c>
      <c r="W149" s="94">
        <f t="shared" si="100"/>
        <v>0.625</v>
      </c>
      <c r="X149" s="97">
        <f t="shared" si="101"/>
        <v>0.375</v>
      </c>
      <c r="Y149" s="96">
        <f t="shared" si="102"/>
        <v>2.7200193423597678</v>
      </c>
      <c r="Z149" s="94">
        <f t="shared" si="124"/>
        <v>11.878528189698404</v>
      </c>
      <c r="AA149" s="94">
        <f t="shared" si="125"/>
        <v>10.547785261670715</v>
      </c>
      <c r="AB149" s="94">
        <v>0</v>
      </c>
      <c r="AC149" s="94">
        <f t="shared" si="103"/>
        <v>0.22251154785263588</v>
      </c>
      <c r="AD149" s="97">
        <f t="shared" si="114"/>
        <v>0.22251154785263588</v>
      </c>
      <c r="AE149" s="96">
        <f t="shared" si="123"/>
        <v>6.5740740740740744</v>
      </c>
      <c r="AF149" s="94">
        <f t="shared" si="115"/>
        <v>8.3387564243086469</v>
      </c>
      <c r="AG149" s="94">
        <f t="shared" si="104"/>
        <v>0.6119067565947488</v>
      </c>
      <c r="AH149" s="94">
        <f t="shared" si="105"/>
        <v>1.091291083241168</v>
      </c>
      <c r="AI149" s="97">
        <f t="shared" si="116"/>
        <v>1.7031978398359167</v>
      </c>
      <c r="AJ149" s="96">
        <f t="shared" si="117"/>
        <v>3.9444444444444446</v>
      </c>
      <c r="AK149" s="94">
        <f t="shared" si="106"/>
        <v>6.4591729518854999</v>
      </c>
      <c r="AL149" s="94">
        <f t="shared" si="107"/>
        <v>0.36714405395684935</v>
      </c>
      <c r="AM149" s="94">
        <f t="shared" si="118"/>
        <v>0.36009600000000008</v>
      </c>
      <c r="AN149" s="237">
        <f t="shared" si="108"/>
        <v>8.362483845547676E-2</v>
      </c>
      <c r="AO149" s="97">
        <f t="shared" si="119"/>
        <v>0.81086489241232618</v>
      </c>
      <c r="AP149" s="96">
        <f t="shared" si="109"/>
        <v>0.33376732177895385</v>
      </c>
      <c r="AQ149" s="257">
        <f t="shared" si="110"/>
        <v>0.22251154785263588</v>
      </c>
      <c r="AR149" s="257">
        <f t="shared" si="111"/>
        <v>0.24041576743369195</v>
      </c>
      <c r="AS149" s="94">
        <f t="shared" si="112"/>
        <v>4.3999999999999997E-2</v>
      </c>
      <c r="AT149" s="97">
        <f t="shared" si="113"/>
        <v>2.9699999999999997E-5</v>
      </c>
      <c r="AU149" s="96">
        <f t="shared" si="120"/>
        <v>3.5772986171661603</v>
      </c>
      <c r="AV149" s="94">
        <f t="shared" si="121"/>
        <v>94.666666666666671</v>
      </c>
      <c r="AW149" s="97">
        <f t="shared" si="122"/>
        <v>96.358759943339905</v>
      </c>
    </row>
    <row r="150" spans="17:49" x14ac:dyDescent="0.3">
      <c r="Q150" s="32">
        <v>143</v>
      </c>
      <c r="R150" s="96">
        <f t="shared" si="96"/>
        <v>24</v>
      </c>
      <c r="S150" s="94">
        <f t="shared" si="97"/>
        <v>3.9722222222222223</v>
      </c>
      <c r="T150" s="94">
        <f t="shared" si="98"/>
        <v>9</v>
      </c>
      <c r="U150" s="97">
        <f t="shared" si="99"/>
        <v>10.592592592592593</v>
      </c>
      <c r="V150" s="96">
        <f>IF(Variable_Management!$B$20=3,2,IF((S150*R150/T150)&lt;((T150*(1-(T150/R150)))/(2*Lm*Fsw)),1,2))</f>
        <v>2</v>
      </c>
      <c r="W150" s="94">
        <f t="shared" si="100"/>
        <v>0.625</v>
      </c>
      <c r="X150" s="97">
        <f t="shared" si="101"/>
        <v>0.375</v>
      </c>
      <c r="Y150" s="96">
        <f t="shared" si="102"/>
        <v>2.7200193423597678</v>
      </c>
      <c r="Z150" s="94">
        <f t="shared" si="124"/>
        <v>11.952602263772476</v>
      </c>
      <c r="AA150" s="94">
        <f t="shared" si="125"/>
        <v>10.621655235157485</v>
      </c>
      <c r="AB150" s="94">
        <v>0</v>
      </c>
      <c r="AC150" s="94">
        <f t="shared" si="103"/>
        <v>0.22563911986909682</v>
      </c>
      <c r="AD150" s="97">
        <f t="shared" si="114"/>
        <v>0.22563911986909682</v>
      </c>
      <c r="AE150" s="96">
        <f t="shared" si="123"/>
        <v>6.6203703703703711</v>
      </c>
      <c r="AF150" s="94">
        <f t="shared" si="115"/>
        <v>8.3971557660372564</v>
      </c>
      <c r="AG150" s="94">
        <f t="shared" si="104"/>
        <v>0.62050757964001624</v>
      </c>
      <c r="AH150" s="94">
        <f t="shared" si="105"/>
        <v>1.0989762317146972</v>
      </c>
      <c r="AI150" s="97">
        <f t="shared" si="116"/>
        <v>1.7194838113547135</v>
      </c>
      <c r="AJ150" s="96">
        <f t="shared" si="117"/>
        <v>3.9722222222222223</v>
      </c>
      <c r="AK150" s="94">
        <f t="shared" si="106"/>
        <v>6.5044088874743764</v>
      </c>
      <c r="AL150" s="94">
        <f t="shared" si="107"/>
        <v>0.37230454778400979</v>
      </c>
      <c r="AM150" s="94">
        <f t="shared" si="118"/>
        <v>0.36009600000000008</v>
      </c>
      <c r="AN150" s="237">
        <f t="shared" si="108"/>
        <v>8.4146319936958244E-2</v>
      </c>
      <c r="AO150" s="97">
        <f t="shared" si="119"/>
        <v>0.81654686772096807</v>
      </c>
      <c r="AP150" s="96">
        <f t="shared" si="109"/>
        <v>0.33845867980364525</v>
      </c>
      <c r="AQ150" s="257">
        <f t="shared" si="110"/>
        <v>0.22563911986909682</v>
      </c>
      <c r="AR150" s="257">
        <f t="shared" si="111"/>
        <v>0.24041576743369195</v>
      </c>
      <c r="AS150" s="94">
        <f t="shared" si="112"/>
        <v>4.3999999999999997E-2</v>
      </c>
      <c r="AT150" s="97">
        <f t="shared" si="113"/>
        <v>2.9699999999999997E-5</v>
      </c>
      <c r="AU150" s="96">
        <f t="shared" si="120"/>
        <v>3.6102130660512124</v>
      </c>
      <c r="AV150" s="94">
        <f t="shared" si="121"/>
        <v>95.333333333333343</v>
      </c>
      <c r="AW150" s="97">
        <f t="shared" si="122"/>
        <v>96.351239471972605</v>
      </c>
    </row>
    <row r="151" spans="17:49" x14ac:dyDescent="0.3">
      <c r="Q151" s="32">
        <v>144</v>
      </c>
      <c r="R151" s="96">
        <f t="shared" si="96"/>
        <v>24</v>
      </c>
      <c r="S151" s="94">
        <f t="shared" si="97"/>
        <v>4</v>
      </c>
      <c r="T151" s="94">
        <f t="shared" si="98"/>
        <v>9</v>
      </c>
      <c r="U151" s="97">
        <f t="shared" si="99"/>
        <v>10.666666666666666</v>
      </c>
      <c r="V151" s="96">
        <f>IF(Variable_Management!$B$20=3,2,IF((S151*R151/T151)&lt;((T151*(1-(T151/R151)))/(2*Lm*Fsw)),1,2))</f>
        <v>2</v>
      </c>
      <c r="W151" s="94">
        <f t="shared" si="100"/>
        <v>0.625</v>
      </c>
      <c r="X151" s="97">
        <f t="shared" si="101"/>
        <v>0.375</v>
      </c>
      <c r="Y151" s="96">
        <f t="shared" si="102"/>
        <v>2.7200193423597678</v>
      </c>
      <c r="Z151" s="94">
        <f t="shared" si="124"/>
        <v>12.026676337846549</v>
      </c>
      <c r="AA151" s="94">
        <f t="shared" si="125"/>
        <v>10.695528031830813</v>
      </c>
      <c r="AB151" s="94">
        <v>0</v>
      </c>
      <c r="AC151" s="94">
        <f t="shared" si="103"/>
        <v>0.22878863975935743</v>
      </c>
      <c r="AD151" s="97">
        <f t="shared" si="114"/>
        <v>0.22878863975935743</v>
      </c>
      <c r="AE151" s="96">
        <f t="shared" si="123"/>
        <v>6.6666666666666661</v>
      </c>
      <c r="AF151" s="94">
        <f t="shared" si="115"/>
        <v>8.455557339690813</v>
      </c>
      <c r="AG151" s="94">
        <f t="shared" si="104"/>
        <v>0.6291687593382328</v>
      </c>
      <c r="AH151" s="94">
        <f t="shared" si="105"/>
        <v>1.1066613801882266</v>
      </c>
      <c r="AI151" s="97">
        <f t="shared" si="116"/>
        <v>1.7358301395264593</v>
      </c>
      <c r="AJ151" s="96">
        <f t="shared" si="117"/>
        <v>4</v>
      </c>
      <c r="AK151" s="94">
        <f t="shared" si="106"/>
        <v>6.5496465519048819</v>
      </c>
      <c r="AL151" s="94">
        <f t="shared" si="107"/>
        <v>0.37750125560293973</v>
      </c>
      <c r="AM151" s="94">
        <f t="shared" si="118"/>
        <v>0.36009600000000008</v>
      </c>
      <c r="AN151" s="237">
        <f t="shared" si="108"/>
        <v>8.4667801418439714E-2</v>
      </c>
      <c r="AO151" s="97">
        <f t="shared" si="119"/>
        <v>0.82226505702137942</v>
      </c>
      <c r="AP151" s="96">
        <f t="shared" si="109"/>
        <v>0.34318295963903611</v>
      </c>
      <c r="AQ151" s="257">
        <f t="shared" si="110"/>
        <v>0.22878863975935743</v>
      </c>
      <c r="AR151" s="257">
        <f t="shared" si="111"/>
        <v>0.24041576743369195</v>
      </c>
      <c r="AS151" s="94">
        <f t="shared" si="112"/>
        <v>4.3999999999999997E-2</v>
      </c>
      <c r="AT151" s="97">
        <f t="shared" si="113"/>
        <v>2.9699999999999997E-5</v>
      </c>
      <c r="AU151" s="96">
        <f t="shared" si="120"/>
        <v>3.6433009031392807</v>
      </c>
      <c r="AV151" s="94">
        <f t="shared" si="121"/>
        <v>96</v>
      </c>
      <c r="AW151" s="97">
        <f t="shared" si="122"/>
        <v>96.343656954238369</v>
      </c>
    </row>
    <row r="152" spans="17:49" x14ac:dyDescent="0.3">
      <c r="Q152" s="32">
        <v>145</v>
      </c>
      <c r="R152" s="96">
        <f t="shared" si="96"/>
        <v>24</v>
      </c>
      <c r="S152" s="94">
        <f t="shared" si="97"/>
        <v>4.0277777777777777</v>
      </c>
      <c r="T152" s="94">
        <f t="shared" si="98"/>
        <v>9</v>
      </c>
      <c r="U152" s="97">
        <f t="shared" si="99"/>
        <v>10.74074074074074</v>
      </c>
      <c r="V152" s="96">
        <f>IF(Variable_Management!$B$20=3,2,IF((S152*R152/T152)&lt;((T152*(1-(T152/R152)))/(2*Lm*Fsw)),1,2))</f>
        <v>2</v>
      </c>
      <c r="W152" s="94">
        <f t="shared" si="100"/>
        <v>0.625</v>
      </c>
      <c r="X152" s="97">
        <f t="shared" si="101"/>
        <v>0.375</v>
      </c>
      <c r="Y152" s="96">
        <f t="shared" si="102"/>
        <v>2.7200193423597678</v>
      </c>
      <c r="Z152" s="94">
        <f t="shared" si="124"/>
        <v>12.100750411920625</v>
      </c>
      <c r="AA152" s="94">
        <f t="shared" si="125"/>
        <v>10.769403593593699</v>
      </c>
      <c r="AB152" s="94">
        <v>0</v>
      </c>
      <c r="AC152" s="94">
        <f t="shared" si="103"/>
        <v>0.23196010752341778</v>
      </c>
      <c r="AD152" s="97">
        <f t="shared" si="114"/>
        <v>0.23196010752341778</v>
      </c>
      <c r="AE152" s="96">
        <f t="shared" si="123"/>
        <v>6.7129629629629628</v>
      </c>
      <c r="AF152" s="94">
        <f t="shared" si="115"/>
        <v>8.5139610993396051</v>
      </c>
      <c r="AG152" s="94">
        <f t="shared" si="104"/>
        <v>0.63789029568939892</v>
      </c>
      <c r="AH152" s="94">
        <f t="shared" si="105"/>
        <v>1.114346528661756</v>
      </c>
      <c r="AI152" s="97">
        <f t="shared" si="116"/>
        <v>1.7522368243511548</v>
      </c>
      <c r="AJ152" s="96">
        <f t="shared" si="117"/>
        <v>4.0277777777777777</v>
      </c>
      <c r="AK152" s="94">
        <f t="shared" si="106"/>
        <v>6.5948859096000163</v>
      </c>
      <c r="AL152" s="94">
        <f t="shared" si="107"/>
        <v>0.38273417741363941</v>
      </c>
      <c r="AM152" s="94">
        <f t="shared" si="118"/>
        <v>0.36009600000000008</v>
      </c>
      <c r="AN152" s="237">
        <f t="shared" si="108"/>
        <v>8.5189282899921198E-2</v>
      </c>
      <c r="AO152" s="97">
        <f t="shared" si="119"/>
        <v>0.82801946031356066</v>
      </c>
      <c r="AP152" s="96">
        <f t="shared" si="109"/>
        <v>0.34794016128512667</v>
      </c>
      <c r="AQ152" s="257">
        <f t="shared" si="110"/>
        <v>0.23196010752341778</v>
      </c>
      <c r="AR152" s="257">
        <f t="shared" si="111"/>
        <v>0.24041576743369195</v>
      </c>
      <c r="AS152" s="94">
        <f t="shared" si="112"/>
        <v>4.3999999999999997E-2</v>
      </c>
      <c r="AT152" s="97">
        <f t="shared" si="113"/>
        <v>2.9699999999999997E-5</v>
      </c>
      <c r="AU152" s="96">
        <f t="shared" si="120"/>
        <v>3.6765621284303691</v>
      </c>
      <c r="AV152" s="94">
        <f t="shared" si="121"/>
        <v>96.666666666666657</v>
      </c>
      <c r="AW152" s="97">
        <f t="shared" si="122"/>
        <v>96.336013727505247</v>
      </c>
    </row>
    <row r="153" spans="17:49" x14ac:dyDescent="0.3">
      <c r="Q153" s="32">
        <v>146</v>
      </c>
      <c r="R153" s="96">
        <f t="shared" si="96"/>
        <v>24</v>
      </c>
      <c r="S153" s="94">
        <f t="shared" si="97"/>
        <v>4.0555555555555562</v>
      </c>
      <c r="T153" s="94">
        <f t="shared" si="98"/>
        <v>9</v>
      </c>
      <c r="U153" s="97">
        <f t="shared" si="99"/>
        <v>10.814814814814817</v>
      </c>
      <c r="V153" s="96">
        <f>IF(Variable_Management!$B$20=3,2,IF((S153*R153/T153)&lt;((T153*(1-(T153/R153)))/(2*Lm*Fsw)),1,2))</f>
        <v>2</v>
      </c>
      <c r="W153" s="94">
        <f t="shared" si="100"/>
        <v>0.625</v>
      </c>
      <c r="X153" s="97">
        <f t="shared" si="101"/>
        <v>0.375</v>
      </c>
      <c r="Y153" s="96">
        <f t="shared" si="102"/>
        <v>2.7200193423597678</v>
      </c>
      <c r="Z153" s="94">
        <f t="shared" si="124"/>
        <v>12.174824485994701</v>
      </c>
      <c r="AA153" s="94">
        <f t="shared" si="125"/>
        <v>10.843281863930263</v>
      </c>
      <c r="AB153" s="94">
        <v>0</v>
      </c>
      <c r="AC153" s="94">
        <f t="shared" si="103"/>
        <v>0.23515352316127794</v>
      </c>
      <c r="AD153" s="97">
        <f t="shared" si="114"/>
        <v>0.23515352316127794</v>
      </c>
      <c r="AE153" s="96">
        <f t="shared" si="123"/>
        <v>6.7592592592592604</v>
      </c>
      <c r="AF153" s="94">
        <f t="shared" si="115"/>
        <v>8.5723670003039061</v>
      </c>
      <c r="AG153" s="94">
        <f t="shared" si="104"/>
        <v>0.64667218869351473</v>
      </c>
      <c r="AH153" s="94">
        <f t="shared" si="105"/>
        <v>1.1220316771352854</v>
      </c>
      <c r="AI153" s="97">
        <f t="shared" si="116"/>
        <v>1.7687038658288001</v>
      </c>
      <c r="AJ153" s="96">
        <f t="shared" si="117"/>
        <v>4.0555555555555562</v>
      </c>
      <c r="AK153" s="94">
        <f t="shared" si="106"/>
        <v>6.6401269259510114</v>
      </c>
      <c r="AL153" s="94">
        <f t="shared" si="107"/>
        <v>0.38800331321610876</v>
      </c>
      <c r="AM153" s="94">
        <f t="shared" si="118"/>
        <v>0.36009600000000008</v>
      </c>
      <c r="AN153" s="237">
        <f t="shared" si="108"/>
        <v>8.5710764381402696E-2</v>
      </c>
      <c r="AO153" s="97">
        <f t="shared" si="119"/>
        <v>0.83381007759751158</v>
      </c>
      <c r="AP153" s="96">
        <f t="shared" si="109"/>
        <v>0.35273028474191692</v>
      </c>
      <c r="AQ153" s="257">
        <f t="shared" si="110"/>
        <v>0.23515352316127794</v>
      </c>
      <c r="AR153" s="257">
        <f t="shared" si="111"/>
        <v>0.24041576743369195</v>
      </c>
      <c r="AS153" s="94">
        <f t="shared" si="112"/>
        <v>4.3999999999999997E-2</v>
      </c>
      <c r="AT153" s="97">
        <f t="shared" si="113"/>
        <v>2.9699999999999997E-5</v>
      </c>
      <c r="AU153" s="96">
        <f t="shared" si="120"/>
        <v>3.7099967419244759</v>
      </c>
      <c r="AV153" s="94">
        <f t="shared" si="121"/>
        <v>97.333333333333343</v>
      </c>
      <c r="AW153" s="97">
        <f t="shared" si="122"/>
        <v>96.32831109271514</v>
      </c>
    </row>
    <row r="154" spans="17:49" x14ac:dyDescent="0.3">
      <c r="Q154" s="32">
        <v>147</v>
      </c>
      <c r="R154" s="96">
        <f t="shared" si="96"/>
        <v>24</v>
      </c>
      <c r="S154" s="94">
        <f t="shared" si="97"/>
        <v>4.0833333333333339</v>
      </c>
      <c r="T154" s="94">
        <f t="shared" si="98"/>
        <v>9</v>
      </c>
      <c r="U154" s="97">
        <f t="shared" si="99"/>
        <v>10.888888888888891</v>
      </c>
      <c r="V154" s="96">
        <f>IF(Variable_Management!$B$20=3,2,IF((S154*R154/T154)&lt;((T154*(1-(T154/R154)))/(2*Lm*Fsw)),1,2))</f>
        <v>2</v>
      </c>
      <c r="W154" s="94">
        <f t="shared" si="100"/>
        <v>0.625</v>
      </c>
      <c r="X154" s="97">
        <f t="shared" si="101"/>
        <v>0.375</v>
      </c>
      <c r="Y154" s="96">
        <f t="shared" si="102"/>
        <v>2.7200193423597678</v>
      </c>
      <c r="Z154" s="94">
        <f t="shared" si="124"/>
        <v>12.248898560068774</v>
      </c>
      <c r="AA154" s="94">
        <f t="shared" si="125"/>
        <v>10.917162787852387</v>
      </c>
      <c r="AB154" s="94">
        <v>0</v>
      </c>
      <c r="AC154" s="94">
        <f t="shared" si="103"/>
        <v>0.23836888667293782</v>
      </c>
      <c r="AD154" s="97">
        <f t="shared" si="114"/>
        <v>0.23836888667293782</v>
      </c>
      <c r="AE154" s="96">
        <f t="shared" si="123"/>
        <v>6.8055555555555571</v>
      </c>
      <c r="AF154" s="94">
        <f t="shared" si="115"/>
        <v>8.6307749991117859</v>
      </c>
      <c r="AG154" s="94">
        <f t="shared" si="104"/>
        <v>0.65551443835057888</v>
      </c>
      <c r="AH154" s="94">
        <f t="shared" si="105"/>
        <v>1.1297168256088148</v>
      </c>
      <c r="AI154" s="97">
        <f t="shared" si="116"/>
        <v>1.7852312639593937</v>
      </c>
      <c r="AJ154" s="96">
        <f t="shared" si="117"/>
        <v>4.0833333333333339</v>
      </c>
      <c r="AK154" s="94">
        <f t="shared" si="106"/>
        <v>6.6853695672846563</v>
      </c>
      <c r="AL154" s="94">
        <f t="shared" si="107"/>
        <v>0.39330866301034734</v>
      </c>
      <c r="AM154" s="94">
        <f t="shared" si="118"/>
        <v>0.36009600000000008</v>
      </c>
      <c r="AN154" s="237">
        <f t="shared" si="108"/>
        <v>8.6232245862884166E-2</v>
      </c>
      <c r="AO154" s="97">
        <f t="shared" si="119"/>
        <v>0.83963690887323161</v>
      </c>
      <c r="AP154" s="96">
        <f t="shared" si="109"/>
        <v>0.3575533300094067</v>
      </c>
      <c r="AQ154" s="257">
        <f t="shared" si="110"/>
        <v>0.23836888667293782</v>
      </c>
      <c r="AR154" s="257">
        <f t="shared" si="111"/>
        <v>0.24041576743369195</v>
      </c>
      <c r="AS154" s="94">
        <f t="shared" si="112"/>
        <v>4.3999999999999997E-2</v>
      </c>
      <c r="AT154" s="97">
        <f t="shared" si="113"/>
        <v>2.9699999999999997E-5</v>
      </c>
      <c r="AU154" s="96">
        <f t="shared" si="120"/>
        <v>3.7436047436215989</v>
      </c>
      <c r="AV154" s="94">
        <f t="shared" si="121"/>
        <v>98.000000000000014</v>
      </c>
      <c r="AW154" s="97">
        <f t="shared" si="122"/>
        <v>96.320550315614511</v>
      </c>
    </row>
    <row r="155" spans="17:49" x14ac:dyDescent="0.3">
      <c r="Q155" s="32">
        <v>148</v>
      </c>
      <c r="R155" s="96">
        <f t="shared" si="96"/>
        <v>24</v>
      </c>
      <c r="S155" s="94">
        <f t="shared" si="97"/>
        <v>4.1111111111111116</v>
      </c>
      <c r="T155" s="94">
        <f t="shared" si="98"/>
        <v>9</v>
      </c>
      <c r="U155" s="97">
        <f t="shared" si="99"/>
        <v>10.962962962962965</v>
      </c>
      <c r="V155" s="96">
        <f>IF(Variable_Management!$B$20=3,2,IF((S155*R155/T155)&lt;((T155*(1-(T155/R155)))/(2*Lm*Fsw)),1,2))</f>
        <v>2</v>
      </c>
      <c r="W155" s="94">
        <f t="shared" si="100"/>
        <v>0.625</v>
      </c>
      <c r="X155" s="97">
        <f t="shared" si="101"/>
        <v>0.375</v>
      </c>
      <c r="Y155" s="96">
        <f t="shared" si="102"/>
        <v>2.7200193423597678</v>
      </c>
      <c r="Z155" s="94">
        <f t="shared" si="124"/>
        <v>12.32297263414285</v>
      </c>
      <c r="AA155" s="94">
        <f t="shared" si="125"/>
        <v>10.991046311848507</v>
      </c>
      <c r="AB155" s="94">
        <v>0</v>
      </c>
      <c r="AC155" s="94">
        <f t="shared" si="103"/>
        <v>0.24160619805839734</v>
      </c>
      <c r="AD155" s="97">
        <f t="shared" si="114"/>
        <v>0.24160619805839734</v>
      </c>
      <c r="AE155" s="96">
        <f t="shared" si="123"/>
        <v>6.851851851851853</v>
      </c>
      <c r="AF155" s="94">
        <f t="shared" si="115"/>
        <v>8.6891850534586492</v>
      </c>
      <c r="AG155" s="94">
        <f t="shared" si="104"/>
        <v>0.66441704466059293</v>
      </c>
      <c r="AH155" s="94">
        <f t="shared" si="105"/>
        <v>1.1374019740823442</v>
      </c>
      <c r="AI155" s="97">
        <f t="shared" si="116"/>
        <v>1.801819018742937</v>
      </c>
      <c r="AJ155" s="96">
        <f t="shared" si="117"/>
        <v>4.1111111111111125</v>
      </c>
      <c r="AK155" s="94">
        <f t="shared" si="106"/>
        <v>6.73061380083195</v>
      </c>
      <c r="AL155" s="94">
        <f t="shared" si="107"/>
        <v>0.3986502267963557</v>
      </c>
      <c r="AM155" s="94">
        <f t="shared" si="118"/>
        <v>0.36009600000000008</v>
      </c>
      <c r="AN155" s="237">
        <f t="shared" si="108"/>
        <v>8.6753727344365664E-2</v>
      </c>
      <c r="AO155" s="97">
        <f t="shared" si="119"/>
        <v>0.84549995414072154</v>
      </c>
      <c r="AP155" s="96">
        <f t="shared" si="109"/>
        <v>0.36240929708759601</v>
      </c>
      <c r="AQ155" s="257">
        <f t="shared" si="110"/>
        <v>0.24160619805839734</v>
      </c>
      <c r="AR155" s="257">
        <f t="shared" si="111"/>
        <v>0.24041576743369195</v>
      </c>
      <c r="AS155" s="94">
        <f t="shared" si="112"/>
        <v>4.3999999999999997E-2</v>
      </c>
      <c r="AT155" s="97">
        <f t="shared" si="113"/>
        <v>2.9699999999999997E-5</v>
      </c>
      <c r="AU155" s="96">
        <f t="shared" si="120"/>
        <v>3.7773861335217407</v>
      </c>
      <c r="AV155" s="94">
        <f t="shared" si="121"/>
        <v>98.666666666666686</v>
      </c>
      <c r="AW155" s="97">
        <f t="shared" si="122"/>
        <v>96.312732627935631</v>
      </c>
    </row>
    <row r="156" spans="17:49" x14ac:dyDescent="0.3">
      <c r="Q156" s="32">
        <v>149</v>
      </c>
      <c r="R156" s="96">
        <f t="shared" si="96"/>
        <v>24</v>
      </c>
      <c r="S156" s="94">
        <f t="shared" si="97"/>
        <v>4.1388888888888893</v>
      </c>
      <c r="T156" s="94">
        <f t="shared" si="98"/>
        <v>9</v>
      </c>
      <c r="U156" s="97">
        <f t="shared" si="99"/>
        <v>11.037037037037038</v>
      </c>
      <c r="V156" s="96">
        <f>IF(Variable_Management!$B$20=3,2,IF((S156*R156/T156)&lt;((T156*(1-(T156/R156)))/(2*Lm*Fsw)),1,2))</f>
        <v>2</v>
      </c>
      <c r="W156" s="94">
        <f t="shared" si="100"/>
        <v>0.625</v>
      </c>
      <c r="X156" s="97">
        <f t="shared" si="101"/>
        <v>0.375</v>
      </c>
      <c r="Y156" s="96">
        <f t="shared" si="102"/>
        <v>2.7200193423597678</v>
      </c>
      <c r="Z156" s="94">
        <f t="shared" si="124"/>
        <v>12.397046708216923</v>
      </c>
      <c r="AA156" s="94">
        <f t="shared" si="125"/>
        <v>11.064932383834448</v>
      </c>
      <c r="AB156" s="94">
        <v>0</v>
      </c>
      <c r="AC156" s="94">
        <f t="shared" si="103"/>
        <v>0.24486545731765655</v>
      </c>
      <c r="AD156" s="97">
        <f t="shared" si="114"/>
        <v>0.24486545731765655</v>
      </c>
      <c r="AE156" s="96">
        <f t="shared" si="123"/>
        <v>6.8981481481481488</v>
      </c>
      <c r="AF156" s="94">
        <f t="shared" si="115"/>
        <v>8.7475971221683313</v>
      </c>
      <c r="AG156" s="94">
        <f t="shared" si="104"/>
        <v>0.67338000762355554</v>
      </c>
      <c r="AH156" s="94">
        <f t="shared" si="105"/>
        <v>1.1450871225558734</v>
      </c>
      <c r="AI156" s="97">
        <f t="shared" si="116"/>
        <v>1.8184671301794291</v>
      </c>
      <c r="AJ156" s="96">
        <f t="shared" si="117"/>
        <v>4.1388888888888893</v>
      </c>
      <c r="AK156" s="94">
        <f t="shared" si="106"/>
        <v>6.7758595946979741</v>
      </c>
      <c r="AL156" s="94">
        <f t="shared" si="107"/>
        <v>0.40402800457413329</v>
      </c>
      <c r="AM156" s="94">
        <f t="shared" si="118"/>
        <v>0.36009600000000008</v>
      </c>
      <c r="AN156" s="237">
        <f t="shared" si="108"/>
        <v>8.7275208825847134E-2</v>
      </c>
      <c r="AO156" s="97">
        <f t="shared" si="119"/>
        <v>0.85139921339998048</v>
      </c>
      <c r="AP156" s="96">
        <f t="shared" si="109"/>
        <v>0.36729818597648484</v>
      </c>
      <c r="AQ156" s="257">
        <f t="shared" si="110"/>
        <v>0.24486545731765655</v>
      </c>
      <c r="AR156" s="257">
        <f t="shared" si="111"/>
        <v>0.24041576743369195</v>
      </c>
      <c r="AS156" s="94">
        <f t="shared" si="112"/>
        <v>4.3999999999999997E-2</v>
      </c>
      <c r="AT156" s="97">
        <f t="shared" si="113"/>
        <v>2.9699999999999997E-5</v>
      </c>
      <c r="AU156" s="96">
        <f t="shared" si="120"/>
        <v>3.8113409116248991</v>
      </c>
      <c r="AV156" s="94">
        <f t="shared" si="121"/>
        <v>99.333333333333343</v>
      </c>
      <c r="AW156" s="97">
        <f t="shared" si="122"/>
        <v>96.304859228530461</v>
      </c>
    </row>
    <row r="157" spans="17:49" ht="15" thickBot="1" x14ac:dyDescent="0.35">
      <c r="Q157" s="32">
        <v>150</v>
      </c>
      <c r="R157" s="98">
        <f t="shared" si="96"/>
        <v>24</v>
      </c>
      <c r="S157" s="99">
        <f t="shared" si="97"/>
        <v>4.166666666666667</v>
      </c>
      <c r="T157" s="99">
        <f t="shared" si="98"/>
        <v>9</v>
      </c>
      <c r="U157" s="100">
        <f t="shared" si="99"/>
        <v>11.111111111111111</v>
      </c>
      <c r="V157" s="96">
        <f>IF(Variable_Management!$B$20=3,2,IF((S157*R157/T157)&lt;((T157*(1-(T157/R157)))/(2*Lm*Fsw)),1,2))</f>
        <v>2</v>
      </c>
      <c r="W157" s="99">
        <f t="shared" si="100"/>
        <v>0.625</v>
      </c>
      <c r="X157" s="97">
        <f t="shared" si="101"/>
        <v>0.375</v>
      </c>
      <c r="Y157" s="98">
        <f t="shared" si="102"/>
        <v>2.7200193423597678</v>
      </c>
      <c r="Z157" s="99">
        <f t="shared" si="124"/>
        <v>12.471120782290996</v>
      </c>
      <c r="AA157" s="99">
        <f t="shared" si="125"/>
        <v>11.138820953106201</v>
      </c>
      <c r="AB157" s="99">
        <v>0</v>
      </c>
      <c r="AC157" s="99">
        <f t="shared" si="103"/>
        <v>0.24814666445071545</v>
      </c>
      <c r="AD157" s="100">
        <f t="shared" si="114"/>
        <v>0.24814666445071545</v>
      </c>
      <c r="AE157" s="98">
        <f t="shared" si="123"/>
        <v>6.9444444444444446</v>
      </c>
      <c r="AF157" s="94">
        <f t="shared" si="115"/>
        <v>8.8060111651557982</v>
      </c>
      <c r="AG157" s="99">
        <f t="shared" si="104"/>
        <v>0.68240332723946751</v>
      </c>
      <c r="AH157" s="99">
        <f t="shared" si="105"/>
        <v>1.1527722710294024</v>
      </c>
      <c r="AI157" s="100">
        <f t="shared" si="116"/>
        <v>1.83517559826887</v>
      </c>
      <c r="AJ157" s="98">
        <f>X157*U157</f>
        <v>4.1666666666666661</v>
      </c>
      <c r="AK157" s="99">
        <f t="shared" si="106"/>
        <v>6.8211069178329966</v>
      </c>
      <c r="AL157" s="94">
        <f t="shared" si="107"/>
        <v>0.40944199634368067</v>
      </c>
      <c r="AM157" s="94">
        <f t="shared" si="118"/>
        <v>0.36009600000000008</v>
      </c>
      <c r="AN157" s="237">
        <f t="shared" si="108"/>
        <v>8.7796690307328618E-2</v>
      </c>
      <c r="AO157" s="97">
        <f t="shared" si="119"/>
        <v>0.85733468665100943</v>
      </c>
      <c r="AP157" s="96">
        <f t="shared" si="109"/>
        <v>0.37221999667607319</v>
      </c>
      <c r="AQ157" s="257">
        <f t="shared" si="110"/>
        <v>0.24814666445071545</v>
      </c>
      <c r="AR157" s="257">
        <f t="shared" si="111"/>
        <v>0.24041576743369195</v>
      </c>
      <c r="AS157" s="94">
        <f t="shared" si="112"/>
        <v>4.3999999999999997E-2</v>
      </c>
      <c r="AT157" s="100">
        <f t="shared" si="113"/>
        <v>2.9699999999999997E-5</v>
      </c>
      <c r="AU157" s="96">
        <f t="shared" si="120"/>
        <v>3.8454690779310754</v>
      </c>
      <c r="AV157" s="99">
        <f t="shared" si="121"/>
        <v>100</v>
      </c>
      <c r="AW157" s="100">
        <f>(AV157/(AV157+AU157))*100</f>
        <v>96.296931284459575</v>
      </c>
    </row>
    <row r="158" spans="17:49" x14ac:dyDescent="0.3">
      <c r="Q158" s="32"/>
    </row>
    <row r="159" spans="17:49" x14ac:dyDescent="0.3">
      <c r="Q159" s="32"/>
    </row>
    <row r="160" spans="17:49" x14ac:dyDescent="0.3">
      <c r="Q160" s="32"/>
    </row>
    <row r="161" spans="17:17" x14ac:dyDescent="0.3">
      <c r="Q161" s="32"/>
    </row>
    <row r="162" spans="17:17" x14ac:dyDescent="0.3">
      <c r="Q162" s="32"/>
    </row>
    <row r="163" spans="17:17" x14ac:dyDescent="0.3">
      <c r="Q163" s="32"/>
    </row>
    <row r="164" spans="17:17" x14ac:dyDescent="0.3">
      <c r="Q164" s="32"/>
    </row>
    <row r="165" spans="17:17" x14ac:dyDescent="0.3">
      <c r="Q165" s="32"/>
    </row>
    <row r="166" spans="17:17" x14ac:dyDescent="0.3">
      <c r="Q166" s="32"/>
    </row>
    <row r="167" spans="17:17" x14ac:dyDescent="0.3">
      <c r="Q167" s="32"/>
    </row>
    <row r="168" spans="17:17" x14ac:dyDescent="0.3">
      <c r="Q168" s="32"/>
    </row>
    <row r="169" spans="17:17" x14ac:dyDescent="0.3">
      <c r="Q169" s="32"/>
    </row>
    <row r="170" spans="17:17" x14ac:dyDescent="0.3">
      <c r="Q170" s="32"/>
    </row>
    <row r="171" spans="17:17" x14ac:dyDescent="0.3">
      <c r="Q171" s="32"/>
    </row>
    <row r="172" spans="17:17" x14ac:dyDescent="0.3">
      <c r="Q172" s="32"/>
    </row>
    <row r="173" spans="17:17" x14ac:dyDescent="0.3">
      <c r="Q173" s="32"/>
    </row>
    <row r="174" spans="17:17" x14ac:dyDescent="0.3">
      <c r="Q174" s="32"/>
    </row>
    <row r="175" spans="17:17" x14ac:dyDescent="0.3">
      <c r="Q175" s="32"/>
    </row>
    <row r="176" spans="17:17" x14ac:dyDescent="0.3">
      <c r="Q176" s="32"/>
    </row>
    <row r="177" spans="17:17" x14ac:dyDescent="0.3">
      <c r="Q177" s="32"/>
    </row>
    <row r="178" spans="17:17" x14ac:dyDescent="0.3">
      <c r="Q178" s="32"/>
    </row>
    <row r="179" spans="17:17" x14ac:dyDescent="0.3">
      <c r="Q179" s="32"/>
    </row>
    <row r="180" spans="17:17" x14ac:dyDescent="0.3">
      <c r="Q180" s="32"/>
    </row>
    <row r="181" spans="17:17" x14ac:dyDescent="0.3">
      <c r="Q181" s="32"/>
    </row>
    <row r="182" spans="17:17" x14ac:dyDescent="0.3">
      <c r="Q182" s="32"/>
    </row>
    <row r="183" spans="17:17" x14ac:dyDescent="0.3">
      <c r="Q183" s="32"/>
    </row>
    <row r="184" spans="17:17" x14ac:dyDescent="0.3">
      <c r="Q184" s="32"/>
    </row>
    <row r="185" spans="17:17" x14ac:dyDescent="0.3">
      <c r="Q185" s="32"/>
    </row>
    <row r="186" spans="17:17" x14ac:dyDescent="0.3">
      <c r="Q186" s="32"/>
    </row>
    <row r="187" spans="17:17" x14ac:dyDescent="0.3">
      <c r="Q187" s="32"/>
    </row>
    <row r="188" spans="17:17" x14ac:dyDescent="0.3">
      <c r="Q188" s="32"/>
    </row>
    <row r="189" spans="17:17" x14ac:dyDescent="0.3">
      <c r="Q189" s="32"/>
    </row>
    <row r="190" spans="17:17" x14ac:dyDescent="0.3">
      <c r="Q190" s="32"/>
    </row>
    <row r="191" spans="17:17" x14ac:dyDescent="0.3">
      <c r="Q191" s="32"/>
    </row>
    <row r="192" spans="17:17" x14ac:dyDescent="0.3">
      <c r="Q192" s="32"/>
    </row>
    <row r="193" spans="17:17" x14ac:dyDescent="0.3">
      <c r="Q193" s="32"/>
    </row>
    <row r="194" spans="17:17" x14ac:dyDescent="0.3">
      <c r="Q194" s="32"/>
    </row>
    <row r="195" spans="17:17" x14ac:dyDescent="0.3">
      <c r="Q195" s="32"/>
    </row>
    <row r="196" spans="17:17" x14ac:dyDescent="0.3">
      <c r="Q196" s="32"/>
    </row>
    <row r="197" spans="17:17" x14ac:dyDescent="0.3">
      <c r="Q197" s="32"/>
    </row>
    <row r="198" spans="17:17" x14ac:dyDescent="0.3">
      <c r="Q198" s="32"/>
    </row>
    <row r="199" spans="17:17" x14ac:dyDescent="0.3">
      <c r="Q199" s="32"/>
    </row>
    <row r="200" spans="17:17" x14ac:dyDescent="0.3">
      <c r="Q200" s="32"/>
    </row>
    <row r="201" spans="17:17" x14ac:dyDescent="0.3">
      <c r="Q201" s="32"/>
    </row>
    <row r="202" spans="17:17" x14ac:dyDescent="0.3">
      <c r="Q202" s="32"/>
    </row>
    <row r="203" spans="17:17" x14ac:dyDescent="0.3">
      <c r="Q203" s="32"/>
    </row>
    <row r="204" spans="17:17" x14ac:dyDescent="0.3">
      <c r="Q204" s="32"/>
    </row>
    <row r="205" spans="17:17" x14ac:dyDescent="0.3">
      <c r="Q205" s="32"/>
    </row>
    <row r="206" spans="17:17" x14ac:dyDescent="0.3">
      <c r="Q206" s="32"/>
    </row>
    <row r="207" spans="17:17" x14ac:dyDescent="0.3">
      <c r="Q207" s="32"/>
    </row>
  </sheetData>
  <mergeCells count="7">
    <mergeCell ref="AP5:AT5"/>
    <mergeCell ref="A1:M1"/>
    <mergeCell ref="R5:U5"/>
    <mergeCell ref="V5:X5"/>
    <mergeCell ref="Y5:AD5"/>
    <mergeCell ref="AE5:AI5"/>
    <mergeCell ref="AJ5:AO5"/>
  </mergeCells>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BM708"/>
  <sheetViews>
    <sheetView zoomScale="85" zoomScaleNormal="85" workbookViewId="0">
      <selection activeCell="M37" sqref="M37"/>
    </sheetView>
  </sheetViews>
  <sheetFormatPr defaultRowHeight="14.4" x14ac:dyDescent="0.3"/>
  <cols>
    <col min="1" max="1" width="18.6640625" customWidth="1"/>
    <col min="2" max="2" width="25" customWidth="1"/>
    <col min="8" max="9" width="8.88671875" style="32"/>
    <col min="10" max="10" width="12.6640625" style="32" bestFit="1" customWidth="1"/>
    <col min="14" max="14" width="17.88671875" customWidth="1"/>
    <col min="15" max="15" width="16.5546875" style="51" bestFit="1" customWidth="1"/>
    <col min="16" max="16" width="16.5546875" customWidth="1"/>
    <col min="29" max="29" width="8.88671875" style="32"/>
    <col min="32" max="37" width="8.6640625" style="32"/>
    <col min="38" max="38" width="11.44140625" style="32" bestFit="1" customWidth="1"/>
    <col min="39" max="40" width="8.6640625" style="32"/>
    <col min="41" max="41" width="13.109375" style="32" bestFit="1" customWidth="1"/>
    <col min="42" max="44" width="8.6640625" style="32"/>
    <col min="46" max="46" width="10.109375" customWidth="1"/>
    <col min="47" max="47" width="12" bestFit="1" customWidth="1"/>
    <col min="55" max="55" width="8.88671875" style="32"/>
    <col min="58" max="58" width="8.88671875" style="32"/>
  </cols>
  <sheetData>
    <row r="1" spans="1:65" s="32" customFormat="1" ht="28.2" x14ac:dyDescent="0.5">
      <c r="A1" s="262" t="s">
        <v>15</v>
      </c>
      <c r="B1" s="262"/>
      <c r="C1" s="262"/>
      <c r="D1" s="262"/>
      <c r="E1" s="262"/>
      <c r="F1" s="262"/>
      <c r="G1" s="262"/>
      <c r="H1" s="262"/>
      <c r="I1" s="262"/>
      <c r="J1" s="262"/>
      <c r="K1" s="262"/>
      <c r="L1" s="262"/>
      <c r="M1" s="262"/>
      <c r="N1" s="262" t="s">
        <v>194</v>
      </c>
      <c r="O1" s="262"/>
      <c r="P1" s="262"/>
      <c r="Q1" s="262"/>
      <c r="R1" s="262"/>
      <c r="S1" s="262"/>
      <c r="T1" s="262"/>
      <c r="U1" s="262"/>
      <c r="V1" s="262"/>
      <c r="W1" s="262"/>
      <c r="X1" s="262"/>
    </row>
    <row r="2" spans="1:65" s="32" customFormat="1" x14ac:dyDescent="0.3">
      <c r="A2" s="12"/>
      <c r="B2" s="12" t="s">
        <v>16</v>
      </c>
      <c r="C2" s="13"/>
      <c r="D2" s="18"/>
      <c r="E2" s="12"/>
      <c r="F2" s="12"/>
      <c r="G2" s="12"/>
      <c r="H2" s="12"/>
      <c r="I2" s="12"/>
      <c r="J2" s="12"/>
      <c r="K2" s="12"/>
      <c r="L2" s="12"/>
      <c r="M2" s="12"/>
    </row>
    <row r="3" spans="1:65" s="32" customFormat="1" ht="15" thickBot="1" x14ac:dyDescent="0.35">
      <c r="A3" s="12"/>
      <c r="B3" s="12" t="s">
        <v>17</v>
      </c>
      <c r="C3" s="14"/>
      <c r="D3" s="18"/>
      <c r="E3" s="12"/>
      <c r="F3" s="24"/>
      <c r="G3" s="25"/>
      <c r="H3" s="25"/>
      <c r="I3" s="25"/>
      <c r="J3" s="25"/>
      <c r="K3" s="39"/>
      <c r="L3" s="12"/>
      <c r="M3" s="12"/>
      <c r="O3" s="32" t="s">
        <v>481</v>
      </c>
    </row>
    <row r="4" spans="1:65" s="32" customFormat="1" ht="15" thickBot="1" x14ac:dyDescent="0.35">
      <c r="A4" s="12"/>
      <c r="B4" s="12" t="s">
        <v>18</v>
      </c>
      <c r="C4" s="15"/>
      <c r="D4" s="18"/>
      <c r="E4" s="12"/>
      <c r="F4" s="24"/>
      <c r="G4" s="25"/>
      <c r="H4" s="25"/>
      <c r="I4" s="25"/>
      <c r="J4" s="25"/>
      <c r="K4" s="39"/>
      <c r="L4" s="12"/>
      <c r="M4" s="12"/>
      <c r="N4" s="221"/>
      <c r="O4" s="90"/>
      <c r="P4" s="273" t="s">
        <v>454</v>
      </c>
      <c r="Q4" s="273"/>
      <c r="R4" s="273"/>
      <c r="S4" s="273"/>
      <c r="T4" s="273"/>
      <c r="U4" s="273"/>
      <c r="V4" s="273"/>
      <c r="W4" s="273"/>
      <c r="X4" s="273"/>
      <c r="Y4" s="273"/>
      <c r="Z4" s="273"/>
      <c r="AA4" s="273"/>
      <c r="AB4" s="273"/>
      <c r="AC4" s="273"/>
      <c r="AD4" s="273"/>
      <c r="AE4" s="274"/>
      <c r="AF4" s="272" t="s">
        <v>571</v>
      </c>
      <c r="AG4" s="273"/>
      <c r="AH4" s="273"/>
      <c r="AI4" s="273"/>
      <c r="AJ4" s="273"/>
      <c r="AK4" s="273"/>
      <c r="AL4" s="273"/>
      <c r="AM4" s="273"/>
      <c r="AN4" s="273"/>
      <c r="AO4" s="273"/>
      <c r="AP4" s="273"/>
      <c r="AQ4" s="273"/>
      <c r="AR4" s="274"/>
      <c r="AS4" s="272" t="s">
        <v>225</v>
      </c>
      <c r="AT4" s="273"/>
      <c r="AU4" s="273"/>
      <c r="AV4" s="273"/>
      <c r="AW4" s="273"/>
      <c r="AX4" s="273"/>
      <c r="AY4" s="273"/>
      <c r="AZ4" s="273"/>
      <c r="BA4" s="273"/>
      <c r="BB4" s="273"/>
      <c r="BC4" s="273"/>
      <c r="BD4" s="273"/>
      <c r="BE4" s="274"/>
      <c r="BF4" s="272" t="s">
        <v>484</v>
      </c>
      <c r="BG4" s="273"/>
      <c r="BH4" s="274"/>
      <c r="BI4" s="272" t="s">
        <v>485</v>
      </c>
      <c r="BJ4" s="273"/>
      <c r="BK4" s="274"/>
      <c r="BL4" s="282" t="s">
        <v>486</v>
      </c>
      <c r="BM4" s="283"/>
    </row>
    <row r="5" spans="1:65" s="32" customFormat="1" ht="15" thickBot="1" x14ac:dyDescent="0.35">
      <c r="A5" s="12"/>
      <c r="D5" s="18"/>
      <c r="E5" s="12"/>
      <c r="F5" s="12"/>
      <c r="G5" s="12"/>
      <c r="H5" s="12"/>
      <c r="I5" s="12"/>
      <c r="J5" s="12"/>
      <c r="K5" s="12"/>
      <c r="L5" s="12"/>
      <c r="M5" s="12"/>
      <c r="N5" s="222"/>
      <c r="O5" s="62"/>
      <c r="P5" s="50"/>
      <c r="Q5" s="278" t="s">
        <v>217</v>
      </c>
      <c r="R5" s="278"/>
      <c r="S5" s="278"/>
      <c r="T5" s="276" t="s">
        <v>219</v>
      </c>
      <c r="U5" s="276"/>
      <c r="V5" s="276"/>
      <c r="W5" s="276" t="s">
        <v>219</v>
      </c>
      <c r="X5" s="276"/>
      <c r="Y5" s="276"/>
      <c r="Z5" s="276" t="s">
        <v>222</v>
      </c>
      <c r="AA5" s="276"/>
      <c r="AB5" s="276"/>
      <c r="AC5" s="275" t="s">
        <v>224</v>
      </c>
      <c r="AD5" s="276"/>
      <c r="AE5" s="277"/>
      <c r="AF5" s="186"/>
      <c r="AG5" s="278" t="s">
        <v>217</v>
      </c>
      <c r="AH5" s="278"/>
      <c r="AI5" s="278"/>
      <c r="AJ5" s="279" t="s">
        <v>219</v>
      </c>
      <c r="AK5" s="279"/>
      <c r="AL5" s="279"/>
      <c r="AM5" s="276" t="s">
        <v>258</v>
      </c>
      <c r="AN5" s="276"/>
      <c r="AO5" s="276"/>
      <c r="AP5" s="280" t="s">
        <v>224</v>
      </c>
      <c r="AQ5" s="279"/>
      <c r="AR5" s="281"/>
      <c r="AS5" s="50"/>
      <c r="AT5" s="276" t="s">
        <v>231</v>
      </c>
      <c r="AU5" s="276"/>
      <c r="AV5" s="276"/>
      <c r="AW5" s="276" t="s">
        <v>232</v>
      </c>
      <c r="AX5" s="276"/>
      <c r="AY5" s="276"/>
      <c r="AZ5" s="276" t="s">
        <v>226</v>
      </c>
      <c r="BA5" s="276"/>
      <c r="BB5" s="276"/>
      <c r="BC5" s="275" t="s">
        <v>224</v>
      </c>
      <c r="BD5" s="276"/>
      <c r="BE5" s="277"/>
      <c r="BF5" s="275" t="s">
        <v>224</v>
      </c>
      <c r="BG5" s="276"/>
      <c r="BH5" s="277"/>
      <c r="BI5" s="275" t="s">
        <v>224</v>
      </c>
      <c r="BJ5" s="276"/>
      <c r="BK5" s="277"/>
      <c r="BL5" s="275" t="s">
        <v>224</v>
      </c>
      <c r="BM5" s="277"/>
    </row>
    <row r="6" spans="1:65" s="32" customFormat="1" ht="15" thickBot="1" x14ac:dyDescent="0.35">
      <c r="A6" s="11" t="s">
        <v>19</v>
      </c>
      <c r="B6" s="11" t="s">
        <v>20</v>
      </c>
      <c r="C6" s="11" t="s">
        <v>21</v>
      </c>
      <c r="D6" s="18"/>
      <c r="E6" s="263" t="s">
        <v>22</v>
      </c>
      <c r="F6" s="263"/>
      <c r="G6" s="263"/>
      <c r="H6" s="263"/>
      <c r="I6" s="263"/>
      <c r="J6" s="263"/>
      <c r="K6" s="263"/>
      <c r="L6" s="36"/>
      <c r="M6" s="26"/>
      <c r="N6" s="222"/>
      <c r="O6" s="62"/>
      <c r="P6" s="88" t="s">
        <v>200</v>
      </c>
      <c r="Q6" s="85" t="s">
        <v>223</v>
      </c>
      <c r="R6" s="87" t="s">
        <v>220</v>
      </c>
      <c r="S6" s="87" t="s">
        <v>221</v>
      </c>
      <c r="T6" s="87" t="s">
        <v>223</v>
      </c>
      <c r="U6" s="87" t="s">
        <v>220</v>
      </c>
      <c r="V6" s="87" t="s">
        <v>221</v>
      </c>
      <c r="W6" s="225" t="s">
        <v>223</v>
      </c>
      <c r="X6" s="87" t="s">
        <v>220</v>
      </c>
      <c r="Y6" s="87" t="s">
        <v>221</v>
      </c>
      <c r="Z6" s="225" t="s">
        <v>223</v>
      </c>
      <c r="AA6" s="225" t="s">
        <v>220</v>
      </c>
      <c r="AB6" s="225" t="s">
        <v>221</v>
      </c>
      <c r="AC6" s="226" t="s">
        <v>235</v>
      </c>
      <c r="AD6" s="225" t="s">
        <v>220</v>
      </c>
      <c r="AE6" s="227" t="s">
        <v>221</v>
      </c>
      <c r="AF6" s="228" t="s">
        <v>200</v>
      </c>
      <c r="AG6" s="229" t="s">
        <v>223</v>
      </c>
      <c r="AH6" s="229" t="s">
        <v>234</v>
      </c>
      <c r="AI6" s="229" t="s">
        <v>221</v>
      </c>
      <c r="AJ6" s="229" t="s">
        <v>223</v>
      </c>
      <c r="AK6" s="229" t="s">
        <v>234</v>
      </c>
      <c r="AL6" s="229" t="s">
        <v>221</v>
      </c>
      <c r="AM6" s="229" t="s">
        <v>223</v>
      </c>
      <c r="AN6" s="229" t="s">
        <v>234</v>
      </c>
      <c r="AO6" s="229" t="s">
        <v>221</v>
      </c>
      <c r="AP6" s="226" t="s">
        <v>235</v>
      </c>
      <c r="AQ6" s="225" t="s">
        <v>220</v>
      </c>
      <c r="AR6" s="227" t="s">
        <v>221</v>
      </c>
      <c r="AS6" s="88" t="s">
        <v>233</v>
      </c>
      <c r="AT6" s="225" t="s">
        <v>223</v>
      </c>
      <c r="AU6" s="225" t="s">
        <v>234</v>
      </c>
      <c r="AV6" s="225" t="s">
        <v>221</v>
      </c>
      <c r="AW6" s="225" t="s">
        <v>223</v>
      </c>
      <c r="AX6" s="225" t="s">
        <v>234</v>
      </c>
      <c r="AY6" s="225" t="s">
        <v>221</v>
      </c>
      <c r="AZ6" s="225" t="s">
        <v>223</v>
      </c>
      <c r="BA6" s="225" t="s">
        <v>234</v>
      </c>
      <c r="BB6" s="225" t="s">
        <v>221</v>
      </c>
      <c r="BC6" s="226" t="s">
        <v>235</v>
      </c>
      <c r="BD6" s="225" t="s">
        <v>220</v>
      </c>
      <c r="BE6" s="227" t="s">
        <v>221</v>
      </c>
      <c r="BF6" s="226" t="s">
        <v>235</v>
      </c>
      <c r="BG6" s="225" t="s">
        <v>220</v>
      </c>
      <c r="BH6" s="227" t="s">
        <v>221</v>
      </c>
      <c r="BI6" s="226" t="s">
        <v>235</v>
      </c>
      <c r="BJ6" s="225" t="s">
        <v>220</v>
      </c>
      <c r="BK6" s="227" t="s">
        <v>221</v>
      </c>
      <c r="BL6" s="226" t="s">
        <v>220</v>
      </c>
      <c r="BM6" s="227" t="s">
        <v>221</v>
      </c>
    </row>
    <row r="7" spans="1:65" s="32" customFormat="1" ht="15" thickBot="1" x14ac:dyDescent="0.35">
      <c r="A7" s="11"/>
      <c r="B7" s="11"/>
      <c r="C7" s="11"/>
      <c r="D7" s="18"/>
      <c r="E7" s="46"/>
      <c r="F7" s="46"/>
      <c r="G7" s="46"/>
      <c r="H7" s="46"/>
      <c r="I7" s="46"/>
      <c r="J7" s="46"/>
      <c r="K7" s="46"/>
      <c r="L7" s="46"/>
      <c r="M7" s="26"/>
      <c r="N7" s="222" t="s">
        <v>397</v>
      </c>
      <c r="O7" s="90">
        <f>fcross</f>
        <v>5500</v>
      </c>
      <c r="P7" s="86" t="str">
        <f>COMPLEX(ADC_VINmin,0)</f>
        <v>27.9103246607183</v>
      </c>
      <c r="Q7" s="87" t="str">
        <f>IMSUM(COMPLEX(1,0),IMDIV(COMPLEX(0,2*PI()*O7),COMPLEX(wp_lf_VINmin,0)))</f>
        <v>1+16.9754038088378i</v>
      </c>
      <c r="R7" s="87">
        <f t="shared" ref="R7:R13" si="0">IMABS(Q7)</f>
        <v>17.004832679950276</v>
      </c>
      <c r="S7" s="87">
        <f t="shared" ref="S7:S13" si="1">IMARGUMENT(Q7)</f>
        <v>1.5119555671611653</v>
      </c>
      <c r="T7" s="87" t="str">
        <f>IMSUM(COMPLEX(1,0),IMDIV(COMPLEX(0,2*PI()*O7),COMPLEX(wz_esr_VINmin,0)))</f>
        <v>1+0.0152053084433746i</v>
      </c>
      <c r="U7" s="87">
        <f t="shared" ref="U7:U13" si="2">IMABS(T7)</f>
        <v>1.0001155940214401</v>
      </c>
      <c r="V7" s="87">
        <f t="shared" ref="V7:V13" si="3">IMARGUMENT(T7)</f>
        <v>1.5204136776347139E-2</v>
      </c>
      <c r="W7" s="85" t="str">
        <f>IMSUB(COMPLEX(1,0),IMDIV(COMPLEX(0,2*PI()*O7),COMPLEX(wz_RHP_VINmin,0)))</f>
        <v>1-0.200518938506904i</v>
      </c>
      <c r="X7" s="87">
        <f t="shared" ref="X7:X13" si="4">IMABS(W7)</f>
        <v>1.0199058018758083</v>
      </c>
      <c r="Y7" s="87">
        <f t="shared" ref="Y7:Y13" si="5">IMARGUMENT(W7)</f>
        <v>-0.19789448935093656</v>
      </c>
      <c r="Z7" s="85" t="str">
        <f>IMSUM(COMPLEX(1,0),IMDIV(COMPLEX(0,2*PI()*O7),COMPLEX(Q_VINmin*(wsl_VINmin/2),0)),IMDIV(IMPOWER(COMPLEX(0,2*PI()*O7),2),IMPOWER(COMPLEX(wsl_VINmin/2,0),2)))</f>
        <v>0.999375+0.0916952355766519i</v>
      </c>
      <c r="AA7" s="87">
        <f t="shared" ref="AA7:AA13" si="6">IMABS(Z7)</f>
        <v>1.0035728209016312</v>
      </c>
      <c r="AB7" s="87">
        <f t="shared" ref="AB7:AB13" si="7">IMARGUMENT(Z7)</f>
        <v>9.1496399564794967E-2</v>
      </c>
      <c r="AC7" s="88" t="str">
        <f t="shared" ref="AC7:AC13" si="8">(IMDIV(IMPRODUCT(P7,T7,W7),IMPRODUCT(Q7,Z7)))</f>
        <v>-0.356474797572045-1.6296904666738i</v>
      </c>
      <c r="AD7" s="89">
        <f t="shared" ref="AD7:AD13" si="9">20*LOG(IMABS(AC7))</f>
        <v>4.4450779103533584</v>
      </c>
      <c r="AE7" s="90">
        <f t="shared" ref="AE7:AE13" si="10">(180/PI())*IMARGUMENT(AC7)</f>
        <v>-102.33841650562978</v>
      </c>
      <c r="AF7" s="72" t="str">
        <f t="shared" ref="AF7:AF13" si="11">COMPLEX($B$72,0)</f>
        <v>79.1527877025864</v>
      </c>
      <c r="AG7" s="75" t="str">
        <f t="shared" ref="AG7:AG13" si="12">IMSUM(COMPLEX(1,0),IMDIV(COMPLEX(0,2*PI()*O7),COMPLEX(wp_lf_DCM,0)))</f>
        <v>1+16.8428031988149i</v>
      </c>
      <c r="AH7" s="75">
        <f>IMABS(AG7)</f>
        <v>16.872463352872021</v>
      </c>
      <c r="AI7" s="75">
        <f>IMARGUMENT(AG7)</f>
        <v>1.5114934046854853</v>
      </c>
      <c r="AJ7" s="75" t="str">
        <f t="shared" ref="AJ7:AJ13" si="13">IMSUM(COMPLEX(1,0),IMDIV(COMPLEX(0,2*PI()*O7),COMPLEX(wz1_dcm,0)))</f>
        <v>1+0.0152053084433746i</v>
      </c>
      <c r="AK7" s="75">
        <f>IMABS(AJ7)</f>
        <v>1.0001155940214401</v>
      </c>
      <c r="AL7" s="75">
        <f>IMARGUMENT(AJ7)</f>
        <v>1.5204136776347139E-2</v>
      </c>
      <c r="AM7" s="75" t="str">
        <f t="shared" ref="AM7:AM13" si="14">IMSUB(COMPLEX(1,0),IMDIV(COMPLEX(0,2*PI()*O7),COMPLEX(wz2_dcm,0)))</f>
        <v>1-0.0701532265004897i</v>
      </c>
      <c r="AN7" s="75">
        <f>IMABS(AM7)</f>
        <v>1.0024577174067888</v>
      </c>
      <c r="AO7" s="75">
        <f>IMARGUMENT(AM7)</f>
        <v>-7.0038479357648051E-2</v>
      </c>
      <c r="AP7" s="72" t="str">
        <f>(IMDIV(IMPRODUCT(AF7,AJ7,AM7),IMPRODUCT(AG7)))</f>
        <v>0.0210170632018401-4.7032671519996i</v>
      </c>
      <c r="AQ7" s="75">
        <f>20*LOG(IMABS(AP7))</f>
        <v>13.448079680424216</v>
      </c>
      <c r="AR7" s="78">
        <f>(180/PI())*IMARGUMENT(AP7)</f>
        <v>-89.743969252620715</v>
      </c>
      <c r="AS7" s="56" t="str">
        <f t="shared" ref="AS7:AS13" si="15">COMPLEX(Adc_ea,0)</f>
        <v>-0.0000166666666666667</v>
      </c>
      <c r="AT7" s="56" t="str">
        <f t="shared" ref="AT7:AT13" si="16">COMPLEX(0,2*PI()*O7*wp0_ea)</f>
        <v>0.000117495565244258i</v>
      </c>
      <c r="AU7" s="56">
        <f t="shared" ref="AU7:AU13" si="17">IMABS(AT7)</f>
        <v>1.17495565244258E-4</v>
      </c>
      <c r="AV7" s="56">
        <f t="shared" ref="AV7:AV13" si="18">IMARGUMENT(AT7)</f>
        <v>1.5707963267948966</v>
      </c>
      <c r="AW7" s="56" t="str">
        <f t="shared" ref="AW7:AW13" si="19">IMSUM(COMPLEX(1,0),IMDIV(COMPLEX(0,2*PI()*O7),COMPLEX(wp1_ea,0)))</f>
        <v>1+0.119406392775912i</v>
      </c>
      <c r="AX7" s="56">
        <f t="shared" ref="AX7:AX13" si="20">IMABS(AW7)</f>
        <v>1.0071037119561002</v>
      </c>
      <c r="AY7" s="56">
        <f t="shared" ref="AY7:AY13" si="21">IMARGUMENT(AW7)</f>
        <v>0.1188437043667839</v>
      </c>
      <c r="AZ7" s="56" t="str">
        <f t="shared" ref="AZ7:AZ13" si="22">IMSUM(COMPLEX(1,0),IMDIV(COMPLEX(0,2*PI()*O7),COMPLEX(wz_ea,0)))</f>
        <v>1+4.05981735438101i</v>
      </c>
      <c r="BA7" s="56">
        <f t="shared" ref="BA7:BA13" si="23">IMABS(AZ7)</f>
        <v>4.1811621531499137</v>
      </c>
      <c r="BB7" s="56">
        <f t="shared" ref="BB7:BB13" si="24">IMARGUMENT(AZ7)</f>
        <v>1.3292874809133255</v>
      </c>
      <c r="BC7" s="63" t="str">
        <f t="shared" ref="BC7:BC13" si="25">IMPRODUCT(AS7,IMDIV(AZ7,IMPRODUCT(AT7,AW7)))</f>
        <v>-0.551087296478604+0.207652671570985i</v>
      </c>
      <c r="BD7" s="56">
        <f t="shared" ref="BD7:BD13" si="26">20*LOG(IMABS(BC7))</f>
        <v>-4.5989982269006235</v>
      </c>
      <c r="BE7" s="64">
        <f t="shared" ref="BE7:BE13" si="27">(180/PI())*IMARGUMENT(BC7)</f>
        <v>159.35331973399343</v>
      </c>
      <c r="BF7" s="63" t="str">
        <f t="shared" ref="BF7:BF13" si="28">IMPRODUCT(AC7,BC7)</f>
        <v>0.534858311695316+0.824078769312658i</v>
      </c>
      <c r="BG7" s="66">
        <f t="shared" ref="BG7:BG13" si="29">20*LOG(IMABS(BF7))</f>
        <v>-0.15392031654726201</v>
      </c>
      <c r="BH7" s="64">
        <f t="shared" ref="BH7:BH13" si="30">(180/PI())*IMARGUMENT(BF7)</f>
        <v>57.01490322836365</v>
      </c>
      <c r="BI7" s="63" t="str">
        <f>IMPRODUCT(AP7,BC7)</f>
        <v>0.965063752684953+2.59627502873452i</v>
      </c>
      <c r="BJ7" s="66">
        <f t="shared" ref="BJ7:BJ13" si="31">20*LOG(IMABS(BI7))</f>
        <v>8.8490814535235867</v>
      </c>
      <c r="BK7" s="64">
        <f t="shared" ref="BK7:BK13" si="32">(180/PI())*IMARGUMENT(BI7)</f>
        <v>69.609350481372715</v>
      </c>
      <c r="BL7" s="59">
        <f>IF($B$31=0,BJ7,BG7)</f>
        <v>-0.15392031654726201</v>
      </c>
      <c r="BM7" s="62">
        <f>IF($B$31=0,BK7,BH7)</f>
        <v>57.01490322836365</v>
      </c>
    </row>
    <row r="8" spans="1:65" s="32" customFormat="1" ht="15" thickBot="1" x14ac:dyDescent="0.35">
      <c r="A8" s="11"/>
      <c r="B8" s="11"/>
      <c r="C8" s="11"/>
      <c r="D8" s="18"/>
      <c r="E8" s="103"/>
      <c r="F8" s="103"/>
      <c r="G8" s="103"/>
      <c r="H8" s="103"/>
      <c r="I8" s="103"/>
      <c r="J8" s="103"/>
      <c r="K8" s="103"/>
      <c r="L8" s="103"/>
      <c r="M8" s="26"/>
      <c r="N8" s="221" t="s">
        <v>572</v>
      </c>
      <c r="O8" s="90">
        <f>fcross</f>
        <v>5500</v>
      </c>
      <c r="P8" s="86" t="str">
        <f t="shared" ref="P8:P13" si="33">COMPLEX(Adc,0)</f>
        <v>27.9103246607183</v>
      </c>
      <c r="Q8" s="87" t="str">
        <f t="shared" ref="Q8:Q13" si="34">IMSUM(COMPLEX(1,0),IMDIV(COMPLEX(0,2*PI()*O8),COMPLEX(wp_lf,0)))</f>
        <v>1+16.9754038088378i</v>
      </c>
      <c r="R8" s="87">
        <f t="shared" si="0"/>
        <v>17.004832679950276</v>
      </c>
      <c r="S8" s="87">
        <f t="shared" si="1"/>
        <v>1.5119555671611653</v>
      </c>
      <c r="T8" s="87" t="str">
        <f t="shared" ref="T8:T13" si="35">IMSUM(COMPLEX(1,0),IMDIV(COMPLEX(0,2*PI()*O8),COMPLEX(wz_esr,0)))</f>
        <v>1+0.0152053084433746i</v>
      </c>
      <c r="U8" s="87">
        <f t="shared" si="2"/>
        <v>1.0001155940214401</v>
      </c>
      <c r="V8" s="87">
        <f t="shared" si="3"/>
        <v>1.5204136776347139E-2</v>
      </c>
      <c r="W8" s="85" t="str">
        <f t="shared" ref="W8:W13" si="36">IMSUB(COMPLEX(1,0),IMDIV(COMPLEX(0,2*PI()*O8),COMPLEX(wz_rhp,0)))</f>
        <v>1-0.200518938506904i</v>
      </c>
      <c r="X8" s="87">
        <f t="shared" si="4"/>
        <v>1.0199058018758083</v>
      </c>
      <c r="Y8" s="87">
        <f t="shared" si="5"/>
        <v>-0.19789448935093656</v>
      </c>
      <c r="Z8" s="85" t="str">
        <f t="shared" ref="Z8:Z13" si="37">IMSUM(COMPLEX(1,0),IMDIV(COMPLEX(0,2*PI()*O8),COMPLEX(Q*(wsl/2),0)),IMDIV(IMPOWER(COMPLEX(0,2*PI()*O8),2),IMPOWER(COMPLEX(wsl/2,0),2)))</f>
        <v>0.999375+0.0916952355766519i</v>
      </c>
      <c r="AA8" s="87">
        <f t="shared" si="6"/>
        <v>1.0035728209016312</v>
      </c>
      <c r="AB8" s="87">
        <f t="shared" si="7"/>
        <v>9.1496399564794967E-2</v>
      </c>
      <c r="AC8" s="88" t="str">
        <f t="shared" si="8"/>
        <v>-0.356474797572045-1.6296904666738i</v>
      </c>
      <c r="AD8" s="89">
        <f t="shared" si="9"/>
        <v>4.4450779103533584</v>
      </c>
      <c r="AE8" s="90">
        <f t="shared" si="10"/>
        <v>-102.33841650562978</v>
      </c>
      <c r="AF8" s="59" t="str">
        <f t="shared" si="11"/>
        <v>79.1527877025864</v>
      </c>
      <c r="AG8" s="50" t="str">
        <f t="shared" si="12"/>
        <v>1+16.8428031988149i</v>
      </c>
      <c r="AH8" s="50">
        <f t="shared" ref="AH8:AH13" si="38">IMABS(AG8)</f>
        <v>16.872463352872021</v>
      </c>
      <c r="AI8" s="50">
        <f t="shared" ref="AI8:AI13" si="39">IMARGUMENT(AG8)</f>
        <v>1.5114934046854853</v>
      </c>
      <c r="AJ8" s="50" t="str">
        <f t="shared" si="13"/>
        <v>1+0.0152053084433746i</v>
      </c>
      <c r="AK8" s="50">
        <f t="shared" ref="AK8:AK13" si="40">IMABS(AJ8)</f>
        <v>1.0001155940214401</v>
      </c>
      <c r="AL8" s="50">
        <f t="shared" ref="AL8:AL13" si="41">IMARGUMENT(AJ8)</f>
        <v>1.5204136776347139E-2</v>
      </c>
      <c r="AM8" s="50" t="str">
        <f t="shared" si="14"/>
        <v>1-0.0701532265004897i</v>
      </c>
      <c r="AN8" s="50">
        <f t="shared" ref="AN8:AN13" si="42">IMABS(AM8)</f>
        <v>1.0024577174067888</v>
      </c>
      <c r="AO8" s="50">
        <f t="shared" ref="AO8:AO13" si="43">IMARGUMENT(AM8)</f>
        <v>-7.0038479357648051E-2</v>
      </c>
      <c r="AP8" s="59" t="str">
        <f t="shared" ref="AP8:AP13" si="44">(IMDIV(IMPRODUCT(AF8,AJ8,AM8),IMPRODUCT(AG8)))</f>
        <v>0.0210170632018401-4.7032671519996i</v>
      </c>
      <c r="AQ8" s="50">
        <f t="shared" ref="AQ8:AQ13" si="45">20*LOG(IMABS(AP8))</f>
        <v>13.448079680424216</v>
      </c>
      <c r="AR8" s="62">
        <f t="shared" ref="AR8:AR13" si="46">(180/PI())*IMARGUMENT(AP8)</f>
        <v>-89.743969252620715</v>
      </c>
      <c r="AS8" s="85" t="str">
        <f t="shared" si="15"/>
        <v>-0.0000166666666666667</v>
      </c>
      <c r="AT8" s="85" t="str">
        <f t="shared" si="16"/>
        <v>0.000117495565244258i</v>
      </c>
      <c r="AU8" s="85">
        <f t="shared" si="17"/>
        <v>1.17495565244258E-4</v>
      </c>
      <c r="AV8" s="85">
        <f t="shared" si="18"/>
        <v>1.5707963267948966</v>
      </c>
      <c r="AW8" s="85" t="str">
        <f t="shared" si="19"/>
        <v>1+0.119406392775912i</v>
      </c>
      <c r="AX8" s="85">
        <f t="shared" si="20"/>
        <v>1.0071037119561002</v>
      </c>
      <c r="AY8" s="85">
        <f t="shared" si="21"/>
        <v>0.1188437043667839</v>
      </c>
      <c r="AZ8" s="85" t="str">
        <f t="shared" si="22"/>
        <v>1+4.05981735438101i</v>
      </c>
      <c r="BA8" s="85">
        <f t="shared" si="23"/>
        <v>4.1811621531499137</v>
      </c>
      <c r="BB8" s="85">
        <f t="shared" si="24"/>
        <v>1.3292874809133255</v>
      </c>
      <c r="BC8" s="84" t="str">
        <f t="shared" si="25"/>
        <v>-0.551087296478604+0.207652671570985i</v>
      </c>
      <c r="BD8" s="85">
        <f t="shared" si="26"/>
        <v>-4.5989982269006235</v>
      </c>
      <c r="BE8" s="90">
        <f t="shared" si="27"/>
        <v>159.35331973399343</v>
      </c>
      <c r="BF8" s="84" t="str">
        <f t="shared" si="28"/>
        <v>0.534858311695316+0.824078769312658i</v>
      </c>
      <c r="BG8" s="89">
        <f t="shared" si="29"/>
        <v>-0.15392031654726201</v>
      </c>
      <c r="BH8" s="90">
        <f t="shared" si="30"/>
        <v>57.01490322836365</v>
      </c>
      <c r="BI8" s="84" t="str">
        <f t="shared" ref="BI8:BI13" si="47">IMPRODUCT(AP8,BC8)</f>
        <v>0.965063752684953+2.59627502873452i</v>
      </c>
      <c r="BJ8" s="89">
        <f t="shared" si="31"/>
        <v>8.8490814535235867</v>
      </c>
      <c r="BK8" s="90">
        <f t="shared" si="32"/>
        <v>69.609350481372715</v>
      </c>
      <c r="BL8" s="59">
        <f t="shared" ref="BL8:BL13" si="48">IF($B$31=0,BJ8,BG8)</f>
        <v>-0.15392031654726201</v>
      </c>
      <c r="BM8" s="62">
        <f t="shared" ref="BM8:BM13" si="49">IF($B$31=0,BK8,BH8)</f>
        <v>57.01490322836365</v>
      </c>
    </row>
    <row r="9" spans="1:65" s="32" customFormat="1" ht="15" thickBot="1" x14ac:dyDescent="0.35">
      <c r="A9" s="70" t="s">
        <v>172</v>
      </c>
      <c r="B9" s="11"/>
      <c r="C9" s="11"/>
      <c r="D9" s="18"/>
      <c r="E9" s="36"/>
      <c r="F9" s="36"/>
      <c r="G9" s="36"/>
      <c r="H9" s="46"/>
      <c r="I9" s="46"/>
      <c r="J9" s="46"/>
      <c r="K9" s="36"/>
      <c r="L9" s="36"/>
      <c r="M9" s="26"/>
      <c r="N9" s="223" t="s">
        <v>258</v>
      </c>
      <c r="O9" s="91">
        <f>IF($B$31=0,B78,wz_rhp/(2*PI()))</f>
        <v>27428.830617964941</v>
      </c>
      <c r="P9" s="73" t="str">
        <f t="shared" si="33"/>
        <v>27.9103246607183</v>
      </c>
      <c r="Q9" s="74" t="str">
        <f t="shared" si="34"/>
        <v>1+84.6573592262127i</v>
      </c>
      <c r="R9" s="74">
        <f t="shared" si="0"/>
        <v>84.663265181281659</v>
      </c>
      <c r="S9" s="74">
        <f t="shared" si="1"/>
        <v>1.5589845539884335</v>
      </c>
      <c r="T9" s="74" t="str">
        <f t="shared" si="35"/>
        <v>1+0.0758297872340427i</v>
      </c>
      <c r="U9" s="74">
        <f t="shared" si="2"/>
        <v>1.0028709571185916</v>
      </c>
      <c r="V9" s="74">
        <f t="shared" si="3"/>
        <v>7.5684942250752299E-2</v>
      </c>
      <c r="W9" s="75" t="str">
        <f t="shared" si="36"/>
        <v>1-i</v>
      </c>
      <c r="X9" s="74">
        <f t="shared" si="4"/>
        <v>1.4142135623730951</v>
      </c>
      <c r="Y9" s="74">
        <f t="shared" si="5"/>
        <v>-0.78539816339744828</v>
      </c>
      <c r="Z9" s="75" t="str">
        <f t="shared" si="37"/>
        <v>0.984455769647334+0.457289651837524i</v>
      </c>
      <c r="AA9" s="74">
        <f t="shared" si="6"/>
        <v>1.0854800726266736</v>
      </c>
      <c r="AB9" s="74">
        <f t="shared" si="7"/>
        <v>0.43485479686418971</v>
      </c>
      <c r="AC9" s="76" t="str">
        <f t="shared" si="8"/>
        <v>-0.390065161668935-0.182702007821681i</v>
      </c>
      <c r="AD9" s="77">
        <f t="shared" si="9"/>
        <v>-7.3158385633475307</v>
      </c>
      <c r="AE9" s="78">
        <f t="shared" si="10"/>
        <v>-154.90215206729971</v>
      </c>
      <c r="AF9" s="59" t="str">
        <f t="shared" si="11"/>
        <v>79.1527877025864</v>
      </c>
      <c r="AG9" s="50" t="str">
        <f t="shared" si="12"/>
        <v>1+83.9960720130932i</v>
      </c>
      <c r="AH9" s="50">
        <f t="shared" si="38"/>
        <v>84.002024461489839</v>
      </c>
      <c r="AI9" s="50">
        <f t="shared" si="39"/>
        <v>1.5588915706019588</v>
      </c>
      <c r="AJ9" s="50" t="str">
        <f t="shared" si="13"/>
        <v>1+0.0758297872340427i</v>
      </c>
      <c r="AK9" s="50">
        <f t="shared" si="40"/>
        <v>1.0028709571185916</v>
      </c>
      <c r="AL9" s="50">
        <f t="shared" si="41"/>
        <v>7.5684942250752299E-2</v>
      </c>
      <c r="AM9" s="50" t="str">
        <f t="shared" si="14"/>
        <v>1-0.349858357633757i</v>
      </c>
      <c r="AN9" s="50">
        <f t="shared" si="42"/>
        <v>1.0594342218402188</v>
      </c>
      <c r="AO9" s="50">
        <f t="shared" si="43"/>
        <v>-0.33654862907817124</v>
      </c>
      <c r="AP9" s="59" t="str">
        <f t="shared" si="44"/>
        <v>-0.246676408569016-0.970275879197514i</v>
      </c>
      <c r="AQ9" s="50">
        <f t="shared" si="45"/>
        <v>9.9102818290900795E-3</v>
      </c>
      <c r="AR9" s="62">
        <f t="shared" si="46"/>
        <v>-104.26429599744597</v>
      </c>
      <c r="AS9" s="75" t="str">
        <f t="shared" si="15"/>
        <v>-0.0000166666666666667</v>
      </c>
      <c r="AT9" s="75" t="str">
        <f t="shared" si="16"/>
        <v>0.000585957446808511i</v>
      </c>
      <c r="AU9" s="75">
        <f t="shared" si="17"/>
        <v>5.8595744680851099E-4</v>
      </c>
      <c r="AV9" s="75">
        <f t="shared" si="18"/>
        <v>1.5707963267948966</v>
      </c>
      <c r="AW9" s="75" t="str">
        <f t="shared" si="19"/>
        <v>1+0.595486858573217i</v>
      </c>
      <c r="AX9" s="75">
        <f t="shared" si="20"/>
        <v>1.1638748209036049</v>
      </c>
      <c r="AY9" s="75">
        <f t="shared" si="21"/>
        <v>0.53709440558860522</v>
      </c>
      <c r="AZ9" s="75" t="str">
        <f t="shared" si="22"/>
        <v>1+20.2465531914894i</v>
      </c>
      <c r="BA9" s="75">
        <f t="shared" si="23"/>
        <v>20.271233710255764</v>
      </c>
      <c r="BB9" s="75">
        <f t="shared" si="24"/>
        <v>1.5214453079976091</v>
      </c>
      <c r="BC9" s="72" t="str">
        <f t="shared" si="25"/>
        <v>-0.412625674828533+0.274156643026191i</v>
      </c>
      <c r="BD9" s="75">
        <f t="shared" si="26"/>
        <v>-6.1008684094605297</v>
      </c>
      <c r="BE9" s="78">
        <f t="shared" si="27"/>
        <v>146.39915226792994</v>
      </c>
      <c r="BF9" s="72" t="str">
        <f t="shared" si="28"/>
        <v>0.211039869699282-0.0315514160146747i</v>
      </c>
      <c r="BG9" s="77">
        <f t="shared" si="29"/>
        <v>-13.416706972808063</v>
      </c>
      <c r="BH9" s="78">
        <f t="shared" si="30"/>
        <v>-8.5029997993697908</v>
      </c>
      <c r="BI9" s="84" t="str">
        <f t="shared" si="47"/>
        <v>0.367792597400146+0.332732763336684i</v>
      </c>
      <c r="BJ9" s="77">
        <f t="shared" si="31"/>
        <v>-6.0909581276314331</v>
      </c>
      <c r="BK9" s="78">
        <f t="shared" si="32"/>
        <v>42.134856270483965</v>
      </c>
      <c r="BL9" s="59">
        <f t="shared" si="48"/>
        <v>-13.416706972808063</v>
      </c>
      <c r="BM9" s="62">
        <f t="shared" si="49"/>
        <v>-8.5029997993697908</v>
      </c>
    </row>
    <row r="10" spans="1:65" s="32" customFormat="1" ht="15" thickBot="1" x14ac:dyDescent="0.35">
      <c r="A10" s="32" t="s">
        <v>25</v>
      </c>
      <c r="B10" s="3">
        <f>VIN_min</f>
        <v>9</v>
      </c>
      <c r="C10" s="32" t="s">
        <v>10</v>
      </c>
      <c r="E10" s="32" t="s">
        <v>28</v>
      </c>
      <c r="N10" s="222" t="s">
        <v>219</v>
      </c>
      <c r="O10" s="92">
        <f>IF(B31=0,B76,wz_esr/(2*PI()))</f>
        <v>361715.77975430764</v>
      </c>
      <c r="P10" s="79" t="str">
        <f t="shared" si="33"/>
        <v>27.9103246607183</v>
      </c>
      <c r="Q10" s="80" t="str">
        <f t="shared" si="34"/>
        <v>1+1116.41298642873i</v>
      </c>
      <c r="R10" s="80">
        <f t="shared" si="0"/>
        <v>1116.4134342915779</v>
      </c>
      <c r="S10" s="80">
        <f t="shared" si="1"/>
        <v>1.5699006011586718</v>
      </c>
      <c r="T10" s="80" t="str">
        <f t="shared" si="35"/>
        <v>1+i</v>
      </c>
      <c r="U10" s="80">
        <f t="shared" si="2"/>
        <v>1.4142135623730951</v>
      </c>
      <c r="V10" s="80">
        <f t="shared" si="3"/>
        <v>0.78539816339744828</v>
      </c>
      <c r="W10" s="50" t="str">
        <f t="shared" si="36"/>
        <v>1-13.1874298540965i</v>
      </c>
      <c r="X10" s="80">
        <f t="shared" si="4"/>
        <v>13.225290399712046</v>
      </c>
      <c r="Y10" s="80">
        <f t="shared" si="5"/>
        <v>-1.4951113845441444</v>
      </c>
      <c r="Z10" s="50" t="str">
        <f t="shared" si="37"/>
        <v>-1.70327077114187+6.03047520661156i</v>
      </c>
      <c r="AA10" s="80">
        <f t="shared" si="6"/>
        <v>6.2663994875353222</v>
      </c>
      <c r="AB10" s="80">
        <f t="shared" si="7"/>
        <v>1.846069791295561</v>
      </c>
      <c r="AC10" s="67" t="str">
        <f t="shared" si="8"/>
        <v>-0.0413098889473887+0.0621393363730527i</v>
      </c>
      <c r="AD10" s="65">
        <f t="shared" si="9"/>
        <v>-22.543160574526127</v>
      </c>
      <c r="AE10" s="62">
        <f t="shared" si="10"/>
        <v>123.61574133438448</v>
      </c>
      <c r="AF10" s="59" t="str">
        <f t="shared" si="11"/>
        <v>79.1527877025864</v>
      </c>
      <c r="AG10" s="50" t="str">
        <f t="shared" si="12"/>
        <v>1+1107.6923076923i</v>
      </c>
      <c r="AH10" s="50">
        <f t="shared" si="38"/>
        <v>1107.6927590810967</v>
      </c>
      <c r="AI10" s="50">
        <f t="shared" si="39"/>
        <v>1.5698935492623756</v>
      </c>
      <c r="AJ10" s="50" t="str">
        <f t="shared" si="13"/>
        <v>1+i</v>
      </c>
      <c r="AK10" s="50">
        <f t="shared" si="40"/>
        <v>1.4142135623730951</v>
      </c>
      <c r="AL10" s="50">
        <f t="shared" si="41"/>
        <v>0.78539816339744828</v>
      </c>
      <c r="AM10" s="50" t="str">
        <f t="shared" si="14"/>
        <v>1-4.61373255016458i</v>
      </c>
      <c r="AN10" s="50">
        <f t="shared" si="42"/>
        <v>4.7208609431382493</v>
      </c>
      <c r="AO10" s="50">
        <f t="shared" si="43"/>
        <v>-1.3573535815622422</v>
      </c>
      <c r="AP10" s="59" t="str">
        <f t="shared" si="44"/>
        <v>-0.257865499264235-0.401375402875004i</v>
      </c>
      <c r="AQ10" s="50">
        <f t="shared" si="45"/>
        <v>-6.4283379163696077</v>
      </c>
      <c r="AR10" s="62">
        <f t="shared" si="46"/>
        <v>-122.71890618803012</v>
      </c>
      <c r="AS10" s="50" t="str">
        <f t="shared" si="15"/>
        <v>-0.0000166666666666667</v>
      </c>
      <c r="AT10" s="50" t="str">
        <f t="shared" si="16"/>
        <v>0.00772727272727273i</v>
      </c>
      <c r="AU10" s="50">
        <f t="shared" si="17"/>
        <v>7.7272727272727302E-3</v>
      </c>
      <c r="AV10" s="50">
        <f t="shared" si="18"/>
        <v>1.5707963267948966</v>
      </c>
      <c r="AW10" s="50" t="str">
        <f t="shared" si="19"/>
        <v>1+7.85294117647058i</v>
      </c>
      <c r="AX10" s="50">
        <f t="shared" si="20"/>
        <v>7.9163555453950618</v>
      </c>
      <c r="AY10" s="50">
        <f t="shared" si="21"/>
        <v>1.4441371888603307</v>
      </c>
      <c r="AZ10" s="50" t="str">
        <f t="shared" si="22"/>
        <v>1+267i</v>
      </c>
      <c r="BA10" s="50">
        <f t="shared" si="23"/>
        <v>267.00187265260894</v>
      </c>
      <c r="BB10" s="50">
        <f t="shared" si="24"/>
        <v>1.5670510259550607</v>
      </c>
      <c r="BC10" s="59" t="str">
        <f t="shared" si="25"/>
        <v>-0.0089190420318863+0.0721975751719698i</v>
      </c>
      <c r="BD10" s="50">
        <f t="shared" si="26"/>
        <v>-22.763769498409005</v>
      </c>
      <c r="BE10" s="62">
        <f t="shared" si="27"/>
        <v>97.042444109286564</v>
      </c>
      <c r="BF10" s="59" t="str">
        <f t="shared" si="28"/>
        <v>-0.00411786477307547-0.0035366971655696i</v>
      </c>
      <c r="BG10" s="65">
        <f t="shared" si="29"/>
        <v>-45.306930072935138</v>
      </c>
      <c r="BH10" s="62">
        <f t="shared" si="30"/>
        <v>-139.3418145563289</v>
      </c>
      <c r="BI10" s="84" t="str">
        <f t="shared" si="47"/>
        <v>0.0312782440477588-0.0150373796785797i</v>
      </c>
      <c r="BJ10" s="65">
        <f t="shared" si="31"/>
        <v>-29.192107414778615</v>
      </c>
      <c r="BK10" s="62">
        <f t="shared" si="32"/>
        <v>-25.67646207874359</v>
      </c>
      <c r="BL10" s="59">
        <f t="shared" si="48"/>
        <v>-45.306930072935138</v>
      </c>
      <c r="BM10" s="62">
        <f t="shared" si="49"/>
        <v>-139.3418145563289</v>
      </c>
    </row>
    <row r="11" spans="1:65" s="32" customFormat="1" ht="15" thickBot="1" x14ac:dyDescent="0.35">
      <c r="A11" s="32" t="s">
        <v>26</v>
      </c>
      <c r="B11" s="3">
        <f>VIN_nom</f>
        <v>9</v>
      </c>
      <c r="C11" s="32" t="s">
        <v>10</v>
      </c>
      <c r="E11" s="32" t="s">
        <v>29</v>
      </c>
      <c r="N11" s="224" t="s">
        <v>217</v>
      </c>
      <c r="O11" s="93">
        <f>IF(B31=0,B74,wp_lf/(2*PI()))</f>
        <v>323.99818360353544</v>
      </c>
      <c r="P11" s="81" t="str">
        <f t="shared" si="33"/>
        <v>27.9103246607183</v>
      </c>
      <c r="Q11" s="55" t="str">
        <f t="shared" si="34"/>
        <v>1+i</v>
      </c>
      <c r="R11" s="55">
        <f t="shared" si="0"/>
        <v>1.4142135623730951</v>
      </c>
      <c r="S11" s="55">
        <f t="shared" si="1"/>
        <v>0.78539816339744828</v>
      </c>
      <c r="T11" s="55" t="str">
        <f t="shared" si="35"/>
        <v>1+0.000895725875779069i</v>
      </c>
      <c r="U11" s="55">
        <f t="shared" si="2"/>
        <v>1.0000004011623418</v>
      </c>
      <c r="V11" s="55">
        <f t="shared" si="3"/>
        <v>8.957256362248097E-4</v>
      </c>
      <c r="W11" s="56" t="str">
        <f t="shared" si="36"/>
        <v>1-0.0118123221553356i</v>
      </c>
      <c r="X11" s="55">
        <f t="shared" si="4"/>
        <v>1.0000697630439095</v>
      </c>
      <c r="Y11" s="55">
        <f t="shared" si="5"/>
        <v>-1.1811772806463046E-2</v>
      </c>
      <c r="Z11" s="56" t="str">
        <f t="shared" si="37"/>
        <v>0.999997831098699+0.0054016526858061i</v>
      </c>
      <c r="AA11" s="55">
        <f t="shared" si="6"/>
        <v>1.0000124199497926</v>
      </c>
      <c r="AB11" s="55">
        <f t="shared" si="7"/>
        <v>5.4016118658538666E-3</v>
      </c>
      <c r="AC11" s="60" t="str">
        <f t="shared" si="8"/>
        <v>13.7263915686824-14.1818288164327i</v>
      </c>
      <c r="AD11" s="66">
        <f t="shared" si="9"/>
        <v>25.905499350195356</v>
      </c>
      <c r="AE11" s="64">
        <f t="shared" si="10"/>
        <v>-45.934932994301846</v>
      </c>
      <c r="AF11" s="59" t="str">
        <f t="shared" si="11"/>
        <v>79.1527877025864</v>
      </c>
      <c r="AG11" s="50" t="str">
        <f t="shared" si="12"/>
        <v>1+0.992188662401428i</v>
      </c>
      <c r="AH11" s="50">
        <f t="shared" si="38"/>
        <v>1.4087009412213563</v>
      </c>
      <c r="AI11" s="50">
        <f t="shared" si="39"/>
        <v>0.78147720063142878</v>
      </c>
      <c r="AJ11" s="50" t="str">
        <f t="shared" si="13"/>
        <v>1+0.000895725875779069i</v>
      </c>
      <c r="AK11" s="50">
        <f t="shared" si="40"/>
        <v>1.0000004011623418</v>
      </c>
      <c r="AL11" s="50">
        <f t="shared" si="41"/>
        <v>8.957256362248097E-4</v>
      </c>
      <c r="AM11" s="50" t="str">
        <f t="shared" si="14"/>
        <v>1-0.00413263962910657i</v>
      </c>
      <c r="AN11" s="50">
        <f t="shared" si="42"/>
        <v>1.0000085393186919</v>
      </c>
      <c r="AO11" s="50">
        <f t="shared" si="43"/>
        <v>-4.1326161026293117E-3</v>
      </c>
      <c r="AP11" s="59" t="str">
        <f t="shared" si="44"/>
        <v>39.7587920184308-39.7044334185922i</v>
      </c>
      <c r="AQ11" s="50">
        <f t="shared" si="45"/>
        <v>34.993025860165666</v>
      </c>
      <c r="AR11" s="62">
        <f t="shared" si="46"/>
        <v>-44.960805544350293</v>
      </c>
      <c r="AS11" s="56" t="str">
        <f t="shared" si="15"/>
        <v>-0.0000166666666666667</v>
      </c>
      <c r="AT11" s="56" t="str">
        <f t="shared" si="16"/>
        <v>6.92151813102007E-06i</v>
      </c>
      <c r="AU11" s="56">
        <f t="shared" si="17"/>
        <v>6.92151813102007E-6</v>
      </c>
      <c r="AV11" s="56">
        <f t="shared" si="18"/>
        <v>1.5707963267948966</v>
      </c>
      <c r="AW11" s="56" t="str">
        <f t="shared" si="19"/>
        <v>1+0.00703408261273562i</v>
      </c>
      <c r="AX11" s="56">
        <f t="shared" si="20"/>
        <v>1.0000247388530961</v>
      </c>
      <c r="AY11" s="56">
        <f t="shared" si="21"/>
        <v>7.033966604653605E-3</v>
      </c>
      <c r="AZ11" s="56" t="str">
        <f t="shared" si="22"/>
        <v>1+0.239158808833011i</v>
      </c>
      <c r="BA11" s="56">
        <f t="shared" si="23"/>
        <v>1.0282008246653105</v>
      </c>
      <c r="BB11" s="56">
        <f t="shared" si="24"/>
        <v>0.23474945160245253</v>
      </c>
      <c r="BC11" s="63" t="str">
        <f t="shared" si="25"/>
        <v>-0.558916982405896+2.41188104679969i</v>
      </c>
      <c r="BD11" s="56">
        <f t="shared" si="26"/>
        <v>7.8742918556521113</v>
      </c>
      <c r="BE11" s="64">
        <f t="shared" si="27"/>
        <v>103.04713622014843</v>
      </c>
      <c r="BF11" s="63" t="str">
        <f t="shared" si="28"/>
        <v>26.532970776422+41.0328886325337i</v>
      </c>
      <c r="BG11" s="66">
        <f t="shared" si="29"/>
        <v>33.779791205847467</v>
      </c>
      <c r="BH11" s="64">
        <f t="shared" si="30"/>
        <v>57.112203225846599</v>
      </c>
      <c r="BI11" s="84" t="str">
        <f t="shared" si="47"/>
        <v>73.5405063771778+118.084959027359i</v>
      </c>
      <c r="BJ11" s="66">
        <f t="shared" si="31"/>
        <v>42.867317715817762</v>
      </c>
      <c r="BK11" s="64">
        <f t="shared" si="32"/>
        <v>58.086330675798045</v>
      </c>
      <c r="BL11" s="59">
        <f t="shared" si="48"/>
        <v>33.779791205847467</v>
      </c>
      <c r="BM11" s="62">
        <f t="shared" si="49"/>
        <v>57.112203225846599</v>
      </c>
    </row>
    <row r="12" spans="1:65" s="32" customFormat="1" ht="15" thickBot="1" x14ac:dyDescent="0.35">
      <c r="A12" s="32" t="s">
        <v>27</v>
      </c>
      <c r="B12" s="3">
        <f>VIN_max</f>
        <v>18</v>
      </c>
      <c r="C12" s="32" t="s">
        <v>10</v>
      </c>
      <c r="E12" s="32" t="s">
        <v>30</v>
      </c>
      <c r="N12" s="223" t="s">
        <v>226</v>
      </c>
      <c r="O12" s="78">
        <f>wz_ea/(2*PI())</f>
        <v>1354.7407481434739</v>
      </c>
      <c r="P12" s="73" t="str">
        <f t="shared" si="33"/>
        <v>27.9103246607183</v>
      </c>
      <c r="Q12" s="74" t="str">
        <f t="shared" si="34"/>
        <v>1+4.18132204654955i</v>
      </c>
      <c r="R12" s="74">
        <f t="shared" si="0"/>
        <v>4.2992387764534916</v>
      </c>
      <c r="S12" s="74">
        <f t="shared" si="1"/>
        <v>1.3360468751924437</v>
      </c>
      <c r="T12" s="74" t="str">
        <f t="shared" si="35"/>
        <v>1+0.00374531835205993i</v>
      </c>
      <c r="U12" s="74">
        <f t="shared" si="2"/>
        <v>1.0000070136801833</v>
      </c>
      <c r="V12" s="74">
        <f t="shared" si="3"/>
        <v>3.7453008398358367E-3</v>
      </c>
      <c r="W12" s="75" t="str">
        <f t="shared" si="36"/>
        <v>1-0.0493911230490506i</v>
      </c>
      <c r="X12" s="74">
        <f t="shared" si="4"/>
        <v>1.0012189985393039</v>
      </c>
      <c r="Y12" s="74">
        <f t="shared" si="5"/>
        <v>-4.9351018797287434E-2</v>
      </c>
      <c r="Z12" s="75" t="str">
        <f t="shared" si="37"/>
        <v>0.999962080113746+0.0225860494629647i</v>
      </c>
      <c r="AA12" s="74">
        <f t="shared" si="6"/>
        <v>1.0002171220768783</v>
      </c>
      <c r="AB12" s="74">
        <f t="shared" si="7"/>
        <v>2.2583066089894185E-2</v>
      </c>
      <c r="AC12" s="76" t="str">
        <f t="shared" si="8"/>
        <v>1.07739186502356-6.40853713882852i</v>
      </c>
      <c r="AD12" s="77">
        <f t="shared" si="9"/>
        <v>16.25622330835407</v>
      </c>
      <c r="AE12" s="78">
        <f t="shared" si="10"/>
        <v>-80.45677671621084</v>
      </c>
      <c r="AF12" s="59" t="str">
        <f t="shared" si="11"/>
        <v>79.1527877025864</v>
      </c>
      <c r="AG12" s="50" t="str">
        <f t="shared" si="12"/>
        <v>1+4.1486603284356i</v>
      </c>
      <c r="AH12" s="50">
        <f t="shared" si="38"/>
        <v>4.2674796450288293</v>
      </c>
      <c r="AI12" s="50">
        <f t="shared" si="39"/>
        <v>1.3342666447175198</v>
      </c>
      <c r="AJ12" s="50" t="str">
        <f t="shared" si="13"/>
        <v>1+0.00374531835205993i</v>
      </c>
      <c r="AK12" s="50">
        <f t="shared" si="40"/>
        <v>1.0000070136801833</v>
      </c>
      <c r="AL12" s="50">
        <f t="shared" si="41"/>
        <v>3.7453008398358367E-3</v>
      </c>
      <c r="AM12" s="50" t="str">
        <f t="shared" si="14"/>
        <v>1-0.0172798971916277i</v>
      </c>
      <c r="AN12" s="50">
        <f t="shared" si="42"/>
        <v>1.0001492862802799</v>
      </c>
      <c r="AO12" s="50">
        <f t="shared" si="43"/>
        <v>-1.7278177603607493E-2</v>
      </c>
      <c r="AP12" s="59" t="str">
        <f t="shared" si="44"/>
        <v>4.10256892605628-18.0914645937346i</v>
      </c>
      <c r="AQ12" s="50">
        <f t="shared" si="45"/>
        <v>25.367252641185772</v>
      </c>
      <c r="AR12" s="62">
        <f t="shared" si="46"/>
        <v>-77.223224210629965</v>
      </c>
      <c r="AS12" s="75" t="str">
        <f t="shared" si="15"/>
        <v>-0.0000166666666666667</v>
      </c>
      <c r="AT12" s="75" t="str">
        <f t="shared" si="16"/>
        <v>0.0000289410963568267i</v>
      </c>
      <c r="AU12" s="75">
        <f t="shared" si="17"/>
        <v>2.8941096356826699E-5</v>
      </c>
      <c r="AV12" s="75">
        <f t="shared" si="18"/>
        <v>1.5707963267948966</v>
      </c>
      <c r="AW12" s="75" t="str">
        <f t="shared" si="19"/>
        <v>1+0.0294117647058824i</v>
      </c>
      <c r="AX12" s="75">
        <f t="shared" si="20"/>
        <v>1.0004324324526441</v>
      </c>
      <c r="AY12" s="75">
        <f t="shared" si="21"/>
        <v>2.9403288204005163E-2</v>
      </c>
      <c r="AZ12" s="75" t="str">
        <f t="shared" si="22"/>
        <v>1+i</v>
      </c>
      <c r="BA12" s="75">
        <f t="shared" si="23"/>
        <v>1.4142135623730951</v>
      </c>
      <c r="BB12" s="75">
        <f t="shared" si="24"/>
        <v>0.78539816339744828</v>
      </c>
      <c r="BC12" s="72" t="str">
        <f t="shared" si="25"/>
        <v>-0.558461538461539+0.592307692307693i</v>
      </c>
      <c r="BD12" s="75">
        <f t="shared" si="26"/>
        <v>-1.7867798835352935</v>
      </c>
      <c r="BE12" s="78">
        <f t="shared" si="27"/>
        <v>133.31531568210372</v>
      </c>
      <c r="BF12" s="72" t="str">
        <f t="shared" si="28"/>
        <v>3.19414392530066+4.21706899912127i</v>
      </c>
      <c r="BG12" s="77">
        <f t="shared" si="29"/>
        <v>14.469443424818774</v>
      </c>
      <c r="BH12" s="78">
        <f t="shared" si="30"/>
        <v>52.85853896589289</v>
      </c>
      <c r="BI12" s="84" t="str">
        <f t="shared" si="47"/>
        <v>8.42458668989138+12.5333702831651i</v>
      </c>
      <c r="BJ12" s="77">
        <f t="shared" si="31"/>
        <v>23.580472757650462</v>
      </c>
      <c r="BK12" s="78">
        <f t="shared" si="32"/>
        <v>56.09209147147368</v>
      </c>
      <c r="BL12" s="59">
        <f t="shared" si="48"/>
        <v>14.469443424818774</v>
      </c>
      <c r="BM12" s="62">
        <f t="shared" si="49"/>
        <v>52.85853896589289</v>
      </c>
    </row>
    <row r="13" spans="1:65" s="32" customFormat="1" ht="15" thickBot="1" x14ac:dyDescent="0.35">
      <c r="A13" s="32" t="s">
        <v>64</v>
      </c>
      <c r="B13" s="3">
        <f>Fsw</f>
        <v>440000</v>
      </c>
      <c r="C13" s="32" t="s">
        <v>65</v>
      </c>
      <c r="E13" s="32" t="s">
        <v>66</v>
      </c>
      <c r="N13" s="224" t="s">
        <v>232</v>
      </c>
      <c r="O13" s="64">
        <f>wp1_ea/(2*PI())</f>
        <v>46061.185436878121</v>
      </c>
      <c r="P13" s="81" t="str">
        <f t="shared" si="33"/>
        <v>27.9103246607183</v>
      </c>
      <c r="Q13" s="55" t="str">
        <f t="shared" si="34"/>
        <v>1+142.164949582685i</v>
      </c>
      <c r="R13" s="55">
        <f t="shared" si="0"/>
        <v>142.16846658048814</v>
      </c>
      <c r="S13" s="55">
        <f t="shared" si="1"/>
        <v>1.5637623601902431</v>
      </c>
      <c r="T13" s="55" t="str">
        <f t="shared" si="35"/>
        <v>1+0.127340823970038i</v>
      </c>
      <c r="U13" s="55">
        <f t="shared" si="2"/>
        <v>1.0080752379903835</v>
      </c>
      <c r="V13" s="55">
        <f t="shared" si="3"/>
        <v>0.1266591379345664</v>
      </c>
      <c r="W13" s="56" t="str">
        <f t="shared" si="36"/>
        <v>1-1.67929818366772i</v>
      </c>
      <c r="X13" s="55">
        <f t="shared" si="4"/>
        <v>1.9544928727600173</v>
      </c>
      <c r="Y13" s="55">
        <f t="shared" si="5"/>
        <v>-1.0337019212062915</v>
      </c>
      <c r="Z13" s="56" t="str">
        <f t="shared" si="37"/>
        <v>0.956164611490693+0.767925681740799i</v>
      </c>
      <c r="AA13" s="55">
        <f t="shared" si="6"/>
        <v>1.2263607205648013</v>
      </c>
      <c r="AB13" s="55">
        <f t="shared" si="7"/>
        <v>0.67664732814536377</v>
      </c>
      <c r="AC13" s="60" t="str">
        <f t="shared" si="8"/>
        <v>-0.315400922330271+0.00184821316178714i</v>
      </c>
      <c r="AD13" s="66">
        <f t="shared" si="9"/>
        <v>-10.02259169328704</v>
      </c>
      <c r="AE13" s="64">
        <f t="shared" si="10"/>
        <v>179.66425715888033</v>
      </c>
      <c r="AF13" s="63" t="str">
        <f t="shared" si="11"/>
        <v>79.1527877025864</v>
      </c>
      <c r="AG13" s="56" t="str">
        <f t="shared" si="12"/>
        <v>1+141.054451166811i</v>
      </c>
      <c r="AH13" s="56">
        <f t="shared" si="38"/>
        <v>141.05799585266431</v>
      </c>
      <c r="AI13" s="56">
        <f t="shared" si="39"/>
        <v>1.5637069847801743</v>
      </c>
      <c r="AJ13" s="56" t="str">
        <f t="shared" si="13"/>
        <v>1+0.127340823970038i</v>
      </c>
      <c r="AK13" s="56">
        <f t="shared" si="40"/>
        <v>1.0080752379903835</v>
      </c>
      <c r="AL13" s="56">
        <f t="shared" si="41"/>
        <v>0.1266591379345664</v>
      </c>
      <c r="AM13" s="56" t="str">
        <f t="shared" si="14"/>
        <v>1-0.58751650451534i</v>
      </c>
      <c r="AN13" s="56">
        <f t="shared" si="42"/>
        <v>1.1598170731102053</v>
      </c>
      <c r="AO13" s="56">
        <f t="shared" si="43"/>
        <v>-0.53118988872707296</v>
      </c>
      <c r="AP13" s="63" t="str">
        <f t="shared" si="44"/>
        <v>-0.253939201397621-0.604933265215788i</v>
      </c>
      <c r="AQ13" s="56">
        <f t="shared" si="45"/>
        <v>-3.6609809919645131</v>
      </c>
      <c r="AR13" s="64">
        <f t="shared" si="46"/>
        <v>-112.7717153267007</v>
      </c>
      <c r="AS13" s="56" t="str">
        <f t="shared" si="15"/>
        <v>-0.0000166666666666667</v>
      </c>
      <c r="AT13" s="56" t="str">
        <f t="shared" si="16"/>
        <v>0.000983997276132108i</v>
      </c>
      <c r="AU13" s="56">
        <f t="shared" si="17"/>
        <v>9.8399727613210797E-4</v>
      </c>
      <c r="AV13" s="56">
        <f t="shared" si="18"/>
        <v>1.5707963267948966</v>
      </c>
      <c r="AW13" s="56" t="str">
        <f t="shared" si="19"/>
        <v>1+i</v>
      </c>
      <c r="AX13" s="56">
        <f t="shared" si="20"/>
        <v>1.4142135623730951</v>
      </c>
      <c r="AY13" s="56">
        <f t="shared" si="21"/>
        <v>0.78539816339744828</v>
      </c>
      <c r="AZ13" s="56" t="str">
        <f t="shared" si="22"/>
        <v>1+34i</v>
      </c>
      <c r="BA13" s="56">
        <f t="shared" si="23"/>
        <v>34.014702703389901</v>
      </c>
      <c r="BB13" s="56">
        <f t="shared" si="24"/>
        <v>1.5413930385908916</v>
      </c>
      <c r="BC13" s="63" t="str">
        <f t="shared" si="25"/>
        <v>-0.279472318339101+0.296410034602077i</v>
      </c>
      <c r="BD13" s="56">
        <f t="shared" si="26"/>
        <v>-7.7998692994701182</v>
      </c>
      <c r="BE13" s="64">
        <f t="shared" si="27"/>
        <v>133.31531568210369</v>
      </c>
      <c r="BF13" s="63" t="str">
        <f t="shared" si="28"/>
        <v>0.0875979980426942-0.0940045227185521i</v>
      </c>
      <c r="BG13" s="66">
        <f t="shared" si="29"/>
        <v>-17.822460992757158</v>
      </c>
      <c r="BH13" s="64">
        <f t="shared" si="30"/>
        <v>-47.020427159015973</v>
      </c>
      <c r="BI13" s="84" t="str">
        <f t="shared" si="47"/>
        <v>0.250277267406332+0.0937919745972059i</v>
      </c>
      <c r="BJ13" s="66">
        <f t="shared" si="31"/>
        <v>-11.460850291434637</v>
      </c>
      <c r="BK13" s="64">
        <f t="shared" si="32"/>
        <v>20.54360035540299</v>
      </c>
      <c r="BL13" s="63">
        <f t="shared" si="48"/>
        <v>-17.822460992757158</v>
      </c>
      <c r="BM13" s="64">
        <f t="shared" si="49"/>
        <v>-47.020427159015973</v>
      </c>
    </row>
    <row r="14" spans="1:65" s="32" customFormat="1" x14ac:dyDescent="0.3">
      <c r="B14" s="27"/>
      <c r="O14" s="51"/>
    </row>
    <row r="15" spans="1:65" ht="15" thickBot="1" x14ac:dyDescent="0.35">
      <c r="A15" s="69" t="s">
        <v>456</v>
      </c>
      <c r="N15" s="32"/>
      <c r="O15" s="51" t="s">
        <v>196</v>
      </c>
      <c r="P15" s="32">
        <f>B16</f>
        <v>9</v>
      </c>
      <c r="Q15" s="32" t="s">
        <v>10</v>
      </c>
      <c r="R15" s="32"/>
      <c r="S15" s="32"/>
      <c r="T15" s="32"/>
      <c r="U15" s="32"/>
      <c r="V15" s="32"/>
      <c r="W15" s="32"/>
      <c r="X15" s="32"/>
      <c r="Y15" s="32"/>
      <c r="Z15" s="32"/>
      <c r="AA15" s="32"/>
      <c r="AB15" s="32"/>
      <c r="AD15" s="32"/>
      <c r="AE15" s="32"/>
      <c r="AS15" s="32"/>
      <c r="AT15" s="32"/>
      <c r="AU15" s="32"/>
      <c r="AV15" s="32"/>
      <c r="AW15" s="32"/>
      <c r="AX15" s="32"/>
      <c r="AY15" s="32"/>
      <c r="AZ15" s="32"/>
      <c r="BA15" s="32"/>
      <c r="BB15" s="32"/>
      <c r="BD15" s="32"/>
      <c r="BE15" s="32"/>
      <c r="BG15" s="32"/>
      <c r="BH15" s="32"/>
      <c r="BI15" s="32"/>
    </row>
    <row r="16" spans="1:65" ht="15" thickBot="1" x14ac:dyDescent="0.35">
      <c r="A16" t="s">
        <v>198</v>
      </c>
      <c r="B16">
        <f>VIN_var</f>
        <v>9</v>
      </c>
      <c r="C16" t="s">
        <v>10</v>
      </c>
      <c r="E16" t="s">
        <v>199</v>
      </c>
      <c r="F16" s="32"/>
      <c r="G16" s="32"/>
      <c r="N16" s="32"/>
      <c r="O16" s="68"/>
      <c r="P16" s="273" t="s">
        <v>454</v>
      </c>
      <c r="Q16" s="273"/>
      <c r="R16" s="273"/>
      <c r="S16" s="273"/>
      <c r="T16" s="273"/>
      <c r="U16" s="273"/>
      <c r="V16" s="273"/>
      <c r="W16" s="273"/>
      <c r="X16" s="273"/>
      <c r="Y16" s="273"/>
      <c r="Z16" s="273"/>
      <c r="AA16" s="273"/>
      <c r="AB16" s="273"/>
      <c r="AC16" s="273"/>
      <c r="AD16" s="273"/>
      <c r="AE16" s="274"/>
      <c r="AF16" s="272" t="s">
        <v>455</v>
      </c>
      <c r="AG16" s="273"/>
      <c r="AH16" s="273"/>
      <c r="AI16" s="273"/>
      <c r="AJ16" s="273"/>
      <c r="AK16" s="273"/>
      <c r="AL16" s="273"/>
      <c r="AM16" s="273"/>
      <c r="AN16" s="273"/>
      <c r="AO16" s="273"/>
      <c r="AP16" s="273"/>
      <c r="AQ16" s="273"/>
      <c r="AR16" s="274"/>
      <c r="AS16" s="272" t="s">
        <v>225</v>
      </c>
      <c r="AT16" s="273"/>
      <c r="AU16" s="273"/>
      <c r="AV16" s="273"/>
      <c r="AW16" s="273"/>
      <c r="AX16" s="273"/>
      <c r="AY16" s="273"/>
      <c r="AZ16" s="273"/>
      <c r="BA16" s="273"/>
      <c r="BB16" s="273"/>
      <c r="BC16" s="273"/>
      <c r="BD16" s="273"/>
      <c r="BE16" s="274"/>
      <c r="BF16" s="272" t="s">
        <v>484</v>
      </c>
      <c r="BG16" s="273"/>
      <c r="BH16" s="274"/>
      <c r="BI16" s="272" t="s">
        <v>485</v>
      </c>
      <c r="BJ16" s="273"/>
      <c r="BK16" s="274"/>
      <c r="BL16" s="272" t="s">
        <v>486</v>
      </c>
      <c r="BM16" s="274"/>
    </row>
    <row r="17" spans="1:65" x14ac:dyDescent="0.3">
      <c r="A17" t="s">
        <v>382</v>
      </c>
      <c r="B17">
        <f>IOUT</f>
        <v>4.166666666666667</v>
      </c>
      <c r="C17" t="s">
        <v>11</v>
      </c>
      <c r="E17" t="s">
        <v>477</v>
      </c>
      <c r="N17" s="32"/>
      <c r="O17" s="53"/>
      <c r="P17" s="50"/>
      <c r="Q17" s="278" t="s">
        <v>217</v>
      </c>
      <c r="R17" s="278"/>
      <c r="S17" s="278"/>
      <c r="T17" s="276" t="s">
        <v>219</v>
      </c>
      <c r="U17" s="276"/>
      <c r="V17" s="276"/>
      <c r="W17" s="276" t="s">
        <v>258</v>
      </c>
      <c r="X17" s="276"/>
      <c r="Y17" s="276"/>
      <c r="Z17" s="276" t="s">
        <v>222</v>
      </c>
      <c r="AA17" s="276"/>
      <c r="AB17" s="276"/>
      <c r="AC17" s="275" t="s">
        <v>224</v>
      </c>
      <c r="AD17" s="276"/>
      <c r="AE17" s="277"/>
      <c r="AF17" s="186"/>
      <c r="AG17" s="278" t="s">
        <v>217</v>
      </c>
      <c r="AH17" s="278"/>
      <c r="AI17" s="278"/>
      <c r="AJ17" s="279" t="s">
        <v>219</v>
      </c>
      <c r="AK17" s="279"/>
      <c r="AL17" s="279"/>
      <c r="AM17" s="276" t="s">
        <v>258</v>
      </c>
      <c r="AN17" s="276"/>
      <c r="AO17" s="276"/>
      <c r="AP17" s="280" t="s">
        <v>224</v>
      </c>
      <c r="AQ17" s="279"/>
      <c r="AR17" s="281"/>
      <c r="AS17" s="50"/>
      <c r="AT17" s="276" t="s">
        <v>231</v>
      </c>
      <c r="AU17" s="276"/>
      <c r="AV17" s="276"/>
      <c r="AW17" s="276" t="s">
        <v>232</v>
      </c>
      <c r="AX17" s="276"/>
      <c r="AY17" s="276"/>
      <c r="AZ17" s="276" t="s">
        <v>226</v>
      </c>
      <c r="BA17" s="276"/>
      <c r="BB17" s="276"/>
      <c r="BC17" s="275" t="s">
        <v>224</v>
      </c>
      <c r="BD17" s="276"/>
      <c r="BE17" s="277"/>
      <c r="BF17" s="275" t="s">
        <v>224</v>
      </c>
      <c r="BG17" s="276"/>
      <c r="BH17" s="277"/>
      <c r="BI17" s="275" t="s">
        <v>224</v>
      </c>
      <c r="BJ17" s="276"/>
      <c r="BK17" s="277"/>
      <c r="BL17" s="50"/>
      <c r="BM17" s="62"/>
    </row>
    <row r="18" spans="1:65" ht="15" thickBot="1" x14ac:dyDescent="0.35">
      <c r="N18" s="11"/>
      <c r="O18" s="54" t="s">
        <v>195</v>
      </c>
      <c r="P18" s="55" t="s">
        <v>200</v>
      </c>
      <c r="Q18" s="56" t="s">
        <v>223</v>
      </c>
      <c r="R18" s="55" t="s">
        <v>220</v>
      </c>
      <c r="S18" s="55" t="s">
        <v>221</v>
      </c>
      <c r="T18" s="55" t="s">
        <v>223</v>
      </c>
      <c r="U18" s="55" t="s">
        <v>220</v>
      </c>
      <c r="V18" s="55" t="s">
        <v>221</v>
      </c>
      <c r="W18" s="57" t="s">
        <v>223</v>
      </c>
      <c r="X18" s="55" t="s">
        <v>220</v>
      </c>
      <c r="Y18" s="55" t="s">
        <v>221</v>
      </c>
      <c r="Z18" s="57" t="s">
        <v>223</v>
      </c>
      <c r="AA18" s="57" t="s">
        <v>220</v>
      </c>
      <c r="AB18" s="57" t="s">
        <v>221</v>
      </c>
      <c r="AC18" s="61" t="s">
        <v>235</v>
      </c>
      <c r="AD18" s="57" t="s">
        <v>220</v>
      </c>
      <c r="AE18" s="58" t="s">
        <v>221</v>
      </c>
      <c r="AF18" s="189" t="s">
        <v>200</v>
      </c>
      <c r="AG18" s="190" t="s">
        <v>223</v>
      </c>
      <c r="AH18" s="190" t="s">
        <v>234</v>
      </c>
      <c r="AI18" s="190" t="s">
        <v>221</v>
      </c>
      <c r="AJ18" s="190" t="s">
        <v>223</v>
      </c>
      <c r="AK18" s="190" t="s">
        <v>234</v>
      </c>
      <c r="AL18" s="190" t="s">
        <v>221</v>
      </c>
      <c r="AM18" s="190" t="s">
        <v>223</v>
      </c>
      <c r="AN18" s="190" t="s">
        <v>234</v>
      </c>
      <c r="AO18" s="190" t="s">
        <v>221</v>
      </c>
      <c r="AP18" s="61" t="s">
        <v>235</v>
      </c>
      <c r="AQ18" s="57" t="s">
        <v>220</v>
      </c>
      <c r="AR18" s="58" t="s">
        <v>221</v>
      </c>
      <c r="AS18" s="55" t="s">
        <v>233</v>
      </c>
      <c r="AT18" s="57" t="s">
        <v>223</v>
      </c>
      <c r="AU18" s="57" t="s">
        <v>234</v>
      </c>
      <c r="AV18" s="57" t="s">
        <v>221</v>
      </c>
      <c r="AW18" s="57" t="s">
        <v>223</v>
      </c>
      <c r="AX18" s="57" t="s">
        <v>234</v>
      </c>
      <c r="AY18" s="57" t="s">
        <v>221</v>
      </c>
      <c r="AZ18" s="57" t="s">
        <v>223</v>
      </c>
      <c r="BA18" s="57" t="s">
        <v>234</v>
      </c>
      <c r="BB18" s="57" t="s">
        <v>221</v>
      </c>
      <c r="BC18" s="61" t="s">
        <v>235</v>
      </c>
      <c r="BD18" s="57" t="s">
        <v>220</v>
      </c>
      <c r="BE18" s="58" t="s">
        <v>221</v>
      </c>
      <c r="BF18" s="61" t="s">
        <v>235</v>
      </c>
      <c r="BG18" s="57" t="s">
        <v>220</v>
      </c>
      <c r="BH18" s="58" t="s">
        <v>221</v>
      </c>
      <c r="BI18" s="61" t="s">
        <v>235</v>
      </c>
      <c r="BJ18" s="57" t="s">
        <v>220</v>
      </c>
      <c r="BK18" s="58" t="s">
        <v>221</v>
      </c>
      <c r="BL18" s="82" t="s">
        <v>487</v>
      </c>
      <c r="BM18" s="83" t="s">
        <v>488</v>
      </c>
    </row>
    <row r="19" spans="1:65" x14ac:dyDescent="0.3">
      <c r="A19" t="s">
        <v>31</v>
      </c>
      <c r="B19" s="44">
        <f>VOUT</f>
        <v>24</v>
      </c>
      <c r="C19" t="s">
        <v>10</v>
      </c>
      <c r="E19" t="s">
        <v>173</v>
      </c>
      <c r="N19" s="11">
        <v>1</v>
      </c>
      <c r="O19" s="51">
        <f>10^(1+(N19/100))</f>
        <v>10.232929922807543</v>
      </c>
      <c r="P19" s="49" t="str">
        <f t="shared" ref="P19:P82" si="50">COMPLEX(Adc,0)</f>
        <v>27.9103246607183</v>
      </c>
      <c r="Q19" s="18" t="str">
        <f>IMSUM(COMPLEX(1,0),IMDIV(COMPLEX(0,2*PI()*O19),COMPLEX(wp_lf,0)))</f>
        <v>1+0.0315832941067632i</v>
      </c>
      <c r="R19" s="18">
        <f>IMABS(Q19)</f>
        <v>1.0004986279184167</v>
      </c>
      <c r="S19" s="18">
        <f>IMARGUMENT(Q19)</f>
        <v>3.1572798895145589E-2</v>
      </c>
      <c r="T19" s="18" t="str">
        <f t="shared" ref="T19:T82" si="51">IMSUM(COMPLEX(1,0),IMDIV(COMPLEX(0,2*PI()*O19),COMPLEX(wz_esr,0)))</f>
        <v>1+0.0000282899737737684i</v>
      </c>
      <c r="U19" s="18">
        <f>IMABS(T19)</f>
        <v>1.0000000004001612</v>
      </c>
      <c r="V19" s="18">
        <f>IMARGUMENT(T19)</f>
        <v>2.8289973766221364E-5</v>
      </c>
      <c r="W19" s="32" t="str">
        <f t="shared" ref="W19:W82" si="52">IMSUB(COMPLEX(1,0),IMDIV(COMPLEX(0,2*PI()*O19),COMPLEX(wz_rhp,0)))</f>
        <v>1-0.000373072044715801i</v>
      </c>
      <c r="X19" s="18">
        <f>IMABS(W19)</f>
        <v>1.0000000695913729</v>
      </c>
      <c r="Y19" s="18">
        <f>IMARGUMENT(W19)</f>
        <v>-3.730720274074047E-4</v>
      </c>
      <c r="Z19" s="32" t="str">
        <f t="shared" ref="Z19:Z82" si="53">IMSUM(COMPLEX(1,0),IMDIV(COMPLEX(0,2*PI()*O19),COMPLEX(Q*(wsl/2),0)),IMDIV(IMPOWER(COMPLEX(0,2*PI()*O19),2),IMPOWER(COMPLEX(wsl/2,0),2)))</f>
        <v>0.999999997836511+0.000170601985438402i</v>
      </c>
      <c r="AA19" s="18">
        <f>IMABS(Z19)</f>
        <v>1.0000000123890296</v>
      </c>
      <c r="AB19" s="18">
        <f>IMARGUMENT(Z19)</f>
        <v>1.7060198415237184E-4</v>
      </c>
      <c r="AC19" s="67" t="str">
        <f>(IMDIV(IMPRODUCT(P19,T19,W19),IMPRODUCT(Q19,Z19)))</f>
        <v>27.8820557754363-0.894991703868329i</v>
      </c>
      <c r="AD19" s="65">
        <f>20*LOG(IMABS(AC19))</f>
        <v>28.910968319748605</v>
      </c>
      <c r="AE19" s="62">
        <f>(180/PI())*IMARGUMENT(AC19)</f>
        <v>-1.83851745430113</v>
      </c>
      <c r="AF19" s="50" t="str">
        <f t="shared" ref="AF19:AF82" si="54">COMPLEX($B$72,0)</f>
        <v>79.1527877025864</v>
      </c>
      <c r="AG19" s="50" t="str">
        <f t="shared" ref="AG19:AG82" si="55">IMSUM(COMPLEX(1,0),IMDIV(COMPLEX(0,2*PI()*O19),COMPLEX(wp_lf_DCM,0)))</f>
        <v>1+0.0313365863340203i</v>
      </c>
      <c r="AH19" s="50">
        <f>IMABS(AG19)</f>
        <v>1.0004908703446871</v>
      </c>
      <c r="AI19" s="50">
        <f>IMARGUMENT(AG19)</f>
        <v>3.1326335055770878E-2</v>
      </c>
      <c r="AJ19" s="50" t="str">
        <f t="shared" ref="AJ19:AJ82" si="56">IMSUM(COMPLEX(1,0),IMDIV(COMPLEX(0,2*PI()*O19),COMPLEX(wz1_dcm,0)))</f>
        <v>1+0.0000282899737737684i</v>
      </c>
      <c r="AK19" s="50">
        <f>IMABS(AJ19)</f>
        <v>1.0000000004001612</v>
      </c>
      <c r="AL19" s="50">
        <f>IMARGUMENT(AJ19)</f>
        <v>2.8289973766221364E-5</v>
      </c>
      <c r="AM19" s="50" t="str">
        <f t="shared" ref="AM19:AM82" si="57">IMSUB(COMPLEX(1,0),IMDIV(COMPLEX(0,2*PI()*O19),COMPLEX(wz2_dcm,0)))</f>
        <v>1-0.000130522372843338i</v>
      </c>
      <c r="AN19" s="50">
        <f>IMABS(AM19)</f>
        <v>1.0000000085180449</v>
      </c>
      <c r="AO19" s="50">
        <f>IMARGUMENT(AM19)</f>
        <v>-1.3052237210214106E-4</v>
      </c>
      <c r="AP19" s="59" t="str">
        <f>(IMDIV(IMPRODUCT(AF19,AJ19,AM19),IMPRODUCT(AG19)))</f>
        <v>79.0748843350007-2.4860289191963i</v>
      </c>
      <c r="AQ19" s="50">
        <f>20*LOG(IMABS(AP19))</f>
        <v>37.965061777885794</v>
      </c>
      <c r="AR19" s="62">
        <f>(180/PI())*IMARGUMENT(AP19)</f>
        <v>-1.8007242712625393</v>
      </c>
      <c r="AS19" s="32" t="str">
        <f t="shared" ref="AS19:AS82" si="58">COMPLEX(Adc_ea,0)</f>
        <v>-0.0000166666666666667</v>
      </c>
      <c r="AT19" s="32" t="str">
        <f t="shared" ref="AT19:AT82" si="59">COMPLEX(0,2*PI()*O19*wp0_ea)</f>
        <v>2.18604342797301E-07i</v>
      </c>
      <c r="AU19" s="32">
        <f>IMABS(AT19)</f>
        <v>2.1860434279730101E-7</v>
      </c>
      <c r="AV19" s="32">
        <f>IMARGUMENT(AT19)</f>
        <v>1.5707963267948966</v>
      </c>
      <c r="AW19" s="32" t="str">
        <f t="shared" ref="AW19:AW82" si="60">IMSUM(COMPLEX(1,0),IMDIV(COMPLEX(0,2*PI()*O19),COMPLEX(wp1_ea,0)))</f>
        <v>1+0.000222159499929299i</v>
      </c>
      <c r="AX19" s="32">
        <f>IMABS(AW19)</f>
        <v>1.0000000246774214</v>
      </c>
      <c r="AY19" s="32">
        <f>IMARGUMENT(AW19)</f>
        <v>2.2215949627441667E-4</v>
      </c>
      <c r="AZ19" s="32" t="str">
        <f t="shared" ref="AZ19:AZ82" si="61">IMSUM(COMPLEX(1,0),IMDIV(COMPLEX(0,2*PI()*O19),COMPLEX(wz_ea,0)))</f>
        <v>1+0.00755342299759616i</v>
      </c>
      <c r="BA19" s="32">
        <f>IMABS(AZ19)</f>
        <v>1.0000285266926041</v>
      </c>
      <c r="BB19" s="32">
        <f>IMARGUMENT(AZ19)</f>
        <v>7.5532793510139492E-3</v>
      </c>
      <c r="BC19" s="59" t="str">
        <f>IMPRODUCT(AS19,IMDIV(AZ19,IMPRODUCT(AT19,AW19)))</f>
        <v>-0.55894460909158+76.2413664731413i</v>
      </c>
      <c r="BD19" s="50">
        <f>20*LOG(IMABS(BC19))</f>
        <v>37.644046846143986</v>
      </c>
      <c r="BE19" s="62">
        <f>(180/PI())*IMARGUMENT(BC19)</f>
        <v>90.420042226781135</v>
      </c>
      <c r="BF19" s="59" t="str">
        <f>IMPRODUCT(AC19,BC19)</f>
        <v>52.6508657189756+2126.26628318766i</v>
      </c>
      <c r="BG19" s="65">
        <f>20*LOG(IMABS(BF19))</f>
        <v>66.55501516589257</v>
      </c>
      <c r="BH19" s="62">
        <f>(180/PI())*IMARGUMENT(BF19)</f>
        <v>88.581524772480009</v>
      </c>
      <c r="BI19" s="59" t="str">
        <f>IMPRODUCT(AP19,BC19)</f>
        <v>145.339761577684+6030.16678786848i</v>
      </c>
      <c r="BJ19" s="65">
        <f>20*LOG(IMABS(BI19))</f>
        <v>75.609108624029787</v>
      </c>
      <c r="BK19" s="62">
        <f>(180/PI())*IMARGUMENT(BI19)</f>
        <v>88.619317955518611</v>
      </c>
      <c r="BL19" s="50">
        <f>IF($B$31=0,BJ19,BG19)</f>
        <v>66.55501516589257</v>
      </c>
      <c r="BM19" s="62">
        <f>IF($B$31=0,BK19,BH19)</f>
        <v>88.581524772480009</v>
      </c>
    </row>
    <row r="20" spans="1:65" x14ac:dyDescent="0.3">
      <c r="A20" t="s">
        <v>33</v>
      </c>
      <c r="B20" s="44">
        <f>IOUT</f>
        <v>4.166666666666667</v>
      </c>
      <c r="C20" t="s">
        <v>11</v>
      </c>
      <c r="E20" t="s">
        <v>34</v>
      </c>
      <c r="N20" s="11">
        <v>2</v>
      </c>
      <c r="O20" s="51">
        <f t="shared" ref="O20:O83" si="62">10^(1+(N20/100))</f>
        <v>10.471285480509</v>
      </c>
      <c r="P20" s="49" t="str">
        <f t="shared" si="50"/>
        <v>27.9103246607183</v>
      </c>
      <c r="Q20" s="18" t="str">
        <f t="shared" ref="Q20:Q82" si="63">IMSUM(COMPLEX(1,0),IMDIV(COMPLEX(0,2*PI()*O20),COMPLEX(wp_lf,0)))</f>
        <v>1+0.0323189635325929i</v>
      </c>
      <c r="R20" s="18">
        <f t="shared" ref="R20:R83" si="64">IMABS(Q20)</f>
        <v>1.0005221213965341</v>
      </c>
      <c r="S20" s="18">
        <f t="shared" ref="S20:S83" si="65">IMARGUMENT(Q20)</f>
        <v>3.230771802766548E-2</v>
      </c>
      <c r="T20" s="18" t="str">
        <f t="shared" si="51"/>
        <v>1+0.0000289489319145036i</v>
      </c>
      <c r="U20" s="18">
        <f t="shared" ref="U20:U83" si="66">IMABS(T20)</f>
        <v>1.0000000004190204</v>
      </c>
      <c r="V20" s="18">
        <f t="shared" ref="V20:V83" si="67">IMARGUMENT(T20)</f>
        <v>2.8948931906416806E-5</v>
      </c>
      <c r="W20" s="32" t="str">
        <f t="shared" si="52"/>
        <v>1-0.000381762008973531i</v>
      </c>
      <c r="X20" s="18">
        <f t="shared" ref="X20:X83" si="68">IMABS(W20)</f>
        <v>1.0000000728711131</v>
      </c>
      <c r="Y20" s="18">
        <f t="shared" ref="Y20:Y83" si="69">IMARGUMENT(W20)</f>
        <v>-3.817619904272503E-4</v>
      </c>
      <c r="Z20" s="32" t="str">
        <f t="shared" si="53"/>
        <v>0.999999997734549+0.0001745758161683i</v>
      </c>
      <c r="AA20" s="18">
        <f t="shared" ref="AA20:AA83" si="70">IMABS(Z20)</f>
        <v>1.0000000129729065</v>
      </c>
      <c r="AB20" s="18">
        <f t="shared" ref="AB20:AB83" si="71">IMARGUMENT(Z20)</f>
        <v>1.745758147902938E-4</v>
      </c>
      <c r="AC20" s="67" t="str">
        <f t="shared" ref="AC20:AC83" si="72">(IMDIV(IMPRODUCT(P20,T20,W20),IMPRODUCT(Q20,Z20)))</f>
        <v>27.8807248940445-0.915795725994941i</v>
      </c>
      <c r="AD20" s="65">
        <f t="shared" ref="AD20:AD83" si="73">20*LOG(IMABS(AC20))</f>
        <v>28.910764385665033</v>
      </c>
      <c r="AE20" s="62">
        <f t="shared" ref="AE20:AE83" si="74">(180/PI())*IMARGUMENT(AC20)</f>
        <v>-1.8813130452868463</v>
      </c>
      <c r="AF20" s="50" t="str">
        <f t="shared" si="54"/>
        <v>79.1527877025864</v>
      </c>
      <c r="AG20" s="50" t="str">
        <f t="shared" si="55"/>
        <v>1+0.0320665091976039i</v>
      </c>
      <c r="AH20" s="50">
        <f t="shared" ref="AH20:AH83" si="75">IMABS(AG20)</f>
        <v>1.0005139984088778</v>
      </c>
      <c r="AI20" s="50">
        <f t="shared" ref="AI20:AI83" si="76">IMARGUMENT(AG20)</f>
        <v>3.2055525059810103E-2</v>
      </c>
      <c r="AJ20" s="50" t="str">
        <f t="shared" si="56"/>
        <v>1+0.0000289489319145036i</v>
      </c>
      <c r="AK20" s="50">
        <f t="shared" ref="AK20:AK83" si="77">IMABS(AJ20)</f>
        <v>1.0000000004190204</v>
      </c>
      <c r="AL20" s="50">
        <f t="shared" ref="AL20:AL83" si="78">IMARGUMENT(AJ20)</f>
        <v>2.8948931906416806E-5</v>
      </c>
      <c r="AM20" s="50" t="str">
        <f t="shared" si="57"/>
        <v>1-0.000133562629466443i</v>
      </c>
      <c r="AN20" s="50">
        <f t="shared" ref="AN20:AN83" si="79">IMABS(AM20)</f>
        <v>1.000000008919488</v>
      </c>
      <c r="AO20" s="50">
        <f t="shared" ref="AO20:AO83" si="80">IMARGUMENT(AM20)</f>
        <v>-1.3356262867223614E-4</v>
      </c>
      <c r="AP20" s="59" t="str">
        <f t="shared" ref="AP20:AP83" si="81">(IMDIV(IMPRODUCT(AF20,AJ20,AM20),IMPRODUCT(AG20)))</f>
        <v>79.0712166337524-2.54381836124506i</v>
      </c>
      <c r="AQ20" s="50">
        <f t="shared" ref="AQ20:AQ83" si="82">20*LOG(IMABS(AP20))</f>
        <v>37.964860994605644</v>
      </c>
      <c r="AR20" s="62">
        <f t="shared" ref="AR20:AR83" si="83">(180/PI())*IMARGUMENT(AP20)</f>
        <v>-1.8426402193069056</v>
      </c>
      <c r="AS20" s="32" t="str">
        <f t="shared" si="58"/>
        <v>-0.0000166666666666667</v>
      </c>
      <c r="AT20" s="32" t="str">
        <f t="shared" si="59"/>
        <v>2.23696292066618E-07i</v>
      </c>
      <c r="AU20" s="32">
        <f t="shared" ref="AU20:AU83" si="84">IMABS(AT20)</f>
        <v>2.23696292066618E-7</v>
      </c>
      <c r="AV20" s="32">
        <f t="shared" ref="AV20:AV83" si="85">IMARGUMENT(AT20)</f>
        <v>1.5707963267948966</v>
      </c>
      <c r="AW20" s="32" t="str">
        <f t="shared" si="60"/>
        <v>1+0.000227334259446248i</v>
      </c>
      <c r="AX20" s="32">
        <f t="shared" ref="AX20:AX83" si="86">IMABS(AW20)</f>
        <v>1.0000000258404325</v>
      </c>
      <c r="AY20" s="32">
        <f t="shared" ref="AY20:AY83" si="87">IMARGUMENT(AW20)</f>
        <v>2.2733425552997103E-4</v>
      </c>
      <c r="AZ20" s="32" t="str">
        <f t="shared" si="61"/>
        <v>1+0.00772936482117244i</v>
      </c>
      <c r="BA20" s="32">
        <f t="shared" ref="BA20:BA83" si="88">IMABS(AZ20)</f>
        <v>1.0000298710941282</v>
      </c>
      <c r="BB20" s="32">
        <f t="shared" ref="BB20:BB83" si="89">IMARGUMENT(AZ20)</f>
        <v>7.7292109013347814E-3</v>
      </c>
      <c r="BC20" s="59" t="str">
        <f t="shared" ref="BC20:BC83" si="90">IMPRODUCT(AS20,IMDIV(AZ20,IMPRODUCT(AT20,AW20)))</f>
        <v>-0.558944607791461+74.5059068130545i</v>
      </c>
      <c r="BD20" s="50">
        <f t="shared" ref="BD20:BD83" si="91">20*LOG(IMABS(BC20))</f>
        <v>37.444058513024508</v>
      </c>
      <c r="BE20" s="62">
        <f t="shared" ref="BE20:BE83" si="92">(180/PI())*IMARGUMENT(BC20)</f>
        <v>90.429825870232378</v>
      </c>
      <c r="BF20" s="59" t="str">
        <f t="shared" ref="BF20:BF83" si="93">IMPRODUCT(AC20,BC20)</f>
        <v>52.6484101799293+2077.79056991897i</v>
      </c>
      <c r="BG20" s="65">
        <f t="shared" ref="BG20:BG83" si="94">20*LOG(IMABS(BF20))</f>
        <v>66.354822898689534</v>
      </c>
      <c r="BH20" s="62">
        <f t="shared" ref="BH20:BH83" si="95">(180/PI())*IMARGUMENT(BF20)</f>
        <v>88.548512824945533</v>
      </c>
      <c r="BI20" s="59" t="str">
        <f t="shared" ref="BI20:BI49" si="96">IMPRODUCT(AP20,BC20)</f>
        <v>145.333063603315+5892.69455166542i</v>
      </c>
      <c r="BJ20" s="65">
        <f t="shared" ref="BJ20:BJ83" si="97">20*LOG(IMABS(BI20))</f>
        <v>75.408919507630145</v>
      </c>
      <c r="BK20" s="62">
        <f t="shared" ref="BK20:BK49" si="98">(180/PI())*IMARGUMENT(BI20)</f>
        <v>88.587185650925477</v>
      </c>
      <c r="BL20" s="50">
        <f t="shared" ref="BL20:BL83" si="99">IF($B$31=0,BJ20,BG20)</f>
        <v>66.354822898689534</v>
      </c>
      <c r="BM20" s="62">
        <f t="shared" ref="BM20:BM83" si="100">IF($B$31=0,BK20,BH20)</f>
        <v>88.548512824945533</v>
      </c>
    </row>
    <row r="21" spans="1:65" s="32" customFormat="1" x14ac:dyDescent="0.3">
      <c r="A21"/>
      <c r="B21"/>
      <c r="C21"/>
      <c r="D21"/>
      <c r="E21"/>
      <c r="F21"/>
      <c r="G21"/>
      <c r="N21" s="11">
        <v>3</v>
      </c>
      <c r="O21" s="51">
        <f t="shared" si="62"/>
        <v>10.715193052376069</v>
      </c>
      <c r="P21" s="49" t="str">
        <f t="shared" si="50"/>
        <v>27.9103246607183</v>
      </c>
      <c r="Q21" s="18" t="str">
        <f t="shared" si="63"/>
        <v>1+0.0330717689006795i</v>
      </c>
      <c r="R21" s="18">
        <f t="shared" si="64"/>
        <v>1.0005467214969124</v>
      </c>
      <c r="S21" s="18">
        <f t="shared" si="65"/>
        <v>3.3059719480633326E-2</v>
      </c>
      <c r="T21" s="18" t="str">
        <f t="shared" si="51"/>
        <v>1+0.0000296232391621242i</v>
      </c>
      <c r="U21" s="18">
        <f t="shared" si="66"/>
        <v>1.0000000004387681</v>
      </c>
      <c r="V21" s="18">
        <f t="shared" si="67"/>
        <v>2.9623239153459044E-5</v>
      </c>
      <c r="W21" s="32" t="str">
        <f t="shared" si="52"/>
        <v>1-0.000390654388501637i</v>
      </c>
      <c r="X21" s="18">
        <f t="shared" si="68"/>
        <v>1.0000000763054226</v>
      </c>
      <c r="Y21" s="18">
        <f t="shared" si="69"/>
        <v>-3.9065436862893921E-4</v>
      </c>
      <c r="Z21" s="32" t="str">
        <f t="shared" si="53"/>
        <v>0.999999997627782+0.000178642209306714i</v>
      </c>
      <c r="AA21" s="18">
        <f t="shared" si="70"/>
        <v>1.0000000135843015</v>
      </c>
      <c r="AB21" s="18">
        <f t="shared" si="71"/>
        <v>1.7864220783015368E-4</v>
      </c>
      <c r="AC21" s="67" t="str">
        <f t="shared" si="72"/>
        <v>27.8793314241156-0.93708126423893i</v>
      </c>
      <c r="AD21" s="65">
        <f t="shared" si="73"/>
        <v>28.910550850729972</v>
      </c>
      <c r="AE21" s="62">
        <f t="shared" si="74"/>
        <v>-1.9251034026700735</v>
      </c>
      <c r="AF21" s="50" t="str">
        <f t="shared" si="54"/>
        <v>79.1527877025864</v>
      </c>
      <c r="AG21" s="50" t="str">
        <f t="shared" si="55"/>
        <v>1+0.0328134341488144i</v>
      </c>
      <c r="AH21" s="50">
        <f t="shared" si="75"/>
        <v>1.0005382158921461</v>
      </c>
      <c r="AI21" s="50">
        <f t="shared" si="76"/>
        <v>3.2801664775033261E-2</v>
      </c>
      <c r="AJ21" s="50" t="str">
        <f t="shared" si="56"/>
        <v>1+0.0000296232391621242i</v>
      </c>
      <c r="AK21" s="50">
        <f t="shared" si="77"/>
        <v>1.0000000004387681</v>
      </c>
      <c r="AL21" s="50">
        <f t="shared" si="78"/>
        <v>2.9623239153459044E-5</v>
      </c>
      <c r="AM21" s="50" t="str">
        <f t="shared" si="57"/>
        <v>1-0.000136673702763602i</v>
      </c>
      <c r="AN21" s="50">
        <f t="shared" si="79"/>
        <v>1.0000000093398504</v>
      </c>
      <c r="AO21" s="50">
        <f t="shared" si="80"/>
        <v>-1.3667370191259404E-4</v>
      </c>
      <c r="AP21" s="59" t="str">
        <f t="shared" si="81"/>
        <v>79.0673764425316-2.60294549283544i</v>
      </c>
      <c r="AQ21" s="50">
        <f t="shared" si="82"/>
        <v>37.964650758650059</v>
      </c>
      <c r="AR21" s="62">
        <f t="shared" si="83"/>
        <v>-1.8855304923233651</v>
      </c>
      <c r="AS21" s="32" t="str">
        <f t="shared" si="58"/>
        <v>-0.0000166666666666667</v>
      </c>
      <c r="AT21" s="32" t="str">
        <f t="shared" si="59"/>
        <v>2.28906848070959E-07i</v>
      </c>
      <c r="AU21" s="32">
        <f t="shared" si="84"/>
        <v>2.28906848070959E-7</v>
      </c>
      <c r="AV21" s="32">
        <f t="shared" si="85"/>
        <v>1.5707963267948966</v>
      </c>
      <c r="AW21" s="32" t="str">
        <f t="shared" si="60"/>
        <v>1+0.000232629554596681i</v>
      </c>
      <c r="AX21" s="32">
        <f t="shared" si="86"/>
        <v>1.0000000270582545</v>
      </c>
      <c r="AY21" s="32">
        <f t="shared" si="87"/>
        <v>2.3262955040031464E-4</v>
      </c>
      <c r="AZ21" s="32" t="str">
        <f t="shared" si="61"/>
        <v>1+0.00790940485628714i</v>
      </c>
      <c r="BA21" s="32">
        <f t="shared" si="88"/>
        <v>1.0000312788534069</v>
      </c>
      <c r="BB21" s="32">
        <f t="shared" si="89"/>
        <v>7.9092399284882396E-3</v>
      </c>
      <c r="BC21" s="59" t="str">
        <f t="shared" si="90"/>
        <v>-0.558944606430071+72.8099511709623i</v>
      </c>
      <c r="BD21" s="50">
        <f t="shared" si="91"/>
        <v>37.244070729714529</v>
      </c>
      <c r="BE21" s="62">
        <f t="shared" si="92"/>
        <v>90.439837375630759</v>
      </c>
      <c r="BF21" s="59" t="str">
        <f t="shared" si="93"/>
        <v>52.6458391620743+2030.41653618736i</v>
      </c>
      <c r="BG21" s="65">
        <f t="shared" si="94"/>
        <v>66.154621580444484</v>
      </c>
      <c r="BH21" s="62">
        <f t="shared" si="95"/>
        <v>88.514733972960684</v>
      </c>
      <c r="BI21" s="59" t="str">
        <f t="shared" si="96"/>
        <v>145.326050626896+5758.34672034087i</v>
      </c>
      <c r="BJ21" s="65">
        <f t="shared" si="97"/>
        <v>75.208721488364588</v>
      </c>
      <c r="BK21" s="62">
        <f t="shared" si="98"/>
        <v>88.554306883307405</v>
      </c>
      <c r="BL21" s="50">
        <f t="shared" si="99"/>
        <v>66.154621580444484</v>
      </c>
      <c r="BM21" s="62">
        <f t="shared" si="100"/>
        <v>88.514733972960684</v>
      </c>
    </row>
    <row r="22" spans="1:65" x14ac:dyDescent="0.3">
      <c r="A22" t="s">
        <v>174</v>
      </c>
      <c r="N22" s="11">
        <v>4</v>
      </c>
      <c r="O22" s="51">
        <f t="shared" si="62"/>
        <v>10.964781961431854</v>
      </c>
      <c r="P22" s="49" t="str">
        <f t="shared" si="50"/>
        <v>27.9103246607183</v>
      </c>
      <c r="Q22" s="18" t="str">
        <f t="shared" si="63"/>
        <v>1+0.0338421093583939i</v>
      </c>
      <c r="R22" s="18">
        <f t="shared" si="64"/>
        <v>1.0005724803160565</v>
      </c>
      <c r="S22" s="18">
        <f t="shared" si="65"/>
        <v>3.3829198571136941E-2</v>
      </c>
      <c r="T22" s="18" t="str">
        <f t="shared" si="51"/>
        <v>1+0.0000303132530432585i</v>
      </c>
      <c r="U22" s="18">
        <f t="shared" si="66"/>
        <v>1.0000000004594467</v>
      </c>
      <c r="V22" s="18">
        <f t="shared" si="67"/>
        <v>3.0313253033973619E-5</v>
      </c>
      <c r="W22" s="32" t="str">
        <f t="shared" si="52"/>
        <v>1-0.000399753898157448i</v>
      </c>
      <c r="X22" s="18">
        <f t="shared" si="68"/>
        <v>1.0000000799015865</v>
      </c>
      <c r="Y22" s="18">
        <f t="shared" si="69"/>
        <v>-3.997538768634688E-4</v>
      </c>
      <c r="Z22" s="32" t="str">
        <f t="shared" si="53"/>
        <v>0.999999997515983+0.000182803320909112i</v>
      </c>
      <c r="AA22" s="18">
        <f t="shared" si="70"/>
        <v>1.00000001422451</v>
      </c>
      <c r="AB22" s="18">
        <f t="shared" si="71"/>
        <v>1.828033193269491E-4</v>
      </c>
      <c r="AC22" s="67" t="str">
        <f t="shared" si="72"/>
        <v>27.877872428846-0.958859315397712i</v>
      </c>
      <c r="AD22" s="65">
        <f t="shared" si="73"/>
        <v>28.910327263458477</v>
      </c>
      <c r="AE22" s="62">
        <f t="shared" si="74"/>
        <v>-1.9699115496406656</v>
      </c>
      <c r="AF22" s="50" t="str">
        <f t="shared" si="54"/>
        <v>79.1527877025864</v>
      </c>
      <c r="AG22" s="50" t="str">
        <f t="shared" si="55"/>
        <v>1+0.0335777572171477i</v>
      </c>
      <c r="AH22" s="50">
        <f t="shared" si="75"/>
        <v>1.000563574081994</v>
      </c>
      <c r="AI22" s="50">
        <f t="shared" si="76"/>
        <v>3.3565146489539892E-2</v>
      </c>
      <c r="AJ22" s="50" t="str">
        <f t="shared" si="56"/>
        <v>1+0.0000303132530432585i</v>
      </c>
      <c r="AK22" s="50">
        <f t="shared" si="77"/>
        <v>1.0000000004594467</v>
      </c>
      <c r="AL22" s="50">
        <f t="shared" si="78"/>
        <v>3.0313253033973619E-5</v>
      </c>
      <c r="AM22" s="50" t="str">
        <f t="shared" si="57"/>
        <v>1-0.000139857242267057i</v>
      </c>
      <c r="AN22" s="50">
        <f t="shared" si="79"/>
        <v>1.0000000097800241</v>
      </c>
      <c r="AO22" s="50">
        <f t="shared" si="80"/>
        <v>-1.3985724135518552E-4</v>
      </c>
      <c r="AP22" s="59" t="str">
        <f t="shared" si="81"/>
        <v>79.0633556671447-2.66344087348751i</v>
      </c>
      <c r="AQ22" s="50">
        <f t="shared" si="82"/>
        <v>37.964430625486983</v>
      </c>
      <c r="AR22" s="62">
        <f t="shared" si="83"/>
        <v>-1.9294176407908228</v>
      </c>
      <c r="AS22" s="32" t="str">
        <f t="shared" si="58"/>
        <v>-0.0000166666666666667</v>
      </c>
      <c r="AT22" s="32" t="str">
        <f t="shared" si="59"/>
        <v>2.34238773516088E-07i</v>
      </c>
      <c r="AU22" s="32">
        <f t="shared" si="84"/>
        <v>2.34238773516088E-7</v>
      </c>
      <c r="AV22" s="32">
        <f t="shared" si="85"/>
        <v>1.5707963267948966</v>
      </c>
      <c r="AW22" s="32" t="str">
        <f t="shared" si="60"/>
        <v>1+0.000238048193016176i</v>
      </c>
      <c r="AX22" s="32">
        <f t="shared" si="86"/>
        <v>1.0000000283334707</v>
      </c>
      <c r="AY22" s="32">
        <f t="shared" si="87"/>
        <v>2.3804818851968842E-4</v>
      </c>
      <c r="AZ22" s="32" t="str">
        <f t="shared" si="61"/>
        <v>1+0.00809363856254999i</v>
      </c>
      <c r="BA22" s="32">
        <f t="shared" si="88"/>
        <v>1.0000327529562125</v>
      </c>
      <c r="BB22" s="32">
        <f t="shared" si="89"/>
        <v>8.0934618395420987E-3</v>
      </c>
      <c r="BC22" s="59" t="str">
        <f t="shared" si="90"/>
        <v>-0.558944605004519+71.1526003287343i</v>
      </c>
      <c r="BD22" s="50">
        <f t="shared" si="91"/>
        <v>37.044083522122484</v>
      </c>
      <c r="BE22" s="62">
        <f t="shared" si="92"/>
        <v>90.450082048533034</v>
      </c>
      <c r="BF22" s="59" t="str">
        <f t="shared" si="93"/>
        <v>52.6431472468695+1984.11906418642i</v>
      </c>
      <c r="BG22" s="65">
        <f t="shared" si="94"/>
        <v>65.954410785580947</v>
      </c>
      <c r="BH22" s="62">
        <f t="shared" si="95"/>
        <v>88.480170498892377</v>
      </c>
      <c r="BI22" s="59" t="str">
        <f t="shared" si="96"/>
        <v>145.318707866768+5627.0520623399i</v>
      </c>
      <c r="BJ22" s="65">
        <f t="shared" si="97"/>
        <v>75.008514147609461</v>
      </c>
      <c r="BK22" s="62">
        <f t="shared" si="98"/>
        <v>88.520664407742217</v>
      </c>
      <c r="BL22" s="50">
        <f t="shared" si="99"/>
        <v>65.954410785580947</v>
      </c>
      <c r="BM22" s="62">
        <f t="shared" si="100"/>
        <v>88.480170498892377</v>
      </c>
    </row>
    <row r="23" spans="1:65" x14ac:dyDescent="0.3">
      <c r="A23" t="s">
        <v>175</v>
      </c>
      <c r="B23" s="44">
        <f>Lm</f>
        <v>4.6999999999999999E-6</v>
      </c>
      <c r="C23" t="s">
        <v>87</v>
      </c>
      <c r="E23" t="s">
        <v>176</v>
      </c>
      <c r="N23" s="11">
        <v>5</v>
      </c>
      <c r="O23" s="51">
        <f t="shared" si="62"/>
        <v>11.220184543019636</v>
      </c>
      <c r="P23" s="49" t="str">
        <f t="shared" si="50"/>
        <v>27.9103246607183</v>
      </c>
      <c r="Q23" s="18" t="str">
        <f t="shared" si="63"/>
        <v>1+0.0346303933504434i</v>
      </c>
      <c r="R23" s="18">
        <f t="shared" si="64"/>
        <v>1.0005994524002131</v>
      </c>
      <c r="S23" s="18">
        <f t="shared" si="65"/>
        <v>3.4616559640235446E-2</v>
      </c>
      <c r="T23" s="18" t="str">
        <f t="shared" si="51"/>
        <v>1+0.0000310193394123996i</v>
      </c>
      <c r="U23" s="18">
        <f t="shared" si="66"/>
        <v>1.0000000004810996</v>
      </c>
      <c r="V23" s="18">
        <f t="shared" si="67"/>
        <v>3.1019339402450672E-5</v>
      </c>
      <c r="W23" s="32" t="str">
        <f t="shared" si="52"/>
        <v>1-0.000409065362621431i</v>
      </c>
      <c r="X23" s="18">
        <f t="shared" si="68"/>
        <v>1.000000083667232</v>
      </c>
      <c r="Y23" s="18">
        <f t="shared" si="69"/>
        <v>-4.0906533980452129E-4</v>
      </c>
      <c r="Z23" s="32" t="str">
        <f t="shared" si="53"/>
        <v>0.999999997398914+0.000187061357251945i</v>
      </c>
      <c r="AA23" s="18">
        <f t="shared" si="70"/>
        <v>1.0000000148948895</v>
      </c>
      <c r="AB23" s="18">
        <f t="shared" si="71"/>
        <v>1.8706135555662709E-4</v>
      </c>
      <c r="AC23" s="67" t="str">
        <f t="shared" si="72"/>
        <v>27.876344834267-0.981141116809049i</v>
      </c>
      <c r="AD23" s="65">
        <f t="shared" si="73"/>
        <v>28.91009315118318</v>
      </c>
      <c r="AE23" s="62">
        <f t="shared" si="74"/>
        <v>-2.0157610351166233</v>
      </c>
      <c r="AF23" s="50" t="str">
        <f t="shared" si="54"/>
        <v>79.1527877025864</v>
      </c>
      <c r="AG23" s="50" t="str">
        <f t="shared" si="55"/>
        <v>1+0.0343598836568118i</v>
      </c>
      <c r="AH23" s="50">
        <f t="shared" si="75"/>
        <v>1.0005901266777069</v>
      </c>
      <c r="AI23" s="50">
        <f t="shared" si="76"/>
        <v>3.4346371449111679E-2</v>
      </c>
      <c r="AJ23" s="50" t="str">
        <f t="shared" si="56"/>
        <v>1+0.0000310193394123996i</v>
      </c>
      <c r="AK23" s="50">
        <f t="shared" si="77"/>
        <v>1.0000000004810996</v>
      </c>
      <c r="AL23" s="50">
        <f t="shared" si="78"/>
        <v>3.1019339402450672E-5</v>
      </c>
      <c r="AM23" s="50" t="str">
        <f t="shared" si="57"/>
        <v>1-0.000143114935931591i</v>
      </c>
      <c r="AN23" s="50">
        <f t="shared" si="79"/>
        <v>1.0000000102409423</v>
      </c>
      <c r="AO23" s="50">
        <f t="shared" si="80"/>
        <v>-1.4311493495450313E-4</v>
      </c>
      <c r="AP23" s="59" t="str">
        <f t="shared" si="81"/>
        <v>79.0591458352993-2.72533573186148i</v>
      </c>
      <c r="AQ23" s="50">
        <f t="shared" si="82"/>
        <v>37.964200129726542</v>
      </c>
      <c r="AR23" s="62">
        <f t="shared" si="83"/>
        <v>-1.974324730149867</v>
      </c>
      <c r="AS23" s="32" t="str">
        <f t="shared" si="58"/>
        <v>-0.0000166666666666667</v>
      </c>
      <c r="AT23" s="32" t="str">
        <f t="shared" si="59"/>
        <v>2.39694895459451E-07i</v>
      </c>
      <c r="AU23" s="32">
        <f t="shared" si="84"/>
        <v>2.3969489545945102E-7</v>
      </c>
      <c r="AV23" s="32">
        <f t="shared" si="85"/>
        <v>1.5707963267948966</v>
      </c>
      <c r="AW23" s="32" t="str">
        <f t="shared" si="60"/>
        <v>1+0.00024359304773855i</v>
      </c>
      <c r="AX23" s="32">
        <f t="shared" si="86"/>
        <v>1.0000000296687861</v>
      </c>
      <c r="AY23" s="32">
        <f t="shared" si="87"/>
        <v>2.4359304292047675E-4</v>
      </c>
      <c r="AZ23" s="32" t="str">
        <f t="shared" si="61"/>
        <v>1+0.00828216362311068i</v>
      </c>
      <c r="BA23" s="32">
        <f t="shared" si="88"/>
        <v>1.0000342965290141</v>
      </c>
      <c r="BB23" s="32">
        <f t="shared" si="89"/>
        <v>8.2819742613467907E-3</v>
      </c>
      <c r="BC23" s="59" t="str">
        <f t="shared" si="90"/>
        <v>-0.558944603511786+69.532975537017i</v>
      </c>
      <c r="BD23" s="50">
        <f t="shared" si="91"/>
        <v>36.844096917377648</v>
      </c>
      <c r="BE23" s="62">
        <f t="shared" si="92"/>
        <v>90.46056531793306</v>
      </c>
      <c r="BF23" s="59" t="str">
        <f t="shared" si="93"/>
        <v>52.6403287626979+1938.87360695506i</v>
      </c>
      <c r="BG23" s="65">
        <f t="shared" si="94"/>
        <v>65.754190068560817</v>
      </c>
      <c r="BH23" s="62">
        <f t="shared" si="95"/>
        <v>88.444804282816435</v>
      </c>
      <c r="BI23" s="59" t="str">
        <f t="shared" si="96"/>
        <v>145.311019850791+5498.74096504341i</v>
      </c>
      <c r="BJ23" s="65">
        <f t="shared" si="97"/>
        <v>74.80829704710419</v>
      </c>
      <c r="BK23" s="62">
        <f t="shared" si="98"/>
        <v>88.4862405877832</v>
      </c>
      <c r="BL23" s="50">
        <f t="shared" si="99"/>
        <v>65.754190068560817</v>
      </c>
      <c r="BM23" s="62">
        <f t="shared" si="100"/>
        <v>88.444804282816435</v>
      </c>
    </row>
    <row r="24" spans="1:65" x14ac:dyDescent="0.3">
      <c r="A24" s="32"/>
      <c r="B24" s="32"/>
      <c r="C24" s="32"/>
      <c r="D24" s="32"/>
      <c r="E24" s="32"/>
      <c r="F24" s="32"/>
      <c r="G24" s="32"/>
      <c r="N24" s="11">
        <v>6</v>
      </c>
      <c r="O24" s="51">
        <f t="shared" si="62"/>
        <v>11.481536214968834</v>
      </c>
      <c r="P24" s="49" t="str">
        <f t="shared" si="50"/>
        <v>27.9103246607183</v>
      </c>
      <c r="Q24" s="18" t="str">
        <f t="shared" si="63"/>
        <v>1+0.0354370388354348i</v>
      </c>
      <c r="R24" s="18">
        <f t="shared" si="64"/>
        <v>1.0006276948602932</v>
      </c>
      <c r="S24" s="18">
        <f t="shared" si="65"/>
        <v>3.5422216250041494E-2</v>
      </c>
      <c r="T24" s="18" t="str">
        <f t="shared" si="51"/>
        <v>1+0.0000317418726458867i</v>
      </c>
      <c r="U24" s="18">
        <f t="shared" si="66"/>
        <v>1.0000000005037732</v>
      </c>
      <c r="V24" s="18">
        <f t="shared" si="67"/>
        <v>3.1741872635226225E-5</v>
      </c>
      <c r="W24" s="32" t="str">
        <f t="shared" si="52"/>
        <v>1-0.000418593718955296i</v>
      </c>
      <c r="X24" s="18">
        <f t="shared" si="68"/>
        <v>1.000000087610347</v>
      </c>
      <c r="Y24" s="18">
        <f t="shared" si="69"/>
        <v>-4.1859369450653684E-4</v>
      </c>
      <c r="Z24" s="32" t="str">
        <f t="shared" si="53"/>
        <v>0.999999997276329+0.000191418576002442i</v>
      </c>
      <c r="AA24" s="18">
        <f t="shared" si="70"/>
        <v>1.0000000155968645</v>
      </c>
      <c r="AB24" s="18">
        <f t="shared" si="71"/>
        <v>1.9141857418587604E-4</v>
      </c>
      <c r="AC24" s="67" t="str">
        <f t="shared" si="72"/>
        <v>27.8747454228987-1.00393815084566i</v>
      </c>
      <c r="AD24" s="65">
        <f t="shared" si="73"/>
        <v>28.909848019064881</v>
      </c>
      <c r="AE24" s="62">
        <f t="shared" si="74"/>
        <v>-2.0626759452385457</v>
      </c>
      <c r="AF24" s="50" t="str">
        <f t="shared" si="54"/>
        <v>79.1527877025864</v>
      </c>
      <c r="AG24" s="50" t="str">
        <f t="shared" si="55"/>
        <v>1+0.0351602281615975i</v>
      </c>
      <c r="AH24" s="50">
        <f t="shared" si="75"/>
        <v>1.000617929903505</v>
      </c>
      <c r="AI24" s="50">
        <f t="shared" si="76"/>
        <v>3.5145750053052587E-2</v>
      </c>
      <c r="AJ24" s="50" t="str">
        <f t="shared" si="56"/>
        <v>1+0.0000317418726458867i</v>
      </c>
      <c r="AK24" s="50">
        <f t="shared" si="77"/>
        <v>1.0000000005037732</v>
      </c>
      <c r="AL24" s="50">
        <f t="shared" si="78"/>
        <v>3.1741872635226225E-5</v>
      </c>
      <c r="AM24" s="50" t="str">
        <f t="shared" si="57"/>
        <v>1-0.000146448511029506i</v>
      </c>
      <c r="AN24" s="50">
        <f t="shared" si="79"/>
        <v>1.0000000107235831</v>
      </c>
      <c r="AO24" s="50">
        <f t="shared" si="80"/>
        <v>-1.4644850998253749E-4</v>
      </c>
      <c r="AP24" s="59" t="str">
        <f t="shared" si="81"/>
        <v>79.054738079109-2.78866197831286i</v>
      </c>
      <c r="AQ24" s="50">
        <f t="shared" si="82"/>
        <v>37.963958784146975</v>
      </c>
      <c r="AR24" s="62">
        <f t="shared" si="83"/>
        <v>-2.020275352063742</v>
      </c>
      <c r="AS24" s="32" t="str">
        <f t="shared" si="58"/>
        <v>-0.0000166666666666667</v>
      </c>
      <c r="AT24" s="32" t="str">
        <f t="shared" si="59"/>
        <v>2.45278106809125E-07i</v>
      </c>
      <c r="AU24" s="32">
        <f t="shared" si="84"/>
        <v>2.4527810680912499E-7</v>
      </c>
      <c r="AV24" s="32">
        <f t="shared" si="85"/>
        <v>1.5707963267948966</v>
      </c>
      <c r="AW24" s="32" t="str">
        <f t="shared" si="60"/>
        <v>1+0.000249267058719169i</v>
      </c>
      <c r="AX24" s="32">
        <f t="shared" si="86"/>
        <v>1.0000000310670327</v>
      </c>
      <c r="AY24" s="32">
        <f t="shared" si="87"/>
        <v>2.4926705355651053E-4</v>
      </c>
      <c r="AZ24" s="32" t="str">
        <f t="shared" si="61"/>
        <v>1+0.00847507999645175i</v>
      </c>
      <c r="BA24" s="32">
        <f t="shared" si="88"/>
        <v>1.0000359128456069</v>
      </c>
      <c r="BB24" s="32">
        <f t="shared" si="89"/>
        <v>8.4748770920596087E-3</v>
      </c>
      <c r="BC24" s="59" t="str">
        <f t="shared" si="90"/>
        <v>-0.5589446019487+67.9502180493068i</v>
      </c>
      <c r="BD24" s="50">
        <f t="shared" si="91"/>
        <v>36.644110943887341</v>
      </c>
      <c r="BE24" s="62">
        <f t="shared" si="92"/>
        <v>90.471292739126667</v>
      </c>
      <c r="BF24" s="59" t="str">
        <f t="shared" si="93"/>
        <v>52.637377773157+1894.65617536499i</v>
      </c>
      <c r="BG24" s="65">
        <f t="shared" si="94"/>
        <v>65.553958962952223</v>
      </c>
      <c r="BH24" s="62">
        <f t="shared" si="95"/>
        <v>88.408616793888129</v>
      </c>
      <c r="BI24" s="59" t="str">
        <f t="shared" si="96"/>
        <v>145.302970384384+5373.34539786573i</v>
      </c>
      <c r="BJ24" s="65">
        <f t="shared" si="97"/>
        <v>74.608069728034309</v>
      </c>
      <c r="BK24" s="62">
        <f t="shared" si="98"/>
        <v>88.451017387062933</v>
      </c>
      <c r="BL24" s="50">
        <f t="shared" si="99"/>
        <v>65.553958962952223</v>
      </c>
      <c r="BM24" s="62">
        <f t="shared" si="100"/>
        <v>88.408616793888129</v>
      </c>
    </row>
    <row r="25" spans="1:65" x14ac:dyDescent="0.3">
      <c r="A25" t="s">
        <v>137</v>
      </c>
      <c r="B25" s="44">
        <f>R_cs</f>
        <v>3.0000000000000001E-3</v>
      </c>
      <c r="C25" s="2" t="s">
        <v>36</v>
      </c>
      <c r="E25" t="s">
        <v>177</v>
      </c>
      <c r="N25" s="11">
        <v>7</v>
      </c>
      <c r="O25" s="51">
        <f t="shared" si="62"/>
        <v>11.748975549395301</v>
      </c>
      <c r="P25" s="49" t="str">
        <f t="shared" si="50"/>
        <v>27.9103246607183</v>
      </c>
      <c r="Q25" s="18" t="str">
        <f t="shared" si="63"/>
        <v>1+0.0362624735074814i</v>
      </c>
      <c r="R25" s="18">
        <f t="shared" si="64"/>
        <v>1.0006572674921623</v>
      </c>
      <c r="S25" s="18">
        <f t="shared" si="65"/>
        <v>3.6246591384462498E-2</v>
      </c>
      <c r="T25" s="18" t="str">
        <f t="shared" si="51"/>
        <v>1+0.0000324812358404041i</v>
      </c>
      <c r="U25" s="18">
        <f t="shared" si="66"/>
        <v>1.0000000005275154</v>
      </c>
      <c r="V25" s="18">
        <f t="shared" si="67"/>
        <v>3.2481235828981197E-5</v>
      </c>
      <c r="W25" s="32" t="str">
        <f t="shared" si="52"/>
        <v>1-0.000428344019219694i</v>
      </c>
      <c r="X25" s="18">
        <f t="shared" si="68"/>
        <v>1.0000000917392953</v>
      </c>
      <c r="Y25" s="18">
        <f t="shared" si="69"/>
        <v>-4.2834399302237676E-4</v>
      </c>
      <c r="Z25" s="32" t="str">
        <f t="shared" si="53"/>
        <v>0.999999997147966+0.000195877287415659i</v>
      </c>
      <c r="AA25" s="18">
        <f t="shared" si="70"/>
        <v>1.0000000163319216</v>
      </c>
      <c r="AB25" s="18">
        <f t="shared" si="71"/>
        <v>1.9587728546917356E-4</v>
      </c>
      <c r="AC25" s="67" t="str">
        <f t="shared" si="72"/>
        <v>27.8730708271185-1.02726214943627i</v>
      </c>
      <c r="AD25" s="65">
        <f t="shared" si="73"/>
        <v>28.909591349058044</v>
      </c>
      <c r="AE25" s="62">
        <f t="shared" si="74"/>
        <v>-2.1106809150784134</v>
      </c>
      <c r="AF25" s="50" t="str">
        <f t="shared" si="54"/>
        <v>79.1527877025864</v>
      </c>
      <c r="AG25" s="50" t="str">
        <f t="shared" si="55"/>
        <v>1+0.0359792150847552i</v>
      </c>
      <c r="AH25" s="50">
        <f t="shared" si="75"/>
        <v>1.0006470426269769</v>
      </c>
      <c r="AI25" s="50">
        <f t="shared" si="76"/>
        <v>3.5963702053682205E-2</v>
      </c>
      <c r="AJ25" s="50" t="str">
        <f t="shared" si="56"/>
        <v>1+0.0000324812358404041i</v>
      </c>
      <c r="AK25" s="50">
        <f t="shared" si="77"/>
        <v>1.0000000005275154</v>
      </c>
      <c r="AL25" s="50">
        <f t="shared" si="78"/>
        <v>3.2481235828981197E-5</v>
      </c>
      <c r="AM25" s="50" t="str">
        <f t="shared" si="57"/>
        <v>1-0.000149859735066445i</v>
      </c>
      <c r="AN25" s="50">
        <f t="shared" si="79"/>
        <v>1.00000001122897</v>
      </c>
      <c r="AO25" s="50">
        <f t="shared" si="80"/>
        <v>-1.4985973394459804E-4</v>
      </c>
      <c r="AP25" s="59" t="str">
        <f t="shared" si="81"/>
        <v>79.0501231168044-2.85345221752597i</v>
      </c>
      <c r="AQ25" s="50">
        <f t="shared" si="82"/>
        <v>37.963706078675415</v>
      </c>
      <c r="AR25" s="62">
        <f t="shared" si="83"/>
        <v>-2.0672936358895697</v>
      </c>
      <c r="AS25" s="32" t="str">
        <f t="shared" si="58"/>
        <v>-0.0000166666666666667</v>
      </c>
      <c r="AT25" s="32" t="str">
        <f t="shared" si="59"/>
        <v>2.50991367857667E-07i</v>
      </c>
      <c r="AU25" s="32">
        <f t="shared" si="84"/>
        <v>2.50991367857667E-7</v>
      </c>
      <c r="AV25" s="32">
        <f t="shared" si="85"/>
        <v>1.5707963267948966</v>
      </c>
      <c r="AW25" s="32" t="str">
        <f t="shared" si="60"/>
        <v>1+0.000255073234393761i</v>
      </c>
      <c r="AX25" s="32">
        <f t="shared" si="86"/>
        <v>1.0000000325311769</v>
      </c>
      <c r="AY25" s="32">
        <f t="shared" si="87"/>
        <v>2.5507322886187279E-4</v>
      </c>
      <c r="AZ25" s="32" t="str">
        <f t="shared" si="61"/>
        <v>1+0.00867248996938787i</v>
      </c>
      <c r="BA25" s="32">
        <f t="shared" si="88"/>
        <v>1.0000376053340541</v>
      </c>
      <c r="BB25" s="32">
        <f t="shared" si="89"/>
        <v>8.6722725538561328E-3</v>
      </c>
      <c r="BC25" s="59" t="str">
        <f t="shared" si="90"/>
        <v>-0.558944600311951+66.4034886666341i</v>
      </c>
      <c r="BD25" s="50">
        <f t="shared" si="91"/>
        <v>36.444125631397476</v>
      </c>
      <c r="BE25" s="62">
        <f t="shared" si="92"/>
        <v>90.482269996642529</v>
      </c>
      <c r="BF25" s="59" t="str">
        <f t="shared" si="93"/>
        <v>52.6342880648231+1851.44332540439i</v>
      </c>
      <c r="BG25" s="65">
        <f t="shared" si="94"/>
        <v>65.353716980455545</v>
      </c>
      <c r="BH25" s="62">
        <f t="shared" si="95"/>
        <v>88.371589081564125</v>
      </c>
      <c r="BI25" s="59" t="str">
        <f t="shared" si="96"/>
        <v>145.294542517135+5250.79887619199i</v>
      </c>
      <c r="BJ25" s="65">
        <f t="shared" si="97"/>
        <v>74.407831710072898</v>
      </c>
      <c r="BK25" s="62">
        <f t="shared" si="98"/>
        <v>88.414976360752974</v>
      </c>
      <c r="BL25" s="50">
        <f t="shared" si="99"/>
        <v>65.353716980455545</v>
      </c>
      <c r="BM25" s="62">
        <f t="shared" si="100"/>
        <v>88.371589081564125</v>
      </c>
    </row>
    <row r="26" spans="1:65" s="32" customFormat="1" x14ac:dyDescent="0.3">
      <c r="A26" t="s">
        <v>138</v>
      </c>
      <c r="B26" s="44">
        <f>R_sl</f>
        <v>0</v>
      </c>
      <c r="C26" s="2" t="s">
        <v>36</v>
      </c>
      <c r="D26"/>
      <c r="E26" t="s">
        <v>493</v>
      </c>
      <c r="F26"/>
      <c r="G26"/>
      <c r="K26"/>
      <c r="N26" s="11">
        <v>8</v>
      </c>
      <c r="O26" s="51">
        <f t="shared" si="62"/>
        <v>12.022644346174133</v>
      </c>
      <c r="P26" s="49" t="str">
        <f t="shared" si="50"/>
        <v>27.9103246607183</v>
      </c>
      <c r="Q26" s="18" t="str">
        <f t="shared" si="63"/>
        <v>1+0.0371071350229722i</v>
      </c>
      <c r="R26" s="18">
        <f t="shared" si="64"/>
        <v>1.0006882329025424</v>
      </c>
      <c r="S26" s="18">
        <f t="shared" si="65"/>
        <v>3.7090117653621399E-2</v>
      </c>
      <c r="T26" s="18" t="str">
        <f t="shared" si="51"/>
        <v>1+0.0000332378210161039i</v>
      </c>
      <c r="U26" s="18">
        <f t="shared" si="66"/>
        <v>1.0000000005523764</v>
      </c>
      <c r="V26" s="18">
        <f t="shared" si="67"/>
        <v>3.3237821003864042E-5</v>
      </c>
      <c r="W26" s="32" t="str">
        <f t="shared" si="52"/>
        <v>1-0.000438321433152885i</v>
      </c>
      <c r="X26" s="18">
        <f t="shared" si="68"/>
        <v>1.0000000960628348</v>
      </c>
      <c r="Y26" s="18">
        <f t="shared" si="69"/>
        <v>-4.3832140508195396E-4</v>
      </c>
      <c r="Z26" s="32" t="str">
        <f t="shared" si="53"/>
        <v>0.999999997013554+0.000200439855559407i</v>
      </c>
      <c r="AA26" s="18">
        <f t="shared" si="70"/>
        <v>1.0000000171016219</v>
      </c>
      <c r="AB26" s="18">
        <f t="shared" si="71"/>
        <v>2.0043985347371023E-4</v>
      </c>
      <c r="AC26" s="67" t="str">
        <f t="shared" si="72"/>
        <v>27.8713175222273-1.05112509860819i</v>
      </c>
      <c r="AD26" s="65">
        <f t="shared" si="73"/>
        <v>28.909322598827771</v>
      </c>
      <c r="AE26" s="62">
        <f t="shared" si="74"/>
        <v>-2.1598011405641344</v>
      </c>
      <c r="AF26" s="50" t="str">
        <f t="shared" si="54"/>
        <v>79.1527877025864</v>
      </c>
      <c r="AG26" s="50" t="str">
        <f t="shared" si="55"/>
        <v>1+0.0368172786639919i</v>
      </c>
      <c r="AH26" s="50">
        <f t="shared" si="75"/>
        <v>1.0006775264830434</v>
      </c>
      <c r="AI26" s="50">
        <f t="shared" si="76"/>
        <v>3.6800656759500734E-2</v>
      </c>
      <c r="AJ26" s="50" t="str">
        <f t="shared" si="56"/>
        <v>1+0.0000332378210161039i</v>
      </c>
      <c r="AK26" s="50">
        <f t="shared" si="77"/>
        <v>1.0000000005523764</v>
      </c>
      <c r="AL26" s="50">
        <f t="shared" si="78"/>
        <v>3.3237821003864042E-5</v>
      </c>
      <c r="AM26" s="50" t="str">
        <f t="shared" si="57"/>
        <v>1-0.000153350416718543i</v>
      </c>
      <c r="AN26" s="50">
        <f t="shared" si="79"/>
        <v>1.0000000117581751</v>
      </c>
      <c r="AO26" s="50">
        <f t="shared" si="80"/>
        <v>-1.5335041551646229E-4</v>
      </c>
      <c r="AP26" s="59" t="str">
        <f t="shared" si="81"/>
        <v>79.0452912336159-2.91973976121247i</v>
      </c>
      <c r="AQ26" s="50">
        <f t="shared" si="82"/>
        <v>37.963441479321666</v>
      </c>
      <c r="AR26" s="62">
        <f t="shared" si="83"/>
        <v>-2.1154042603609113</v>
      </c>
      <c r="AS26" s="32" t="str">
        <f t="shared" si="58"/>
        <v>-0.0000166666666666667</v>
      </c>
      <c r="AT26" s="32" t="str">
        <f t="shared" si="59"/>
        <v>2.56837707851712E-07i</v>
      </c>
      <c r="AU26" s="32">
        <f t="shared" si="84"/>
        <v>2.5683770785171202E-7</v>
      </c>
      <c r="AV26" s="32">
        <f t="shared" si="85"/>
        <v>1.5707963267948966</v>
      </c>
      <c r="AW26" s="32" t="str">
        <f t="shared" si="60"/>
        <v>1+0.000261014653273522i</v>
      </c>
      <c r="AX26" s="32">
        <f t="shared" si="86"/>
        <v>1.000000034064324</v>
      </c>
      <c r="AY26" s="32">
        <f t="shared" si="87"/>
        <v>2.6101464734599696E-4</v>
      </c>
      <c r="AZ26" s="32" t="str">
        <f t="shared" si="61"/>
        <v>1+0.00887449821129973i</v>
      </c>
      <c r="BA26" s="32">
        <f t="shared" si="88"/>
        <v>1.000039377583954</v>
      </c>
      <c r="BB26" s="32">
        <f t="shared" si="89"/>
        <v>8.8742652468556463E-3</v>
      </c>
      <c r="BC26" s="59" t="str">
        <f t="shared" si="90"/>
        <v>-0.558944598598061+64.8919672926061i</v>
      </c>
      <c r="BD26" s="50">
        <f t="shared" si="91"/>
        <v>36.244141011055248</v>
      </c>
      <c r="BE26" s="62">
        <f t="shared" si="92"/>
        <v>90.493502907240426</v>
      </c>
      <c r="BF26" s="59" t="str">
        <f t="shared" si="93"/>
        <v>52.6310531344596+1809.21214575053i</v>
      </c>
      <c r="BG26" s="65">
        <f t="shared" si="94"/>
        <v>65.153463609883019</v>
      </c>
      <c r="BH26" s="62">
        <f t="shared" si="95"/>
        <v>88.333701766676299</v>
      </c>
      <c r="BI26" s="59" t="str">
        <f t="shared" si="96"/>
        <v>145.285718507881+5131.03642613517i</v>
      </c>
      <c r="BJ26" s="65">
        <f t="shared" si="97"/>
        <v>74.207582490376922</v>
      </c>
      <c r="BK26" s="62">
        <f t="shared" si="98"/>
        <v>88.378098646879522</v>
      </c>
      <c r="BL26" s="50">
        <f t="shared" si="99"/>
        <v>65.153463609883019</v>
      </c>
      <c r="BM26" s="62">
        <f t="shared" si="100"/>
        <v>88.333701766676299</v>
      </c>
    </row>
    <row r="27" spans="1:65" s="32" customFormat="1" x14ac:dyDescent="0.3">
      <c r="A27" t="s">
        <v>129</v>
      </c>
      <c r="B27" s="22">
        <f>Rsl_int</f>
        <v>3000</v>
      </c>
      <c r="C27" s="2" t="s">
        <v>36</v>
      </c>
      <c r="D27"/>
      <c r="E27" t="s">
        <v>178</v>
      </c>
      <c r="F27"/>
      <c r="G27"/>
      <c r="K27"/>
      <c r="N27" s="11">
        <v>9</v>
      </c>
      <c r="O27" s="51">
        <f t="shared" si="62"/>
        <v>12.302687708123818</v>
      </c>
      <c r="P27" s="49" t="str">
        <f t="shared" si="50"/>
        <v>27.9103246607183</v>
      </c>
      <c r="Q27" s="18" t="str">
        <f t="shared" si="63"/>
        <v>1+0.0379714712326232i</v>
      </c>
      <c r="R27" s="18">
        <f t="shared" si="64"/>
        <v>1.000720656640788</v>
      </c>
      <c r="S27" s="18">
        <f t="shared" si="65"/>
        <v>3.7953237501971847E-2</v>
      </c>
      <c r="T27" s="18" t="str">
        <f t="shared" si="51"/>
        <v>1+0.0000340120293244611i</v>
      </c>
      <c r="U27" s="18">
        <f t="shared" si="66"/>
        <v>1.0000000005784091</v>
      </c>
      <c r="V27" s="18">
        <f t="shared" si="67"/>
        <v>3.4012029311345857E-5</v>
      </c>
      <c r="W27" s="32" t="str">
        <f t="shared" si="52"/>
        <v>1-0.000448531250911804i</v>
      </c>
      <c r="X27" s="18">
        <f t="shared" si="68"/>
        <v>1.0000001005901364</v>
      </c>
      <c r="Y27" s="18">
        <f t="shared" si="69"/>
        <v>-4.4853122083325962E-4</v>
      </c>
      <c r="Z27" s="32" t="str">
        <f t="shared" si="53"/>
        <v>0.999999996872807+0.000205108699567708i</v>
      </c>
      <c r="AA27" s="18">
        <f t="shared" si="70"/>
        <v>1.0000000179075963</v>
      </c>
      <c r="AB27" s="18">
        <f t="shared" si="71"/>
        <v>2.0510869733284369E-4</v>
      </c>
      <c r="AC27" s="67" t="str">
        <f t="shared" si="72"/>
        <v>27.8694818192041-1.07553924304607i</v>
      </c>
      <c r="AD27" s="65">
        <f t="shared" si="73"/>
        <v>28.909041200617271</v>
      </c>
      <c r="AE27" s="62">
        <f t="shared" si="74"/>
        <v>-2.2100623906206023</v>
      </c>
      <c r="AF27" s="50" t="str">
        <f t="shared" si="54"/>
        <v>79.1527877025864</v>
      </c>
      <c r="AG27" s="50" t="str">
        <f t="shared" si="55"/>
        <v>1+0.0376748632517107i</v>
      </c>
      <c r="AH27" s="50">
        <f t="shared" si="75"/>
        <v>1.0007094460037014</v>
      </c>
      <c r="AI27" s="50">
        <f t="shared" si="76"/>
        <v>3.7657053242045296E-2</v>
      </c>
      <c r="AJ27" s="50" t="str">
        <f t="shared" si="56"/>
        <v>1+0.0000340120293244611i</v>
      </c>
      <c r="AK27" s="50">
        <f t="shared" si="77"/>
        <v>1.0000000005784091</v>
      </c>
      <c r="AL27" s="50">
        <f t="shared" si="78"/>
        <v>3.4012029311345857E-5</v>
      </c>
      <c r="AM27" s="50" t="str">
        <f t="shared" si="57"/>
        <v>1-0.000156922406791418i</v>
      </c>
      <c r="AN27" s="50">
        <f t="shared" si="79"/>
        <v>1.0000000123123207</v>
      </c>
      <c r="AO27" s="50">
        <f t="shared" si="80"/>
        <v>-1.5692240550336533E-4</v>
      </c>
      <c r="AP27" s="59" t="str">
        <f t="shared" si="81"/>
        <v>79.0402322617937-2.98755864086062i</v>
      </c>
      <c r="AQ27" s="50">
        <f t="shared" si="82"/>
        <v>37.963164427062701</v>
      </c>
      <c r="AR27" s="62">
        <f t="shared" si="83"/>
        <v>-2.1646324654827995</v>
      </c>
      <c r="AS27" s="32" t="str">
        <f t="shared" si="58"/>
        <v>-0.0000166666666666667</v>
      </c>
      <c r="AT27" s="32" t="str">
        <f t="shared" si="59"/>
        <v>2.62820226598108E-07i</v>
      </c>
      <c r="AU27" s="32">
        <f t="shared" si="84"/>
        <v>2.6282022659810801E-7</v>
      </c>
      <c r="AV27" s="32">
        <f t="shared" si="85"/>
        <v>1.5707963267948966</v>
      </c>
      <c r="AW27" s="32" t="str">
        <f t="shared" si="60"/>
        <v>1+0.000267094465577386i</v>
      </c>
      <c r="AX27" s="32">
        <f t="shared" si="86"/>
        <v>1.0000000356697261</v>
      </c>
      <c r="AY27" s="32">
        <f t="shared" si="87"/>
        <v>2.6709445922592855E-4</v>
      </c>
      <c r="AZ27" s="32" t="str">
        <f t="shared" si="61"/>
        <v>1+0.00908121182963111i</v>
      </c>
      <c r="BA27" s="32">
        <f t="shared" si="88"/>
        <v>1.0000412333540527</v>
      </c>
      <c r="BB27" s="32">
        <f t="shared" si="89"/>
        <v>9.0809622042877253E-3</v>
      </c>
      <c r="BC27" s="59" t="str">
        <f t="shared" si="90"/>
        <v>-0.558944596803401+63.4148524985836i</v>
      </c>
      <c r="BD27" s="50">
        <f t="shared" si="91"/>
        <v>36.044157115475528</v>
      </c>
      <c r="BE27" s="62">
        <f t="shared" si="92"/>
        <v>90.504997422978533</v>
      </c>
      <c r="BF27" s="59" t="str">
        <f t="shared" si="93"/>
        <v>52.62766617565+1767.94024562534i</v>
      </c>
      <c r="BG27" s="65">
        <f t="shared" si="94"/>
        <v>64.953198316092823</v>
      </c>
      <c r="BH27" s="62">
        <f t="shared" si="95"/>
        <v>88.294935032357941</v>
      </c>
      <c r="BI27" s="59" t="str">
        <f t="shared" si="96"/>
        <v>145.27647978823+5013.99455009538i</v>
      </c>
      <c r="BJ27" s="65">
        <f t="shared" si="97"/>
        <v>74.007321542538236</v>
      </c>
      <c r="BK27" s="62">
        <f t="shared" si="98"/>
        <v>88.340364957495737</v>
      </c>
      <c r="BL27" s="50">
        <f t="shared" si="99"/>
        <v>64.953198316092823</v>
      </c>
      <c r="BM27" s="62">
        <f t="shared" si="100"/>
        <v>88.294935032357941</v>
      </c>
    </row>
    <row r="28" spans="1:65" x14ac:dyDescent="0.3">
      <c r="A28" t="s">
        <v>127</v>
      </c>
      <c r="B28" s="22">
        <f>Isl</f>
        <v>2.9999999999999997E-5</v>
      </c>
      <c r="C28" s="2" t="s">
        <v>11</v>
      </c>
      <c r="E28" t="s">
        <v>179</v>
      </c>
      <c r="K28" s="32"/>
      <c r="N28" s="11">
        <v>10</v>
      </c>
      <c r="O28" s="51">
        <f t="shared" si="62"/>
        <v>12.58925411794168</v>
      </c>
      <c r="P28" s="49" t="str">
        <f t="shared" si="50"/>
        <v>27.9103246607183</v>
      </c>
      <c r="Q28" s="18" t="str">
        <f t="shared" si="63"/>
        <v>1+0.0388559404189336i</v>
      </c>
      <c r="R28" s="18">
        <f t="shared" si="64"/>
        <v>1.0007546073368034</v>
      </c>
      <c r="S28" s="18">
        <f t="shared" si="65"/>
        <v>3.8836403420118411E-2</v>
      </c>
      <c r="T28" s="18" t="str">
        <f t="shared" si="51"/>
        <v>1+0.0000348042712609686i</v>
      </c>
      <c r="U28" s="18">
        <f t="shared" si="66"/>
        <v>1.0000000006056686</v>
      </c>
      <c r="V28" s="18">
        <f t="shared" si="67"/>
        <v>3.4804271246915358E-5</v>
      </c>
      <c r="W28" s="32" t="str">
        <f t="shared" si="52"/>
        <v>1-0.00045897888587697i</v>
      </c>
      <c r="X28" s="18">
        <f t="shared" si="68"/>
        <v>1.0000001053308034</v>
      </c>
      <c r="Y28" s="18">
        <f t="shared" si="69"/>
        <v>-4.5897885364722921E-4</v>
      </c>
      <c r="Z28" s="32" t="str">
        <f t="shared" si="53"/>
        <v>0.999999996725427+0.000209886294923454i</v>
      </c>
      <c r="AA28" s="18">
        <f t="shared" si="70"/>
        <v>1.0000000187515552</v>
      </c>
      <c r="AB28" s="18">
        <f t="shared" si="71"/>
        <v>2.0988629252875369E-4</v>
      </c>
      <c r="AC28" s="67" t="str">
        <f t="shared" si="72"/>
        <v>27.8675598571341-1.10051709066091i</v>
      </c>
      <c r="AD28" s="65">
        <f t="shared" si="73"/>
        <v>28.908746560063094</v>
      </c>
      <c r="AE28" s="62">
        <f t="shared" si="74"/>
        <v>-2.2614910195280307</v>
      </c>
      <c r="AF28" s="50" t="str">
        <f t="shared" si="54"/>
        <v>79.1527877025864</v>
      </c>
      <c r="AG28" s="50" t="str">
        <f t="shared" si="55"/>
        <v>1+0.0385524235506113i</v>
      </c>
      <c r="AH28" s="50">
        <f t="shared" si="75"/>
        <v>1.00074286875382</v>
      </c>
      <c r="AI28" s="50">
        <f t="shared" si="76"/>
        <v>3.8533340546446429E-2</v>
      </c>
      <c r="AJ28" s="50" t="str">
        <f t="shared" si="56"/>
        <v>1+0.0000348042712609686i</v>
      </c>
      <c r="AK28" s="50">
        <f t="shared" si="77"/>
        <v>1.0000000006056686</v>
      </c>
      <c r="AL28" s="50">
        <f t="shared" si="78"/>
        <v>3.4804271246915358E-5</v>
      </c>
      <c r="AM28" s="50" t="str">
        <f t="shared" si="57"/>
        <v>1-0.000160577599201488i</v>
      </c>
      <c r="AN28" s="50">
        <f t="shared" si="79"/>
        <v>1.0000000128925826</v>
      </c>
      <c r="AO28" s="50">
        <f t="shared" si="80"/>
        <v>-1.6057759782131471E-4</v>
      </c>
      <c r="AP28" s="59" t="str">
        <f t="shared" si="81"/>
        <v>79.0349355597258-3.05694362051894i</v>
      </c>
      <c r="AQ28" s="50">
        <f t="shared" si="82"/>
        <v>37.962874336675711</v>
      </c>
      <c r="AR28" s="62">
        <f t="shared" si="83"/>
        <v>-2.2150040646397415</v>
      </c>
      <c r="AS28" s="32" t="str">
        <f t="shared" si="58"/>
        <v>-0.0000166666666666667</v>
      </c>
      <c r="AT28" s="32" t="str">
        <f t="shared" si="59"/>
        <v>2.68942096107484E-07i</v>
      </c>
      <c r="AU28" s="32">
        <f t="shared" si="84"/>
        <v>2.6894209610748399E-7</v>
      </c>
      <c r="AV28" s="32">
        <f t="shared" si="85"/>
        <v>1.5707963267948966</v>
      </c>
      <c r="AW28" s="32" t="str">
        <f t="shared" si="60"/>
        <v>1+0.000273315894902312i</v>
      </c>
      <c r="AX28" s="32">
        <f t="shared" si="86"/>
        <v>1.0000000373507885</v>
      </c>
      <c r="AY28" s="32">
        <f t="shared" si="87"/>
        <v>2.7331588809660276E-4</v>
      </c>
      <c r="AZ28" s="32" t="str">
        <f t="shared" si="61"/>
        <v>1+0.00929274042667861i</v>
      </c>
      <c r="BA28" s="32">
        <f t="shared" si="88"/>
        <v>1.0000431765802102</v>
      </c>
      <c r="BB28" s="32">
        <f t="shared" si="89"/>
        <v>9.2924729489278022E-3</v>
      </c>
      <c r="BC28" s="59" t="str">
        <f t="shared" si="90"/>
        <v>-0.558944594924159+61.9713610987505i</v>
      </c>
      <c r="BD28" s="50">
        <f t="shared" si="91"/>
        <v>35.844173978809621</v>
      </c>
      <c r="BE28" s="62">
        <f t="shared" si="92"/>
        <v>90.516759634351246</v>
      </c>
      <c r="BF28" s="59" t="str">
        <f t="shared" si="93"/>
        <v>52.624120064823+1727.60574292695i</v>
      </c>
      <c r="BG28" s="65">
        <f t="shared" si="94"/>
        <v>64.752920538872729</v>
      </c>
      <c r="BH28" s="62">
        <f t="shared" si="95"/>
        <v>88.255268614823208</v>
      </c>
      <c r="BI28" s="59" t="str">
        <f t="shared" si="96"/>
        <v>145.266806924413+4899.61119310192i</v>
      </c>
      <c r="BJ28" s="65">
        <f t="shared" si="97"/>
        <v>73.807048315485332</v>
      </c>
      <c r="BK28" s="62">
        <f t="shared" si="98"/>
        <v>88.301755569711517</v>
      </c>
      <c r="BL28" s="50">
        <f t="shared" si="99"/>
        <v>64.752920538872729</v>
      </c>
      <c r="BM28" s="62">
        <f t="shared" si="100"/>
        <v>88.255268614823208</v>
      </c>
    </row>
    <row r="29" spans="1:65" x14ac:dyDescent="0.3">
      <c r="A29" s="32" t="s">
        <v>491</v>
      </c>
      <c r="B29" s="22">
        <f>Vsl</f>
        <v>4.4999999999999998E-2</v>
      </c>
      <c r="C29" s="2"/>
      <c r="D29" s="32"/>
      <c r="E29" s="32"/>
      <c r="F29" s="32"/>
      <c r="G29" s="32"/>
      <c r="N29" s="11">
        <v>11</v>
      </c>
      <c r="O29" s="51">
        <f t="shared" si="62"/>
        <v>12.882495516931346</v>
      </c>
      <c r="P29" s="49" t="str">
        <f t="shared" si="50"/>
        <v>27.9103246607183</v>
      </c>
      <c r="Q29" s="18" t="str">
        <f t="shared" si="63"/>
        <v>1+0.0397610115391732i</v>
      </c>
      <c r="R29" s="18">
        <f t="shared" si="64"/>
        <v>1.000790156845389</v>
      </c>
      <c r="S29" s="18">
        <f t="shared" si="65"/>
        <v>3.9740078160347934E-2</v>
      </c>
      <c r="T29" s="18" t="str">
        <f t="shared" si="51"/>
        <v>1+0.0000356149668827876i</v>
      </c>
      <c r="U29" s="18">
        <f t="shared" si="66"/>
        <v>1.0000000006342129</v>
      </c>
      <c r="V29" s="18">
        <f t="shared" si="67"/>
        <v>3.5614966867729287E-5</v>
      </c>
      <c r="W29" s="32" t="str">
        <f t="shared" si="52"/>
        <v>1-0.000469669877522731i</v>
      </c>
      <c r="X29" s="18">
        <f t="shared" si="68"/>
        <v>1.0000001102948908</v>
      </c>
      <c r="Y29" s="18">
        <f t="shared" si="69"/>
        <v>-4.6966984298794175E-4</v>
      </c>
      <c r="Z29" s="32" t="str">
        <f t="shared" si="53"/>
        <v>0.999999996571101+0.000214775174770942i</v>
      </c>
      <c r="AA29" s="18">
        <f t="shared" si="70"/>
        <v>1.0000000196352885</v>
      </c>
      <c r="AB29" s="18">
        <f t="shared" si="71"/>
        <v>2.1477517220497449E-4</v>
      </c>
      <c r="AC29" s="67" t="str">
        <f t="shared" si="72"/>
        <v>27.8655475952959-1.12607141716297i</v>
      </c>
      <c r="AD29" s="65">
        <f t="shared" si="73"/>
        <v>28.908438054955603</v>
      </c>
      <c r="AE29" s="62">
        <f t="shared" si="74"/>
        <v>-2.3141139794982406</v>
      </c>
      <c r="AF29" s="50" t="str">
        <f t="shared" si="54"/>
        <v>79.1527877025864</v>
      </c>
      <c r="AG29" s="50" t="str">
        <f t="shared" si="55"/>
        <v>1+0.03945042485478i</v>
      </c>
      <c r="AH29" s="50">
        <f t="shared" si="75"/>
        <v>1.0007778654732642</v>
      </c>
      <c r="AI29" s="50">
        <f t="shared" si="76"/>
        <v>3.9429977905695968E-2</v>
      </c>
      <c r="AJ29" s="50" t="str">
        <f t="shared" si="56"/>
        <v>1+0.0000356149668827876i</v>
      </c>
      <c r="AK29" s="50">
        <f t="shared" si="77"/>
        <v>1.0000000006342129</v>
      </c>
      <c r="AL29" s="50">
        <f t="shared" si="78"/>
        <v>3.5614966867729287E-5</v>
      </c>
      <c r="AM29" s="50" t="str">
        <f t="shared" si="57"/>
        <v>1-0.000164317931980151i</v>
      </c>
      <c r="AN29" s="50">
        <f t="shared" si="79"/>
        <v>1.0000000135001914</v>
      </c>
      <c r="AO29" s="50">
        <f t="shared" si="80"/>
        <v>-1.6431793050126865E-4</v>
      </c>
      <c r="AP29" s="59" t="str">
        <f t="shared" si="81"/>
        <v>79.0293899901179-3.12793020959729i</v>
      </c>
      <c r="AQ29" s="50">
        <f t="shared" si="82"/>
        <v>37.962570595517448</v>
      </c>
      <c r="AR29" s="62">
        <f t="shared" si="83"/>
        <v>-2.2665454569174877</v>
      </c>
      <c r="AS29" s="32" t="str">
        <f t="shared" si="58"/>
        <v>-0.0000166666666666667</v>
      </c>
      <c r="AT29" s="32" t="str">
        <f t="shared" si="59"/>
        <v>2.75206562276086E-07i</v>
      </c>
      <c r="AU29" s="32">
        <f t="shared" si="84"/>
        <v>2.7520656227608601E-7</v>
      </c>
      <c r="AV29" s="32">
        <f t="shared" si="85"/>
        <v>1.5707963267948966</v>
      </c>
      <c r="AW29" s="32" t="str">
        <f t="shared" si="60"/>
        <v>1+0.000279682239932479i</v>
      </c>
      <c r="AX29" s="32">
        <f t="shared" si="86"/>
        <v>1.000000039111077</v>
      </c>
      <c r="AY29" s="32">
        <f t="shared" si="87"/>
        <v>2.7968223264003013E-4</v>
      </c>
      <c r="AZ29" s="32" t="str">
        <f t="shared" si="61"/>
        <v>1+0.00950919615770427i</v>
      </c>
      <c r="BA29" s="32">
        <f t="shared" si="88"/>
        <v>1.0000452113837481</v>
      </c>
      <c r="BB29" s="32">
        <f t="shared" si="89"/>
        <v>9.5089095508303668E-3</v>
      </c>
      <c r="BC29" s="59" t="str">
        <f t="shared" si="90"/>
        <v>-0.558944592956349+60.5607277348598i</v>
      </c>
      <c r="BD29" s="50">
        <f t="shared" si="91"/>
        <v>35.644191636817851</v>
      </c>
      <c r="BE29" s="62">
        <f t="shared" si="92"/>
        <v>90.528795773499141</v>
      </c>
      <c r="BF29" s="59" t="str">
        <f t="shared" si="93"/>
        <v>52.6204073466559+1688.1872526314i</v>
      </c>
      <c r="BG29" s="65">
        <f t="shared" si="94"/>
        <v>64.552629691773461</v>
      </c>
      <c r="BH29" s="62">
        <f t="shared" si="95"/>
        <v>88.21468179400091</v>
      </c>
      <c r="BI29" s="59" t="str">
        <f t="shared" si="96"/>
        <v>145.256679577449+4787.82570992138i</v>
      </c>
      <c r="BJ29" s="65">
        <f t="shared" si="97"/>
        <v>73.606762232335285</v>
      </c>
      <c r="BK29" s="62">
        <f t="shared" si="98"/>
        <v>88.262250316581671</v>
      </c>
      <c r="BL29" s="50">
        <f t="shared" si="99"/>
        <v>64.552629691773461</v>
      </c>
      <c r="BM29" s="62">
        <f t="shared" si="100"/>
        <v>88.21468179400091</v>
      </c>
    </row>
    <row r="30" spans="1:65" x14ac:dyDescent="0.3">
      <c r="A30" s="32" t="s">
        <v>201</v>
      </c>
      <c r="B30" s="22">
        <f>Gcomp</f>
        <v>1</v>
      </c>
      <c r="C30" s="2"/>
      <c r="D30" s="32"/>
      <c r="E30" s="32" t="s">
        <v>202</v>
      </c>
      <c r="F30" s="32"/>
      <c r="G30" s="32"/>
      <c r="N30" s="11">
        <v>12</v>
      </c>
      <c r="O30" s="51">
        <f t="shared" si="62"/>
        <v>13.182567385564075</v>
      </c>
      <c r="P30" s="49" t="str">
        <f t="shared" si="50"/>
        <v>27.9103246607183</v>
      </c>
      <c r="Q30" s="18" t="str">
        <f t="shared" si="63"/>
        <v>1+0.0406871644740301i</v>
      </c>
      <c r="R30" s="18">
        <f t="shared" si="64"/>
        <v>1.0008273803973073</v>
      </c>
      <c r="S30" s="18">
        <f t="shared" si="65"/>
        <v>4.0664734955872764E-2</v>
      </c>
      <c r="T30" s="18" t="str">
        <f t="shared" si="51"/>
        <v>1+0.0000364445460314677i</v>
      </c>
      <c r="U30" s="18">
        <f t="shared" si="66"/>
        <v>1.0000000006641023</v>
      </c>
      <c r="V30" s="18">
        <f t="shared" si="67"/>
        <v>3.6444546015332427E-5</v>
      </c>
      <c r="W30" s="32" t="str">
        <f t="shared" si="52"/>
        <v>1-0.000480609894354371i</v>
      </c>
      <c r="X30" s="18">
        <f t="shared" si="68"/>
        <v>1.0000001154929286</v>
      </c>
      <c r="Y30" s="18">
        <f t="shared" si="69"/>
        <v>-4.8060985734967786E-4</v>
      </c>
      <c r="Z30" s="32" t="str">
        <f t="shared" si="53"/>
        <v>0.999999996409502+0.000219777931258979i</v>
      </c>
      <c r="AA30" s="18">
        <f t="shared" si="70"/>
        <v>1.0000000205606714</v>
      </c>
      <c r="AB30" s="18">
        <f t="shared" si="71"/>
        <v>2.1977792850949525E-4</v>
      </c>
      <c r="AC30" s="67" t="str">
        <f t="shared" si="72"/>
        <v>27.8634408048942-1.15221527063148i</v>
      </c>
      <c r="AD30" s="65">
        <f t="shared" si="73"/>
        <v>28.908115033942565</v>
      </c>
      <c r="AE30" s="62">
        <f t="shared" si="74"/>
        <v>-2.3679588334689092</v>
      </c>
      <c r="AF30" s="50" t="str">
        <f t="shared" si="54"/>
        <v>79.1527877025864</v>
      </c>
      <c r="AG30" s="50" t="str">
        <f t="shared" si="55"/>
        <v>1+0.0403693432963949i</v>
      </c>
      <c r="AH30" s="50">
        <f t="shared" si="75"/>
        <v>1.0008145102256372</v>
      </c>
      <c r="AI30" s="50">
        <f t="shared" si="76"/>
        <v>4.0347434958626277E-2</v>
      </c>
      <c r="AJ30" s="50" t="str">
        <f t="shared" si="56"/>
        <v>1+0.0000364445460314677i</v>
      </c>
      <c r="AK30" s="50">
        <f t="shared" si="77"/>
        <v>1.0000000006641023</v>
      </c>
      <c r="AL30" s="50">
        <f t="shared" si="78"/>
        <v>3.6444546015332427E-5</v>
      </c>
      <c r="AM30" s="50" t="str">
        <f t="shared" si="57"/>
        <v>1-0.000168145388301354i</v>
      </c>
      <c r="AN30" s="50">
        <f t="shared" si="79"/>
        <v>1.0000000141364358</v>
      </c>
      <c r="AO30" s="50">
        <f t="shared" si="80"/>
        <v>-1.6814538671670304E-4</v>
      </c>
      <c r="AP30" s="59" t="str">
        <f t="shared" si="81"/>
        <v>79.0235838971925-3.20055467566567i</v>
      </c>
      <c r="AQ30" s="50">
        <f t="shared" si="82"/>
        <v>37.962252562247286</v>
      </c>
      <c r="AR30" s="62">
        <f t="shared" si="83"/>
        <v>-2.319283639638396</v>
      </c>
      <c r="AS30" s="32" t="str">
        <f t="shared" si="58"/>
        <v>-0.0000166666666666667</v>
      </c>
      <c r="AT30" s="32" t="str">
        <f t="shared" si="59"/>
        <v>2.81616946606795E-07i</v>
      </c>
      <c r="AU30" s="32">
        <f t="shared" si="84"/>
        <v>2.8161694660679502E-7</v>
      </c>
      <c r="AV30" s="32">
        <f t="shared" si="85"/>
        <v>1.5707963267948966</v>
      </c>
      <c r="AW30" s="32" t="str">
        <f t="shared" si="60"/>
        <v>1+0.00028619687618829i</v>
      </c>
      <c r="AX30" s="32">
        <f t="shared" si="86"/>
        <v>1.000000040954325</v>
      </c>
      <c r="AY30" s="32">
        <f t="shared" si="87"/>
        <v>2.8619686837429029E-4</v>
      </c>
      <c r="AZ30" s="32" t="str">
        <f t="shared" si="61"/>
        <v>1+0.00973069379040186i</v>
      </c>
      <c r="BA30" s="32">
        <f t="shared" si="88"/>
        <v>1.000047342080185</v>
      </c>
      <c r="BB30" s="32">
        <f t="shared" si="89"/>
        <v>9.7303866863886496E-3</v>
      </c>
      <c r="BC30" s="59" t="str">
        <f t="shared" si="90"/>
        <v>-0.558944590895805+59.1822044704303i</v>
      </c>
      <c r="BD30" s="50">
        <f t="shared" si="91"/>
        <v>35.444210126945329</v>
      </c>
      <c r="BE30" s="62">
        <f t="shared" si="92"/>
        <v>90.541112217492639</v>
      </c>
      <c r="BF30" s="59" t="str">
        <f t="shared" si="93"/>
        <v>52.6165202188234+1649.66387545805i</v>
      </c>
      <c r="BG30" s="65">
        <f t="shared" si="94"/>
        <v>64.352325160887915</v>
      </c>
      <c r="BH30" s="62">
        <f t="shared" si="95"/>
        <v>88.173153384023749</v>
      </c>
      <c r="BI30" s="59" t="str">
        <f t="shared" si="96"/>
        <v>145.246076461501+4678.57883291368i</v>
      </c>
      <c r="BJ30" s="65">
        <f t="shared" si="97"/>
        <v>73.406462689192608</v>
      </c>
      <c r="BK30" s="62">
        <f t="shared" si="98"/>
        <v>88.221828577854254</v>
      </c>
      <c r="BL30" s="50">
        <f t="shared" si="99"/>
        <v>64.352325160887915</v>
      </c>
      <c r="BM30" s="62">
        <f t="shared" si="100"/>
        <v>88.173153384023749</v>
      </c>
    </row>
    <row r="31" spans="1:65" x14ac:dyDescent="0.3">
      <c r="A31" t="s">
        <v>481</v>
      </c>
      <c r="B31">
        <f>IF(Variable_Management!B20=3,1,IF((VOUT*IOUT)/(VIN_var*Np)&lt;((VIN_var*(1-(VIN_var/VOUT)))/(2*Lm*Fsw)),0,1))</f>
        <v>1</v>
      </c>
      <c r="E31" t="s">
        <v>482</v>
      </c>
      <c r="N31" s="11">
        <v>13</v>
      </c>
      <c r="O31" s="51">
        <f t="shared" si="62"/>
        <v>13.489628825916535</v>
      </c>
      <c r="P31" s="49" t="str">
        <f t="shared" si="50"/>
        <v>27.9103246607183</v>
      </c>
      <c r="Q31" s="18" t="str">
        <f t="shared" si="63"/>
        <v>1+0.0416348902820495i</v>
      </c>
      <c r="R31" s="18">
        <f t="shared" si="64"/>
        <v>1.0008663567573837</v>
      </c>
      <c r="S31" s="18">
        <f t="shared" si="65"/>
        <v>4.161085774377888E-2</v>
      </c>
      <c r="T31" s="18" t="str">
        <f t="shared" si="51"/>
        <v>1+0.0000372934485608542i</v>
      </c>
      <c r="U31" s="18">
        <f t="shared" si="66"/>
        <v>1.0000000006954006</v>
      </c>
      <c r="V31" s="18">
        <f t="shared" si="67"/>
        <v>3.7293448543564945E-5</v>
      </c>
      <c r="W31" s="32" t="str">
        <f t="shared" si="52"/>
        <v>1-0.000491804736913621i</v>
      </c>
      <c r="X31" s="18">
        <f t="shared" si="68"/>
        <v>1.0000001209359424</v>
      </c>
      <c r="Y31" s="18">
        <f t="shared" si="69"/>
        <v>-4.9180469726237824E-4</v>
      </c>
      <c r="Z31" s="32" t="str">
        <f t="shared" si="53"/>
        <v>0.999999996240287+0.000224897216915275i</v>
      </c>
      <c r="AA31" s="18">
        <f t="shared" si="70"/>
        <v>1.000000021529666</v>
      </c>
      <c r="AB31" s="18">
        <f t="shared" si="71"/>
        <v>2.2489721396915009E-4</v>
      </c>
      <c r="AC31" s="67" t="str">
        <f t="shared" si="72"/>
        <v>27.8612350604225-1.17896197607328i</v>
      </c>
      <c r="AD31" s="65">
        <f t="shared" si="73"/>
        <v>28.907776815173101</v>
      </c>
      <c r="AE31" s="62">
        <f t="shared" si="74"/>
        <v>-2.4230537681152695</v>
      </c>
      <c r="AF31" s="50" t="str">
        <f t="shared" si="54"/>
        <v>79.1527877025864</v>
      </c>
      <c r="AG31" s="50" t="str">
        <f t="shared" si="55"/>
        <v>1+0.0413096660981769i</v>
      </c>
      <c r="AH31" s="50">
        <f t="shared" si="75"/>
        <v>1.0008528805539518</v>
      </c>
      <c r="AI31" s="50">
        <f t="shared" si="76"/>
        <v>4.1286191971597157E-2</v>
      </c>
      <c r="AJ31" s="50" t="str">
        <f t="shared" si="56"/>
        <v>1+0.0000372934485608542i</v>
      </c>
      <c r="AK31" s="50">
        <f t="shared" si="77"/>
        <v>1.0000000006954006</v>
      </c>
      <c r="AL31" s="50">
        <f t="shared" si="78"/>
        <v>3.7293448543564945E-5</v>
      </c>
      <c r="AM31" s="50" t="str">
        <f t="shared" si="57"/>
        <v>1-0.000172061997533102i</v>
      </c>
      <c r="AN31" s="50">
        <f t="shared" si="79"/>
        <v>1.0000000148026655</v>
      </c>
      <c r="AO31" s="50">
        <f t="shared" si="80"/>
        <v>-1.7206199583511792E-4</v>
      </c>
      <c r="AP31" s="59" t="str">
        <f t="shared" si="81"/>
        <v>79.0175050828684-3.27485405723007i</v>
      </c>
      <c r="AQ31" s="50">
        <f t="shared" si="82"/>
        <v>37.961919565491684</v>
      </c>
      <c r="AR31" s="62">
        <f t="shared" si="83"/>
        <v>-2.3732462211103313</v>
      </c>
      <c r="AS31" s="32" t="str">
        <f t="shared" si="58"/>
        <v>-0.0000166666666666667</v>
      </c>
      <c r="AT31" s="32" t="str">
        <f t="shared" si="59"/>
        <v>2.88176647970237E-07i</v>
      </c>
      <c r="AU31" s="32">
        <f t="shared" si="84"/>
        <v>2.88176647970237E-7</v>
      </c>
      <c r="AV31" s="32">
        <f t="shared" si="85"/>
        <v>1.5707963267948966</v>
      </c>
      <c r="AW31" s="32" t="str">
        <f t="shared" si="60"/>
        <v>1+0.00029286325781612i</v>
      </c>
      <c r="AX31" s="32">
        <f t="shared" si="86"/>
        <v>1.0000000428844429</v>
      </c>
      <c r="AY31" s="32">
        <f t="shared" si="87"/>
        <v>2.9286324944326848E-4</v>
      </c>
      <c r="AZ31" s="32" t="str">
        <f t="shared" si="61"/>
        <v>1+0.00995735076574807i</v>
      </c>
      <c r="BA31" s="32">
        <f t="shared" si="88"/>
        <v>1.0000495731883856</v>
      </c>
      <c r="BB31" s="32">
        <f t="shared" si="89"/>
        <v>9.9570216987501913E-3</v>
      </c>
      <c r="BC31" s="59" t="str">
        <f t="shared" si="90"/>
        <v>-0.558944588738146+57.8350603941798i</v>
      </c>
      <c r="BD31" s="50">
        <f t="shared" si="91"/>
        <v>35.244229488401103</v>
      </c>
      <c r="BE31" s="62">
        <f t="shared" si="92"/>
        <v>90.55371549169098</v>
      </c>
      <c r="BF31" s="59" t="str">
        <f t="shared" si="93"/>
        <v>52.612450516055+1612.01518679283i</v>
      </c>
      <c r="BG31" s="65">
        <f t="shared" si="94"/>
        <v>64.152006303574211</v>
      </c>
      <c r="BH31" s="62">
        <f t="shared" si="95"/>
        <v>88.130661723575713</v>
      </c>
      <c r="BI31" s="59" t="str">
        <f t="shared" si="96"/>
        <v>145.234975300368+4571.8126406193i</v>
      </c>
      <c r="BJ31" s="65">
        <f t="shared" si="97"/>
        <v>73.206149053892787</v>
      </c>
      <c r="BK31" s="62">
        <f t="shared" si="98"/>
        <v>88.180469270580645</v>
      </c>
      <c r="BL31" s="50">
        <f t="shared" si="99"/>
        <v>64.152006303574211</v>
      </c>
      <c r="BM31" s="62">
        <f t="shared" si="100"/>
        <v>88.130661723575713</v>
      </c>
    </row>
    <row r="32" spans="1:65" ht="15.6" x14ac:dyDescent="0.3">
      <c r="A32" s="52" t="s">
        <v>476</v>
      </c>
      <c r="E32" s="47" t="s">
        <v>500</v>
      </c>
      <c r="N32" s="11">
        <v>14</v>
      </c>
      <c r="O32" s="51">
        <f t="shared" si="62"/>
        <v>13.803842646028857</v>
      </c>
      <c r="P32" s="49" t="str">
        <f t="shared" si="50"/>
        <v>27.9103246607183</v>
      </c>
      <c r="Q32" s="18" t="str">
        <f t="shared" si="63"/>
        <v>1+0.0426046914599993i</v>
      </c>
      <c r="R32" s="18">
        <f t="shared" si="64"/>
        <v>1.0009071683899571</v>
      </c>
      <c r="S32" s="18">
        <f t="shared" si="65"/>
        <v>4.2578941391667707E-2</v>
      </c>
      <c r="T32" s="18" t="str">
        <f t="shared" si="51"/>
        <v>1+0.0000381621245703049i</v>
      </c>
      <c r="U32" s="18">
        <f t="shared" si="66"/>
        <v>1.0000000007281737</v>
      </c>
      <c r="V32" s="18">
        <f t="shared" si="67"/>
        <v>3.8162124551779126E-5</v>
      </c>
      <c r="W32" s="32" t="str">
        <f t="shared" si="52"/>
        <v>1-0.000503260340854189i</v>
      </c>
      <c r="X32" s="18">
        <f t="shared" si="68"/>
        <v>1.0000001266354772</v>
      </c>
      <c r="Y32" s="18">
        <f t="shared" si="69"/>
        <v>-5.0326029836711709E-4</v>
      </c>
      <c r="Z32" s="32" t="str">
        <f t="shared" si="53"/>
        <v>0.999999996063098+0.000230135746052846i</v>
      </c>
      <c r="AA32" s="18">
        <f t="shared" si="70"/>
        <v>1.0000000225443284</v>
      </c>
      <c r="AB32" s="18">
        <f t="shared" si="71"/>
        <v>2.3013574289601613E-4</v>
      </c>
      <c r="AC32" s="67" t="str">
        <f t="shared" si="72"/>
        <v>27.8589257306401-1.20632513996228i</v>
      </c>
      <c r="AD32" s="65">
        <f t="shared" si="73"/>
        <v>28.907422684879336</v>
      </c>
      <c r="AE32" s="62">
        <f t="shared" si="74"/>
        <v>-2.4794276070793622</v>
      </c>
      <c r="AF32" s="50" t="str">
        <f t="shared" si="54"/>
        <v>79.1527877025864</v>
      </c>
      <c r="AG32" s="50" t="str">
        <f t="shared" si="55"/>
        <v>1+0.0422718918317223i</v>
      </c>
      <c r="AH32" s="50">
        <f t="shared" si="75"/>
        <v>1.0008930576435391</v>
      </c>
      <c r="AI32" s="50">
        <f t="shared" si="76"/>
        <v>4.2246740063882307E-2</v>
      </c>
      <c r="AJ32" s="50" t="str">
        <f t="shared" si="56"/>
        <v>1+0.0000381621245703049i</v>
      </c>
      <c r="AK32" s="50">
        <f t="shared" si="77"/>
        <v>1.0000000007281737</v>
      </c>
      <c r="AL32" s="50">
        <f t="shared" si="78"/>
        <v>3.8162124551779126E-5</v>
      </c>
      <c r="AM32" s="50" t="str">
        <f t="shared" si="57"/>
        <v>1-0.000176069836313451i</v>
      </c>
      <c r="AN32" s="50">
        <f t="shared" si="79"/>
        <v>1.0000000155002935</v>
      </c>
      <c r="AO32" s="50">
        <f t="shared" si="80"/>
        <v>-1.7606983449402827E-4</v>
      </c>
      <c r="AP32" s="59" t="str">
        <f t="shared" si="81"/>
        <v>79.0111407818757-3.35086617646259i</v>
      </c>
      <c r="AQ32" s="50">
        <f t="shared" si="82"/>
        <v>37.961570902447285</v>
      </c>
      <c r="AR32" s="62">
        <f t="shared" si="83"/>
        <v>-2.4284614335887098</v>
      </c>
      <c r="AS32" s="32" t="str">
        <f t="shared" si="58"/>
        <v>-0.0000166666666666667</v>
      </c>
      <c r="AT32" s="32" t="str">
        <f t="shared" si="59"/>
        <v>2.94889144406901E-07i</v>
      </c>
      <c r="AU32" s="32">
        <f t="shared" si="84"/>
        <v>2.94889144406901E-7</v>
      </c>
      <c r="AV32" s="32">
        <f t="shared" si="85"/>
        <v>1.5707963267948966</v>
      </c>
      <c r="AW32" s="32" t="str">
        <f t="shared" si="60"/>
        <v>1+0.000299684919419747i</v>
      </c>
      <c r="AX32" s="32">
        <f t="shared" si="86"/>
        <v>1.0000000449055244</v>
      </c>
      <c r="AY32" s="32">
        <f t="shared" si="87"/>
        <v>2.9968491044807494E-4</v>
      </c>
      <c r="AZ32" s="32" t="str">
        <f t="shared" si="61"/>
        <v>1+0.0101892872602714i</v>
      </c>
      <c r="BA32" s="32">
        <f t="shared" si="88"/>
        <v>1.0000519094401412</v>
      </c>
      <c r="BB32" s="32">
        <f t="shared" si="89"/>
        <v>1.0188934659618943E-2</v>
      </c>
      <c r="BC32" s="59" t="str">
        <f t="shared" si="90"/>
        <v>-0.558944586478801+56.5185812324878i</v>
      </c>
      <c r="BD32" s="50">
        <f t="shared" si="91"/>
        <v>35.044249762241513</v>
      </c>
      <c r="BE32" s="62">
        <f t="shared" si="92"/>
        <v>90.566612273178293</v>
      </c>
      <c r="BF32" s="59" t="str">
        <f t="shared" si="93"/>
        <v>52.6081896934941+1575.22122586354i</v>
      </c>
      <c r="BG32" s="65">
        <f t="shared" si="94"/>
        <v>63.951672447120835</v>
      </c>
      <c r="BH32" s="62">
        <f t="shared" si="95"/>
        <v>88.087184666098935</v>
      </c>
      <c r="BI32" s="59" t="str">
        <f t="shared" si="96"/>
        <v>145.223352782053+4467.47052706132i</v>
      </c>
      <c r="BJ32" s="65">
        <f t="shared" si="97"/>
        <v>73.005820664688798</v>
      </c>
      <c r="BK32" s="62">
        <f t="shared" si="98"/>
        <v>88.138150839589599</v>
      </c>
      <c r="BL32" s="50">
        <f t="shared" si="99"/>
        <v>63.951672447120835</v>
      </c>
      <c r="BM32" s="62">
        <f t="shared" si="100"/>
        <v>88.087184666098935</v>
      </c>
    </row>
    <row r="33" spans="1:65" x14ac:dyDescent="0.3">
      <c r="N33" s="11">
        <v>15</v>
      </c>
      <c r="O33" s="51">
        <f t="shared" si="62"/>
        <v>14.125375446227544</v>
      </c>
      <c r="P33" s="49" t="str">
        <f t="shared" si="50"/>
        <v>27.9103246607183</v>
      </c>
      <c r="Q33" s="18" t="str">
        <f t="shared" si="63"/>
        <v>1+0.043597082209301i</v>
      </c>
      <c r="R33" s="18">
        <f t="shared" si="64"/>
        <v>1.0009499016320269</v>
      </c>
      <c r="S33" s="18">
        <f t="shared" si="65"/>
        <v>4.3569491927972638E-2</v>
      </c>
      <c r="T33" s="18" t="str">
        <f t="shared" si="51"/>
        <v>1+0.0000390510346433382i</v>
      </c>
      <c r="U33" s="18">
        <f t="shared" si="66"/>
        <v>1.0000000007624916</v>
      </c>
      <c r="V33" s="18">
        <f t="shared" si="67"/>
        <v>3.9051034623487477E-5</v>
      </c>
      <c r="W33" s="32" t="str">
        <f t="shared" si="52"/>
        <v>1-0.000514982780088915i</v>
      </c>
      <c r="X33" s="18">
        <f t="shared" si="68"/>
        <v>1.000000132603623</v>
      </c>
      <c r="Y33" s="18">
        <f t="shared" si="69"/>
        <v>-5.1498273456319758E-4</v>
      </c>
      <c r="Z33" s="32" t="str">
        <f t="shared" si="53"/>
        <v>0.999999995877557+0.00023549629620918i</v>
      </c>
      <c r="AA33" s="18">
        <f t="shared" si="70"/>
        <v>1.0000000236068094</v>
      </c>
      <c r="AB33" s="18">
        <f t="shared" si="71"/>
        <v>2.3549629282657597E-4</v>
      </c>
      <c r="AC33" s="67" t="str">
        <f t="shared" si="72"/>
        <v>27.8565079691487-1.23431865475029i</v>
      </c>
      <c r="AD33" s="65">
        <f t="shared" si="73"/>
        <v>28.907051895893346</v>
      </c>
      <c r="AE33" s="62">
        <f t="shared" si="74"/>
        <v>-2.5371098244151167</v>
      </c>
      <c r="AF33" s="50" t="str">
        <f t="shared" si="54"/>
        <v>79.1527877025864</v>
      </c>
      <c r="AG33" s="50" t="str">
        <f t="shared" si="55"/>
        <v>1+0.0432565306818514i</v>
      </c>
      <c r="AH33" s="50">
        <f t="shared" si="75"/>
        <v>1.0009351264925364</v>
      </c>
      <c r="AI33" s="50">
        <f t="shared" si="76"/>
        <v>4.3229581436736088E-2</v>
      </c>
      <c r="AJ33" s="50" t="str">
        <f t="shared" si="56"/>
        <v>1+0.0000390510346433382i</v>
      </c>
      <c r="AK33" s="50">
        <f t="shared" si="77"/>
        <v>1.0000000007624916</v>
      </c>
      <c r="AL33" s="50">
        <f t="shared" si="78"/>
        <v>3.9051034623487477E-5</v>
      </c>
      <c r="AM33" s="50" t="str">
        <f t="shared" si="57"/>
        <v>1-0.000180171029651574i</v>
      </c>
      <c r="AN33" s="50">
        <f t="shared" si="79"/>
        <v>1.0000000162307998</v>
      </c>
      <c r="AO33" s="50">
        <f t="shared" si="80"/>
        <v>-1.8017102770202741E-4</v>
      </c>
      <c r="AP33" s="59" t="str">
        <f t="shared" si="81"/>
        <v>79.0044776357623-3.42862965186047i</v>
      </c>
      <c r="AQ33" s="50">
        <f t="shared" si="82"/>
        <v>37.961205837419939</v>
      </c>
      <c r="AR33" s="62">
        <f t="shared" si="83"/>
        <v>-2.4849581464503814</v>
      </c>
      <c r="AS33" s="32" t="str">
        <f t="shared" si="58"/>
        <v>-0.0000166666666666667</v>
      </c>
      <c r="AT33" s="32" t="str">
        <f t="shared" si="59"/>
        <v>3.01757994971249E-07i</v>
      </c>
      <c r="AU33" s="32">
        <f t="shared" si="84"/>
        <v>3.01757994971249E-7</v>
      </c>
      <c r="AV33" s="32">
        <f t="shared" si="85"/>
        <v>1.5707963267948966</v>
      </c>
      <c r="AW33" s="32" t="str">
        <f t="shared" si="60"/>
        <v>1+0.00030666547793445i</v>
      </c>
      <c r="AX33" s="32">
        <f t="shared" si="86"/>
        <v>1.0000000470218566</v>
      </c>
      <c r="AY33" s="32">
        <f t="shared" si="87"/>
        <v>3.0666546832113027E-4</v>
      </c>
      <c r="AZ33" s="32" t="str">
        <f t="shared" si="61"/>
        <v>1+0.0104266262497713i</v>
      </c>
      <c r="BA33" s="32">
        <f t="shared" si="88"/>
        <v>1.0000543557902002</v>
      </c>
      <c r="BB33" s="32">
        <f t="shared" si="89"/>
        <v>1.0426248432474245E-2</v>
      </c>
      <c r="BC33" s="59" t="str">
        <f t="shared" si="90"/>
        <v>-0.558944584112978+55.2320689706771i</v>
      </c>
      <c r="BD33" s="50">
        <f t="shared" si="91"/>
        <v>34.844270991456973</v>
      </c>
      <c r="BE33" s="62">
        <f t="shared" si="92"/>
        <v>90.57980939427847</v>
      </c>
      <c r="BF33" s="59" t="str">
        <f t="shared" si="93"/>
        <v>52.6037288093057+1539.26248516138i</v>
      </c>
      <c r="BG33" s="65">
        <f t="shared" si="94"/>
        <v>63.751322887350319</v>
      </c>
      <c r="BH33" s="62">
        <f t="shared" si="95"/>
        <v>88.042699569863345</v>
      </c>
      <c r="BI33" s="59" t="str">
        <f t="shared" si="96"/>
        <v>145.211184511282+4365.49717174558i</v>
      </c>
      <c r="BJ33" s="65">
        <f t="shared" si="97"/>
        <v>72.80547682887692</v>
      </c>
      <c r="BK33" s="62">
        <f t="shared" si="98"/>
        <v>88.094851247828089</v>
      </c>
      <c r="BL33" s="50">
        <f t="shared" si="99"/>
        <v>63.751322887350319</v>
      </c>
      <c r="BM33" s="62">
        <f t="shared" si="100"/>
        <v>88.042699569863345</v>
      </c>
    </row>
    <row r="34" spans="1:65" x14ac:dyDescent="0.3">
      <c r="A34" t="s">
        <v>494</v>
      </c>
      <c r="B34">
        <f>(R_cs*Acs/(2*Lm*Fsw))*(1-(VIN_var/VOUT))*(VIN_var/VOUT)</f>
        <v>1.7000120889748547E-3</v>
      </c>
      <c r="E34" t="s">
        <v>497</v>
      </c>
      <c r="N34" s="11">
        <v>16</v>
      </c>
      <c r="O34" s="51">
        <f t="shared" si="62"/>
        <v>14.454397707459275</v>
      </c>
      <c r="P34" s="49" t="str">
        <f t="shared" si="50"/>
        <v>27.9103246607183</v>
      </c>
      <c r="Q34" s="18" t="str">
        <f t="shared" si="63"/>
        <v>1+0.0446125887086656i</v>
      </c>
      <c r="R34" s="18">
        <f t="shared" si="64"/>
        <v>1.000994646874442</v>
      </c>
      <c r="S34" s="18">
        <f t="shared" si="65"/>
        <v>4.4583026775921443E-2</v>
      </c>
      <c r="T34" s="18" t="str">
        <f t="shared" si="51"/>
        <v>1+0.0000399606500918409i</v>
      </c>
      <c r="U34" s="18">
        <f t="shared" si="66"/>
        <v>1.0000000007984267</v>
      </c>
      <c r="V34" s="18">
        <f t="shared" si="67"/>
        <v>3.9960650070570464E-5</v>
      </c>
      <c r="W34" s="32" t="str">
        <f t="shared" si="52"/>
        <v>1-0.000526978270010247i</v>
      </c>
      <c r="X34" s="18">
        <f t="shared" si="68"/>
        <v>1.0000001388530388</v>
      </c>
      <c r="Y34" s="18">
        <f t="shared" si="69"/>
        <v>-5.2697822122856227E-4</v>
      </c>
      <c r="Z34" s="32" t="str">
        <f t="shared" si="53"/>
        <v>0.999999995683272+0.000240981709618927i</v>
      </c>
      <c r="AA34" s="18">
        <f t="shared" si="70"/>
        <v>1.0000000247193639</v>
      </c>
      <c r="AB34" s="18">
        <f t="shared" si="71"/>
        <v>2.4098170599440151E-4</v>
      </c>
      <c r="AC34" s="67" t="str">
        <f t="shared" si="72"/>
        <v>27.853976704549-1.2629567033394i</v>
      </c>
      <c r="AD34" s="65">
        <f t="shared" si="73"/>
        <v>28.906663666095671</v>
      </c>
      <c r="AE34" s="62">
        <f t="shared" si="74"/>
        <v>-2.5961305582484502</v>
      </c>
      <c r="AF34" s="50" t="str">
        <f t="shared" si="54"/>
        <v>79.1527877025864</v>
      </c>
      <c r="AG34" s="50" t="str">
        <f t="shared" si="55"/>
        <v>1+0.044264104717116i</v>
      </c>
      <c r="AH34" s="50">
        <f t="shared" si="75"/>
        <v>1.000979176090296</v>
      </c>
      <c r="AI34" s="50">
        <f t="shared" si="76"/>
        <v>4.4235229606118705E-2</v>
      </c>
      <c r="AJ34" s="50" t="str">
        <f t="shared" si="56"/>
        <v>1+0.0000399606500918409i</v>
      </c>
      <c r="AK34" s="50">
        <f t="shared" si="77"/>
        <v>1.0000000007984267</v>
      </c>
      <c r="AL34" s="50">
        <f t="shared" si="78"/>
        <v>3.9960650070570464E-5</v>
      </c>
      <c r="AM34" s="50" t="str">
        <f t="shared" si="57"/>
        <v>1-0.000184367752054464i</v>
      </c>
      <c r="AN34" s="50">
        <f t="shared" si="79"/>
        <v>1.0000000169957339</v>
      </c>
      <c r="AO34" s="50">
        <f t="shared" si="80"/>
        <v>-1.8436774996548721E-4</v>
      </c>
      <c r="AP34" s="59" t="str">
        <f t="shared" si="81"/>
        <v>78.9975016657461-3.50818391080752i</v>
      </c>
      <c r="AQ34" s="50">
        <f t="shared" si="82"/>
        <v>37.960823600296806</v>
      </c>
      <c r="AR34" s="62">
        <f t="shared" si="83"/>
        <v>-2.5427658795784485</v>
      </c>
      <c r="AS34" s="32" t="str">
        <f t="shared" si="58"/>
        <v>-0.0000166666666666667</v>
      </c>
      <c r="AT34" s="32" t="str">
        <f t="shared" si="59"/>
        <v>3.08786841618771E-07i</v>
      </c>
      <c r="AU34" s="32">
        <f t="shared" si="84"/>
        <v>3.0878684161877099E-7</v>
      </c>
      <c r="AV34" s="32">
        <f t="shared" si="85"/>
        <v>1.5707963267948966</v>
      </c>
      <c r="AW34" s="32" t="str">
        <f t="shared" si="60"/>
        <v>1+0.000313808634544751i</v>
      </c>
      <c r="AX34" s="32">
        <f t="shared" si="86"/>
        <v>1.0000000492379284</v>
      </c>
      <c r="AY34" s="32">
        <f t="shared" si="87"/>
        <v>3.1380862424389334E-4</v>
      </c>
      <c r="AZ34" s="32" t="str">
        <f t="shared" si="61"/>
        <v>1+0.0106694935745215i</v>
      </c>
      <c r="BA34" s="32">
        <f t="shared" si="88"/>
        <v>1.0000569174267717</v>
      </c>
      <c r="BB34" s="32">
        <f t="shared" si="89"/>
        <v>1.0669088737238264E-2</v>
      </c>
      <c r="BC34" s="59" t="str">
        <f t="shared" si="90"/>
        <v>-0.558944581635653+53.9748414829174i</v>
      </c>
      <c r="BD34" s="50">
        <f t="shared" si="91"/>
        <v>34.644293221063116</v>
      </c>
      <c r="BE34" s="62">
        <f t="shared" si="92"/>
        <v>90.593313846150323</v>
      </c>
      <c r="BF34" s="59" t="str">
        <f t="shared" si="93"/>
        <v>52.5990585065187+1504.11990010308i</v>
      </c>
      <c r="BG34" s="65">
        <f t="shared" si="94"/>
        <v>63.55095688715879</v>
      </c>
      <c r="BH34" s="62">
        <f t="shared" si="95"/>
        <v>87.99718328790189</v>
      </c>
      <c r="BI34" s="59" t="str">
        <f t="shared" si="96"/>
        <v>145.198444959935+4265.83851034348i</v>
      </c>
      <c r="BJ34" s="65">
        <f t="shared" si="97"/>
        <v>72.605116821359928</v>
      </c>
      <c r="BK34" s="62">
        <f t="shared" si="98"/>
        <v>88.050547966571884</v>
      </c>
      <c r="BL34" s="50">
        <f t="shared" si="99"/>
        <v>63.55095688715879</v>
      </c>
      <c r="BM34" s="62">
        <f t="shared" si="100"/>
        <v>87.99718328790189</v>
      </c>
    </row>
    <row r="35" spans="1:65" x14ac:dyDescent="0.3">
      <c r="A35" t="s">
        <v>495</v>
      </c>
      <c r="B35">
        <f>1/((0.5-(1-(VIN_var/VOUT)))*(R_cs*Acs/(Lm*Fsw))+(Vsl*Acs/VOUT))</f>
        <v>59.043540328336903</v>
      </c>
      <c r="E35" s="32" t="s">
        <v>497</v>
      </c>
      <c r="N35" s="11">
        <v>17</v>
      </c>
      <c r="O35" s="51">
        <f t="shared" si="62"/>
        <v>14.791083881682074</v>
      </c>
      <c r="P35" s="49" t="str">
        <f t="shared" si="50"/>
        <v>27.9103246607183</v>
      </c>
      <c r="Q35" s="18" t="str">
        <f t="shared" si="63"/>
        <v>1+0.045651749393081i</v>
      </c>
      <c r="R35" s="18">
        <f t="shared" si="64"/>
        <v>1.0010414987514997</v>
      </c>
      <c r="S35" s="18">
        <f t="shared" si="65"/>
        <v>4.5620074991111204E-2</v>
      </c>
      <c r="T35" s="18" t="str">
        <f t="shared" si="51"/>
        <v>1+0.0000408914532059641i</v>
      </c>
      <c r="U35" s="18">
        <f t="shared" si="66"/>
        <v>1.0000000008360554</v>
      </c>
      <c r="V35" s="18">
        <f t="shared" si="67"/>
        <v>4.0891453183172418E-5</v>
      </c>
      <c r="W35" s="32" t="str">
        <f t="shared" si="52"/>
        <v>1-0.000539253170785721i</v>
      </c>
      <c r="X35" s="18">
        <f t="shared" si="68"/>
        <v>1.0000001453969805</v>
      </c>
      <c r="Y35" s="18">
        <f t="shared" si="69"/>
        <v>-5.3925311851520444E-4</v>
      </c>
      <c r="Z35" s="32" t="str">
        <f t="shared" si="53"/>
        <v>0.999999995479831+0.000246594894720883i</v>
      </c>
      <c r="AA35" s="18">
        <f t="shared" si="70"/>
        <v>1.0000000258843518</v>
      </c>
      <c r="AB35" s="18">
        <f t="shared" si="71"/>
        <v>2.4659489083713392E-4</v>
      </c>
      <c r="AC35" s="67" t="str">
        <f t="shared" si="72"/>
        <v>27.8513266301641-1.29225376350507i</v>
      </c>
      <c r="AD35" s="65">
        <f t="shared" si="73"/>
        <v>28.906257176793588</v>
      </c>
      <c r="AE35" s="62">
        <f t="shared" si="74"/>
        <v>-2.6565206246500752</v>
      </c>
      <c r="AF35" s="50" t="str">
        <f t="shared" si="54"/>
        <v>79.1527877025864</v>
      </c>
      <c r="AG35" s="50" t="str">
        <f t="shared" si="55"/>
        <v>1+0.0452951481666063i</v>
      </c>
      <c r="AH35" s="50">
        <f t="shared" si="75"/>
        <v>1.0010252996040783</v>
      </c>
      <c r="AI35" s="50">
        <f t="shared" si="76"/>
        <v>4.5264209639044491E-2</v>
      </c>
      <c r="AJ35" s="50" t="str">
        <f t="shared" si="56"/>
        <v>1+0.0000408914532059641i</v>
      </c>
      <c r="AK35" s="50">
        <f t="shared" si="77"/>
        <v>1.0000000008360554</v>
      </c>
      <c r="AL35" s="50">
        <f t="shared" si="78"/>
        <v>4.0891453183172418E-5</v>
      </c>
      <c r="AM35" s="50" t="str">
        <f t="shared" si="57"/>
        <v>1-0.000188662228679888i</v>
      </c>
      <c r="AN35" s="50">
        <f t="shared" si="79"/>
        <v>1.0000000177967181</v>
      </c>
      <c r="AO35" s="50">
        <f t="shared" si="80"/>
        <v>-1.8866222644150902E-4</v>
      </c>
      <c r="AP35" s="59" t="str">
        <f t="shared" si="81"/>
        <v>78.990198244365-3.58956920200785i</v>
      </c>
      <c r="AQ35" s="50">
        <f t="shared" si="82"/>
        <v>37.960423384948676</v>
      </c>
      <c r="AR35" s="62">
        <f t="shared" si="83"/>
        <v>-2.6019148169557149</v>
      </c>
      <c r="AS35" s="32" t="str">
        <f t="shared" si="58"/>
        <v>-0.0000166666666666667</v>
      </c>
      <c r="AT35" s="32" t="str">
        <f t="shared" si="59"/>
        <v>3.15979411136995E-07i</v>
      </c>
      <c r="AU35" s="32">
        <f t="shared" si="84"/>
        <v>3.1597941113699501E-7</v>
      </c>
      <c r="AV35" s="32">
        <f t="shared" si="85"/>
        <v>1.5707963267948966</v>
      </c>
      <c r="AW35" s="32" t="str">
        <f t="shared" si="60"/>
        <v>1+0.000321118176646835i</v>
      </c>
      <c r="AX35" s="32">
        <f t="shared" si="86"/>
        <v>1.0000000515584404</v>
      </c>
      <c r="AY35" s="32">
        <f t="shared" si="87"/>
        <v>3.2111816560926714E-4</v>
      </c>
      <c r="AZ35" s="32" t="str">
        <f t="shared" si="61"/>
        <v>1+0.0109180180059924i</v>
      </c>
      <c r="BA35" s="32">
        <f t="shared" si="88"/>
        <v>1.0000595997825226</v>
      </c>
      <c r="BB35" s="32">
        <f t="shared" si="89"/>
        <v>1.0917584216424175E-2</v>
      </c>
      <c r="BC35" s="59" t="str">
        <f t="shared" si="90"/>
        <v>-0.55894457904158+52.7462321705534i</v>
      </c>
      <c r="BD35" s="50">
        <f t="shared" si="91"/>
        <v>34.444316498196152</v>
      </c>
      <c r="BE35" s="62">
        <f t="shared" si="92"/>
        <v>90.607132782465357</v>
      </c>
      <c r="BF35" s="59" t="str">
        <f t="shared" si="93"/>
        <v>52.5941689940632+1469.77483892841i</v>
      </c>
      <c r="BG35" s="65">
        <f t="shared" si="94"/>
        <v>63.350573674989747</v>
      </c>
      <c r="BH35" s="62">
        <f t="shared" si="95"/>
        <v>87.950612157815286</v>
      </c>
      <c r="BI35" s="59" t="str">
        <f t="shared" si="96"/>
        <v>145.185107415267+4168.44170604187i</v>
      </c>
      <c r="BJ35" s="65">
        <f t="shared" si="97"/>
        <v>72.404739883144828</v>
      </c>
      <c r="BK35" s="62">
        <f t="shared" si="98"/>
        <v>88.005217965509644</v>
      </c>
      <c r="BL35" s="50">
        <f t="shared" si="99"/>
        <v>63.350573674989747</v>
      </c>
      <c r="BM35" s="62">
        <f t="shared" si="100"/>
        <v>87.950612157815286</v>
      </c>
    </row>
    <row r="36" spans="1:65" x14ac:dyDescent="0.3">
      <c r="A36" t="s">
        <v>496</v>
      </c>
      <c r="B36">
        <f>2+((VOUT*((VIN_var/VOUT)^2))/(IOUT_VAR*R_cs*Acs))*((1/Km)+(Kex/(VIN_var/VOUT)))</f>
        <v>2.5796905222437139</v>
      </c>
      <c r="E36" s="32" t="s">
        <v>497</v>
      </c>
      <c r="N36" s="11">
        <v>18</v>
      </c>
      <c r="O36" s="51">
        <f t="shared" si="62"/>
        <v>15.135612484362087</v>
      </c>
      <c r="P36" s="49" t="str">
        <f t="shared" si="50"/>
        <v>27.9103246607183</v>
      </c>
      <c r="Q36" s="18" t="str">
        <f t="shared" si="63"/>
        <v>1+0.046715115239297i</v>
      </c>
      <c r="R36" s="18">
        <f t="shared" si="64"/>
        <v>1.0010905563393457</v>
      </c>
      <c r="S36" s="18">
        <f t="shared" si="65"/>
        <v>4.6681177502648941E-2</v>
      </c>
      <c r="T36" s="18" t="str">
        <f t="shared" si="51"/>
        <v>1+0.0000418439375098395i</v>
      </c>
      <c r="U36" s="18">
        <f t="shared" si="66"/>
        <v>1.0000000008754575</v>
      </c>
      <c r="V36" s="18">
        <f t="shared" si="67"/>
        <v>4.1843937485417772E-5</v>
      </c>
      <c r="W36" s="32" t="str">
        <f t="shared" si="52"/>
        <v>1-0.000551813990730205i</v>
      </c>
      <c r="X36" s="18">
        <f t="shared" si="68"/>
        <v>1.0000001522493285</v>
      </c>
      <c r="Y36" s="18">
        <f t="shared" si="69"/>
        <v>-5.5181393472133783E-4</v>
      </c>
      <c r="Z36" s="32" t="str">
        <f t="shared" si="53"/>
        <v>0.999999995266802+0.00025233882770009i</v>
      </c>
      <c r="AA36" s="18">
        <f t="shared" si="70"/>
        <v>1.0000000271042437</v>
      </c>
      <c r="AB36" s="18">
        <f t="shared" si="71"/>
        <v>2.5233882353857789E-4</v>
      </c>
      <c r="AC36" s="67" t="str">
        <f t="shared" si="72"/>
        <v>27.8485521933075-1.32222461225807i</v>
      </c>
      <c r="AD36" s="65">
        <f t="shared" si="73"/>
        <v>28.90583157102467</v>
      </c>
      <c r="AE36" s="62">
        <f t="shared" si="74"/>
        <v>-2.7183115317188036</v>
      </c>
      <c r="AF36" s="50" t="str">
        <f t="shared" si="54"/>
        <v>79.1527877025864</v>
      </c>
      <c r="AG36" s="50" t="str">
        <f t="shared" si="55"/>
        <v>1+0.0463502077032067i</v>
      </c>
      <c r="AH36" s="50">
        <f t="shared" si="75"/>
        <v>1.00107359457441</v>
      </c>
      <c r="AI36" s="50">
        <f t="shared" si="76"/>
        <v>4.6317058393514229E-2</v>
      </c>
      <c r="AJ36" s="50" t="str">
        <f t="shared" si="56"/>
        <v>1+0.0000418439375098395i</v>
      </c>
      <c r="AK36" s="50">
        <f t="shared" si="77"/>
        <v>1.0000000008754575</v>
      </c>
      <c r="AL36" s="50">
        <f t="shared" si="78"/>
        <v>4.1843937485417772E-5</v>
      </c>
      <c r="AM36" s="50" t="str">
        <f t="shared" si="57"/>
        <v>1-0.000193056736516199i</v>
      </c>
      <c r="AN36" s="50">
        <f t="shared" si="79"/>
        <v>1.0000000186354516</v>
      </c>
      <c r="AO36" s="50">
        <f t="shared" si="80"/>
        <v>-1.9305673411773274E-4</v>
      </c>
      <c r="AP36" s="59" t="str">
        <f t="shared" si="81"/>
        <v>78.9825520658751-3.67282660776031i</v>
      </c>
      <c r="AQ36" s="50">
        <f t="shared" si="82"/>
        <v>37.96000434755917</v>
      </c>
      <c r="AR36" s="62">
        <f t="shared" si="83"/>
        <v>-2.6624358204647498</v>
      </c>
      <c r="AS36" s="32" t="str">
        <f t="shared" si="58"/>
        <v>-0.0000166666666666667</v>
      </c>
      <c r="AT36" s="32" t="str">
        <f t="shared" si="59"/>
        <v>3.23339517121486E-07i</v>
      </c>
      <c r="AU36" s="32">
        <f t="shared" si="84"/>
        <v>3.23339517121486E-7</v>
      </c>
      <c r="AV36" s="32">
        <f t="shared" si="85"/>
        <v>1.5707963267948966</v>
      </c>
      <c r="AW36" s="32" t="str">
        <f t="shared" si="60"/>
        <v>1+0.00032859797985668i</v>
      </c>
      <c r="AX36" s="32">
        <f t="shared" si="86"/>
        <v>1.0000000539883147</v>
      </c>
      <c r="AY36" s="32">
        <f t="shared" si="87"/>
        <v>3.28597968029713E-4</v>
      </c>
      <c r="AZ36" s="32" t="str">
        <f t="shared" si="61"/>
        <v>1+0.0111723313151271i</v>
      </c>
      <c r="BA36" s="32">
        <f t="shared" si="88"/>
        <v>1.0000624085460943</v>
      </c>
      <c r="BB36" s="32">
        <f t="shared" si="89"/>
        <v>1.1171866502796933E-2</v>
      </c>
      <c r="BC36" s="59" t="str">
        <f t="shared" si="90"/>
        <v>-0.558944576325248+51.5455896086653i</v>
      </c>
      <c r="BD36" s="50">
        <f t="shared" si="91"/>
        <v>34.244340872212774</v>
      </c>
      <c r="BE36" s="62">
        <f t="shared" si="92"/>
        <v>90.621273523169151</v>
      </c>
      <c r="BF36" s="59" t="str">
        <f t="shared" si="93"/>
        <v>52.5890500269713+1436.20909282743i</v>
      </c>
      <c r="BG36" s="65">
        <f t="shared" si="94"/>
        <v>63.150172443237444</v>
      </c>
      <c r="BH36" s="62">
        <f t="shared" si="95"/>
        <v>87.902961991450368</v>
      </c>
      <c r="BI36" s="59" t="str">
        <f t="shared" si="96"/>
        <v>145.171143925852+4073.25512154483i</v>
      </c>
      <c r="BJ36" s="65">
        <f t="shared" si="97"/>
        <v>72.204345219771952</v>
      </c>
      <c r="BK36" s="62">
        <f t="shared" si="98"/>
        <v>87.958837702704415</v>
      </c>
      <c r="BL36" s="50">
        <f t="shared" si="99"/>
        <v>63.150172443237444</v>
      </c>
      <c r="BM36" s="62">
        <f t="shared" si="100"/>
        <v>87.902961991450368</v>
      </c>
    </row>
    <row r="37" spans="1:65" x14ac:dyDescent="0.3">
      <c r="K37" s="32"/>
      <c r="N37" s="11">
        <v>19</v>
      </c>
      <c r="O37" s="51">
        <f t="shared" si="62"/>
        <v>15.488166189124817</v>
      </c>
      <c r="P37" s="49" t="str">
        <f t="shared" si="50"/>
        <v>27.9103246607183</v>
      </c>
      <c r="Q37" s="18" t="str">
        <f t="shared" si="63"/>
        <v>1+0.0478032500579605i</v>
      </c>
      <c r="R37" s="18">
        <f t="shared" si="64"/>
        <v>1.0011419233635679</v>
      </c>
      <c r="S37" s="18">
        <f t="shared" si="65"/>
        <v>4.7766887357804648E-2</v>
      </c>
      <c r="T37" s="18" t="str">
        <f t="shared" si="51"/>
        <v>1+0.0000428186080232525i</v>
      </c>
      <c r="U37" s="18">
        <f t="shared" si="66"/>
        <v>1.0000000009167165</v>
      </c>
      <c r="V37" s="18">
        <f t="shared" si="67"/>
        <v>4.2818607997084152E-5</v>
      </c>
      <c r="W37" s="32" t="str">
        <f t="shared" si="52"/>
        <v>1-0.000564667389756696i</v>
      </c>
      <c r="X37" s="18">
        <f t="shared" si="68"/>
        <v>1.0000001594246177</v>
      </c>
      <c r="Y37" s="18">
        <f t="shared" si="69"/>
        <v>-5.6466732974211418E-4</v>
      </c>
      <c r="Z37" s="32" t="str">
        <f t="shared" si="53"/>
        <v>0.999999995043734+0.000258216554065843i</v>
      </c>
      <c r="AA37" s="18">
        <f t="shared" si="70"/>
        <v>1.0000000283816282</v>
      </c>
      <c r="AB37" s="18">
        <f t="shared" si="71"/>
        <v>2.5821654960670224E-4</v>
      </c>
      <c r="AC37" s="67" t="str">
        <f t="shared" si="72"/>
        <v>27.8456475840811-1.35288433013262i</v>
      </c>
      <c r="AD37" s="65">
        <f t="shared" si="73"/>
        <v>28.905385951783565</v>
      </c>
      <c r="AE37" s="62">
        <f t="shared" si="74"/>
        <v>-2.7815354938721906</v>
      </c>
      <c r="AF37" s="50" t="str">
        <f t="shared" si="54"/>
        <v>79.1527877025864</v>
      </c>
      <c r="AG37" s="50" t="str">
        <f t="shared" si="55"/>
        <v>1+0.0474298427334488i</v>
      </c>
      <c r="AH37" s="50">
        <f t="shared" si="75"/>
        <v>1.0011241631195003</v>
      </c>
      <c r="AI37" s="50">
        <f t="shared" si="76"/>
        <v>4.7394324761978739E-2</v>
      </c>
      <c r="AJ37" s="50" t="str">
        <f t="shared" si="56"/>
        <v>1+0.0000428186080232525i</v>
      </c>
      <c r="AK37" s="50">
        <f t="shared" si="77"/>
        <v>1.0000000009167165</v>
      </c>
      <c r="AL37" s="50">
        <f t="shared" si="78"/>
        <v>4.2818607997084152E-5</v>
      </c>
      <c r="AM37" s="50" t="str">
        <f t="shared" si="57"/>
        <v>1-0.000197553605589618i</v>
      </c>
      <c r="AN37" s="50">
        <f t="shared" si="79"/>
        <v>1.0000000195137133</v>
      </c>
      <c r="AO37" s="50">
        <f t="shared" si="80"/>
        <v>-1.9755360301961509E-4</v>
      </c>
      <c r="AP37" s="59" t="str">
        <f t="shared" si="81"/>
        <v>78.974547115347-3.75799805603878i</v>
      </c>
      <c r="AQ37" s="50">
        <f t="shared" si="82"/>
        <v>37.959565604877966</v>
      </c>
      <c r="AR37" s="62">
        <f t="shared" si="83"/>
        <v>-2.7243604438915194</v>
      </c>
      <c r="AS37" s="32" t="str">
        <f t="shared" si="58"/>
        <v>-0.0000166666666666667</v>
      </c>
      <c r="AT37" s="32" t="str">
        <f t="shared" si="59"/>
        <v>3.3087106199786E-07i</v>
      </c>
      <c r="AU37" s="32">
        <f t="shared" si="84"/>
        <v>3.3087106199786001E-7</v>
      </c>
      <c r="AV37" s="32">
        <f t="shared" si="85"/>
        <v>1.5707963267948966</v>
      </c>
      <c r="AW37" s="32" t="str">
        <f t="shared" si="60"/>
        <v>1+0.000336252010064953i</v>
      </c>
      <c r="AX37" s="32">
        <f t="shared" si="86"/>
        <v>1.0000000565327056</v>
      </c>
      <c r="AY37" s="32">
        <f t="shared" si="87"/>
        <v>3.3625199739212958E-4</v>
      </c>
      <c r="AZ37" s="32" t="str">
        <f t="shared" si="61"/>
        <v>1+0.0114325683422084i</v>
      </c>
      <c r="BA37" s="32">
        <f t="shared" si="88"/>
        <v>1.0000653496741596</v>
      </c>
      <c r="BB37" s="32">
        <f t="shared" si="89"/>
        <v>1.143207028858105E-2</v>
      </c>
      <c r="BC37" s="59" t="str">
        <f t="shared" si="90"/>
        <v>-0.558944573480901+50.3722772006738i</v>
      </c>
      <c r="BD37" s="50">
        <f t="shared" si="91"/>
        <v>34.044366394794466</v>
      </c>
      <c r="BE37" s="62">
        <f t="shared" si="92"/>
        <v>90.635743558329182</v>
      </c>
      <c r="BF37" s="59" t="str">
        <f t="shared" si="93"/>
        <v>52.5836908857045+1403.40486629248i</v>
      </c>
      <c r="BG37" s="65">
        <f t="shared" si="94"/>
        <v>62.949752346578023</v>
      </c>
      <c r="BH37" s="62">
        <f t="shared" si="95"/>
        <v>87.854208064456998</v>
      </c>
      <c r="BI37" s="59" t="str">
        <f t="shared" si="96"/>
        <v>145.156525245144+3980.22829171251i</v>
      </c>
      <c r="BJ37" s="65">
        <f t="shared" si="97"/>
        <v>72.003931999672432</v>
      </c>
      <c r="BK37" s="62">
        <f t="shared" si="98"/>
        <v>87.911383114437669</v>
      </c>
      <c r="BL37" s="50">
        <f t="shared" si="99"/>
        <v>62.949752346578023</v>
      </c>
      <c r="BM37" s="62">
        <f t="shared" si="100"/>
        <v>87.854208064456998</v>
      </c>
    </row>
    <row r="38" spans="1:65" x14ac:dyDescent="0.3">
      <c r="A38" t="s">
        <v>200</v>
      </c>
      <c r="B38" s="28">
        <f>(Gcomp*(VIN_var/VOUT)*(VOUT/IOUT))/(Kd*R_cs*Acs/Np)</f>
        <v>27.910324660718299</v>
      </c>
      <c r="C38" t="s">
        <v>150</v>
      </c>
      <c r="E38" t="s">
        <v>204</v>
      </c>
      <c r="K38" s="32"/>
      <c r="N38" s="11">
        <v>20</v>
      </c>
      <c r="O38" s="51">
        <f t="shared" si="62"/>
        <v>15.848931924611136</v>
      </c>
      <c r="P38" s="49" t="str">
        <f t="shared" si="50"/>
        <v>27.9103246607183</v>
      </c>
      <c r="Q38" s="18" t="str">
        <f t="shared" si="63"/>
        <v>1+0.0489167307925555i</v>
      </c>
      <c r="R38" s="18">
        <f t="shared" si="64"/>
        <v>1.0011957084164071</v>
      </c>
      <c r="S38" s="18">
        <f t="shared" si="65"/>
        <v>4.8877769970111055E-2</v>
      </c>
      <c r="T38" s="18" t="str">
        <f t="shared" si="51"/>
        <v>1+0.0000438159815294108i</v>
      </c>
      <c r="U38" s="18">
        <f t="shared" si="66"/>
        <v>1.0000000009599201</v>
      </c>
      <c r="V38" s="18">
        <f t="shared" si="67"/>
        <v>4.3815981501370907E-5</v>
      </c>
      <c r="W38" s="32" t="str">
        <f t="shared" si="52"/>
        <v>1-0.000577820182907492i</v>
      </c>
      <c r="X38" s="18">
        <f t="shared" si="68"/>
        <v>1.000000166938068</v>
      </c>
      <c r="Y38" s="18">
        <f t="shared" si="69"/>
        <v>-5.778201186007096E-4</v>
      </c>
      <c r="Z38" s="32" t="str">
        <f t="shared" si="53"/>
        <v>0.999999994810152+0.000264231190266462i</v>
      </c>
      <c r="AA38" s="18">
        <f t="shared" si="70"/>
        <v>1.0000000297192126</v>
      </c>
      <c r="AB38" s="18">
        <f t="shared" si="71"/>
        <v>2.6423118548840672E-4</v>
      </c>
      <c r="AC38" s="67" t="str">
        <f t="shared" si="72"/>
        <v>27.8426067236821-1.38424830538696i</v>
      </c>
      <c r="AD38" s="65">
        <f t="shared" si="73"/>
        <v>28.904919380167925</v>
      </c>
      <c r="AE38" s="62">
        <f t="shared" si="74"/>
        <v>-2.8462254463411791</v>
      </c>
      <c r="AF38" s="50" t="str">
        <f t="shared" si="54"/>
        <v>79.1527877025864</v>
      </c>
      <c r="AG38" s="50" t="str">
        <f t="shared" si="55"/>
        <v>1+0.0485346256941164i</v>
      </c>
      <c r="AH38" s="50">
        <f t="shared" si="75"/>
        <v>1.0011771121491282</v>
      </c>
      <c r="AI38" s="50">
        <f t="shared" si="76"/>
        <v>4.8496569918272926E-2</v>
      </c>
      <c r="AJ38" s="50" t="str">
        <f t="shared" si="56"/>
        <v>1+0.0000438159815294108i</v>
      </c>
      <c r="AK38" s="50">
        <f t="shared" si="77"/>
        <v>1.0000000009599201</v>
      </c>
      <c r="AL38" s="50">
        <f t="shared" si="78"/>
        <v>4.3815981501370907E-5</v>
      </c>
      <c r="AM38" s="50" t="str">
        <f t="shared" si="57"/>
        <v>1-0.000202155220199652i</v>
      </c>
      <c r="AN38" s="50">
        <f t="shared" si="79"/>
        <v>1.0000000204333663</v>
      </c>
      <c r="AO38" s="50">
        <f t="shared" si="80"/>
        <v>-2.0215521744584427E-4</v>
      </c>
      <c r="AP38" s="59" t="str">
        <f t="shared" si="81"/>
        <v>78.9661666364058-3.84512633234063i</v>
      </c>
      <c r="AQ38" s="50">
        <f t="shared" si="82"/>
        <v>37.959106232394227</v>
      </c>
      <c r="AR38" s="62">
        <f t="shared" si="83"/>
        <v>-2.7877209471290882</v>
      </c>
      <c r="AS38" s="32" t="str">
        <f t="shared" si="58"/>
        <v>-0.0000166666666666667</v>
      </c>
      <c r="AT38" s="32" t="str">
        <f t="shared" si="59"/>
        <v>3.38578039090901E-07i</v>
      </c>
      <c r="AU38" s="32">
        <f t="shared" si="84"/>
        <v>3.3857803909090102E-7</v>
      </c>
      <c r="AV38" s="32">
        <f t="shared" si="85"/>
        <v>1.5707963267948966</v>
      </c>
      <c r="AW38" s="32" t="str">
        <f t="shared" si="60"/>
        <v>1+0.000344084325539784i</v>
      </c>
      <c r="AX38" s="32">
        <f t="shared" si="86"/>
        <v>1.0000000591970097</v>
      </c>
      <c r="AY38" s="32">
        <f t="shared" si="87"/>
        <v>3.4408431196060913E-4</v>
      </c>
      <c r="AZ38" s="32" t="str">
        <f t="shared" si="61"/>
        <v>1+0.0116988670683527i</v>
      </c>
      <c r="BA38" s="32">
        <f t="shared" si="88"/>
        <v>1.0000684294040498</v>
      </c>
      <c r="BB38" s="32">
        <f t="shared" si="89"/>
        <v>1.1698333396248147E-2</v>
      </c>
      <c r="BC38" s="59" t="str">
        <f t="shared" si="90"/>
        <v>-0.558944570502508+49.2256728408101i</v>
      </c>
      <c r="BD38" s="50">
        <f t="shared" si="91"/>
        <v>33.844393120057376</v>
      </c>
      <c r="BE38" s="62">
        <f t="shared" si="92"/>
        <v>90.650550552069959</v>
      </c>
      <c r="BF38" s="59" t="str">
        <f t="shared" si="93"/>
        <v>52.5780803545856+1371.34476768984i</v>
      </c>
      <c r="BG38" s="65">
        <f t="shared" si="94"/>
        <v>62.749312500225315</v>
      </c>
      <c r="BH38" s="62">
        <f t="shared" si="95"/>
        <v>87.804325105728793</v>
      </c>
      <c r="BI38" s="59" t="str">
        <f t="shared" si="96"/>
        <v>145.141220772569+3889.31189682296i</v>
      </c>
      <c r="BJ38" s="65">
        <f t="shared" si="97"/>
        <v>71.803499352451595</v>
      </c>
      <c r="BK38" s="62">
        <f t="shared" si="98"/>
        <v>87.862829604940856</v>
      </c>
      <c r="BL38" s="50">
        <f t="shared" si="99"/>
        <v>62.749312500225315</v>
      </c>
      <c r="BM38" s="62">
        <f t="shared" si="100"/>
        <v>87.804325105728793</v>
      </c>
    </row>
    <row r="39" spans="1:65" x14ac:dyDescent="0.3">
      <c r="A39" t="s">
        <v>217</v>
      </c>
      <c r="B39" s="30">
        <f>Kd/(Cout*(VOUT/IOUT_VAR))</f>
        <v>2035.7406267706078</v>
      </c>
      <c r="C39" t="s">
        <v>216</v>
      </c>
      <c r="E39" t="s">
        <v>207</v>
      </c>
      <c r="N39" s="11">
        <v>21</v>
      </c>
      <c r="O39" s="51">
        <f t="shared" si="62"/>
        <v>16.218100973589298</v>
      </c>
      <c r="P39" s="49" t="str">
        <f t="shared" si="50"/>
        <v>27.9103246607183</v>
      </c>
      <c r="Q39" s="18" t="str">
        <f t="shared" si="63"/>
        <v>1+0.0500561478253061i</v>
      </c>
      <c r="R39" s="18">
        <f t="shared" si="64"/>
        <v>1.0012520251840238</v>
      </c>
      <c r="S39" s="18">
        <f t="shared" si="65"/>
        <v>5.0014403370832544E-2</v>
      </c>
      <c r="T39" s="18" t="str">
        <f t="shared" si="51"/>
        <v>1+0.0000448365868489489i</v>
      </c>
      <c r="U39" s="18">
        <f t="shared" si="66"/>
        <v>1.0000000010051597</v>
      </c>
      <c r="V39" s="18">
        <f t="shared" si="67"/>
        <v>4.4836586818903612E-5</v>
      </c>
      <c r="W39" s="32" t="str">
        <f t="shared" si="52"/>
        <v>1-0.000591279343967619i</v>
      </c>
      <c r="X39" s="18">
        <f t="shared" si="68"/>
        <v>1.000000174805616</v>
      </c>
      <c r="Y39" s="18">
        <f t="shared" si="69"/>
        <v>-5.9127927506166084E-4</v>
      </c>
      <c r="Z39" s="32" t="str">
        <f t="shared" si="53"/>
        <v>0.999999994565562+0.000270385925341672i</v>
      </c>
      <c r="AA39" s="18">
        <f t="shared" si="70"/>
        <v>1.0000000311198358</v>
      </c>
      <c r="AB39" s="18">
        <f t="shared" si="71"/>
        <v>2.7038592022189353E-4</v>
      </c>
      <c r="AC39" s="67" t="str">
        <f t="shared" si="72"/>
        <v>27.8394232521988-1.41633223810123i</v>
      </c>
      <c r="AD39" s="65">
        <f t="shared" si="73"/>
        <v>28.904430873439839</v>
      </c>
      <c r="AE39" s="62">
        <f t="shared" si="74"/>
        <v>-2.9124150598641547</v>
      </c>
      <c r="AF39" s="50" t="str">
        <f t="shared" si="54"/>
        <v>79.1527877025864</v>
      </c>
      <c r="AG39" s="50" t="str">
        <f t="shared" si="55"/>
        <v>1+0.0496651423557586i</v>
      </c>
      <c r="AH39" s="50">
        <f t="shared" si="75"/>
        <v>1.0012325535884348</v>
      </c>
      <c r="AI39" s="50">
        <f t="shared" si="76"/>
        <v>4.9624367567946207E-2</v>
      </c>
      <c r="AJ39" s="50" t="str">
        <f t="shared" si="56"/>
        <v>1+0.0000448365868489489i</v>
      </c>
      <c r="AK39" s="50">
        <f t="shared" si="77"/>
        <v>1.0000000010051597</v>
      </c>
      <c r="AL39" s="50">
        <f t="shared" si="78"/>
        <v>4.4836586818903612E-5</v>
      </c>
      <c r="AM39" s="50" t="str">
        <f t="shared" si="57"/>
        <v>1-0.000206864020183277i</v>
      </c>
      <c r="AN39" s="50">
        <f t="shared" si="79"/>
        <v>1.0000000213963611</v>
      </c>
      <c r="AO39" s="50">
        <f t="shared" si="80"/>
        <v>-2.0686401723251884E-4</v>
      </c>
      <c r="AP39" s="59" t="str">
        <f t="shared" si="81"/>
        <v>78.9573930975632-3.93425509126277i</v>
      </c>
      <c r="AQ39" s="50">
        <f t="shared" si="82"/>
        <v>37.958625262427304</v>
      </c>
      <c r="AR39" s="62">
        <f t="shared" si="83"/>
        <v>-2.8525503105772456</v>
      </c>
      <c r="AS39" s="32" t="str">
        <f t="shared" si="58"/>
        <v>-0.0000166666666666667</v>
      </c>
      <c r="AT39" s="32" t="str">
        <f t="shared" si="59"/>
        <v>3.46464534741878E-07i</v>
      </c>
      <c r="AU39" s="32">
        <f t="shared" si="84"/>
        <v>3.4646453474187802E-7</v>
      </c>
      <c r="AV39" s="32">
        <f t="shared" si="85"/>
        <v>1.5707963267948966</v>
      </c>
      <c r="AW39" s="32" t="str">
        <f t="shared" si="60"/>
        <v>1+0.00035209907907851i</v>
      </c>
      <c r="AX39" s="32">
        <f t="shared" si="86"/>
        <v>1.0000000619868787</v>
      </c>
      <c r="AY39" s="32">
        <f t="shared" si="87"/>
        <v>3.5209906452816198E-4</v>
      </c>
      <c r="AZ39" s="32" t="str">
        <f t="shared" si="61"/>
        <v>1+0.0119713686886693i</v>
      </c>
      <c r="BA39" s="32">
        <f t="shared" si="88"/>
        <v>1.000071654266973</v>
      </c>
      <c r="BB39" s="32">
        <f t="shared" si="89"/>
        <v>1.1970796850919426E-2</v>
      </c>
      <c r="BC39" s="59" t="str">
        <f t="shared" si="90"/>
        <v>-0.558944567383738+48.1051685842653i</v>
      </c>
      <c r="BD39" s="50">
        <f t="shared" si="91"/>
        <v>33.644421104666542</v>
      </c>
      <c r="BE39" s="62">
        <f t="shared" si="92"/>
        <v>90.665702346598209</v>
      </c>
      <c r="BF39" s="59" t="str">
        <f t="shared" si="93"/>
        <v>52.5722066992764+1340.01180004584i</v>
      </c>
      <c r="BG39" s="65">
        <f t="shared" si="94"/>
        <v>62.548851978106406</v>
      </c>
      <c r="BH39" s="62">
        <f t="shared" si="95"/>
        <v>87.753287286734079</v>
      </c>
      <c r="BI39" s="59" t="str">
        <f t="shared" si="96"/>
        <v>145.125198492034+3800.45773644235i</v>
      </c>
      <c r="BJ39" s="65">
        <f t="shared" si="97"/>
        <v>71.603046367093853</v>
      </c>
      <c r="BK39" s="62">
        <f t="shared" si="98"/>
        <v>87.813152036020981</v>
      </c>
      <c r="BL39" s="50">
        <f t="shared" si="99"/>
        <v>62.548851978106406</v>
      </c>
      <c r="BM39" s="62">
        <f t="shared" si="100"/>
        <v>87.753287286734079</v>
      </c>
    </row>
    <row r="40" spans="1:65" x14ac:dyDescent="0.3">
      <c r="B40" s="29">
        <f>wp_lf/(2*PI())</f>
        <v>323.99818360353544</v>
      </c>
      <c r="C40" t="s">
        <v>65</v>
      </c>
      <c r="N40" s="11">
        <v>22</v>
      </c>
      <c r="O40" s="51">
        <f t="shared" si="62"/>
        <v>16.595869074375614</v>
      </c>
      <c r="P40" s="49" t="str">
        <f t="shared" si="50"/>
        <v>27.9103246607183</v>
      </c>
      <c r="Q40" s="18" t="str">
        <f t="shared" si="63"/>
        <v>1+0.0512221052902054i</v>
      </c>
      <c r="R40" s="18">
        <f t="shared" si="64"/>
        <v>1.0013109926842714</v>
      </c>
      <c r="S40" s="18">
        <f t="shared" si="65"/>
        <v>5.117737846371434E-2</v>
      </c>
      <c r="T40" s="18" t="str">
        <f t="shared" si="51"/>
        <v>1+0.000045880965120317i</v>
      </c>
      <c r="U40" s="18">
        <f t="shared" si="66"/>
        <v>1.0000000010525314</v>
      </c>
      <c r="V40" s="18">
        <f t="shared" si="67"/>
        <v>4.588096508812289E-5</v>
      </c>
      <c r="W40" s="32" t="str">
        <f t="shared" si="52"/>
        <v>1-0.000605052009162428i</v>
      </c>
      <c r="X40" s="18">
        <f t="shared" si="68"/>
        <v>1.0000001830439502</v>
      </c>
      <c r="Y40" s="18">
        <f t="shared" si="69"/>
        <v>-6.0505193532836424E-4</v>
      </c>
      <c r="Z40" s="32" t="str">
        <f t="shared" si="53"/>
        <v>0.999999994309445+0.000276684022613481i</v>
      </c>
      <c r="AA40" s="18">
        <f t="shared" si="70"/>
        <v>1.0000000325864689</v>
      </c>
      <c r="AB40" s="18">
        <f t="shared" si="71"/>
        <v>2.7668401712753948E-4</v>
      </c>
      <c r="AC40" s="67" t="str">
        <f t="shared" si="72"/>
        <v>27.8360905158775-1.44915214415677i</v>
      </c>
      <c r="AD40" s="65">
        <f t="shared" si="73"/>
        <v>28.903919402999826</v>
      </c>
      <c r="AE40" s="62">
        <f t="shared" si="74"/>
        <v>-2.9801387555756684</v>
      </c>
      <c r="AF40" s="50" t="str">
        <f t="shared" si="54"/>
        <v>79.1527877025864</v>
      </c>
      <c r="AG40" s="50" t="str">
        <f t="shared" si="55"/>
        <v>1+0.0508219921332741i</v>
      </c>
      <c r="AH40" s="50">
        <f t="shared" si="75"/>
        <v>1.0012906046120649</v>
      </c>
      <c r="AI40" s="50">
        <f t="shared" si="76"/>
        <v>5.077830420190621E-2</v>
      </c>
      <c r="AJ40" s="50" t="str">
        <f t="shared" si="56"/>
        <v>1+0.000045880965120317i</v>
      </c>
      <c r="AK40" s="50">
        <f t="shared" si="77"/>
        <v>1.0000000010525314</v>
      </c>
      <c r="AL40" s="50">
        <f t="shared" si="78"/>
        <v>4.588096508812289E-5</v>
      </c>
      <c r="AM40" s="50" t="str">
        <f t="shared" si="57"/>
        <v>1-0.000211682502208572i</v>
      </c>
      <c r="AN40" s="50">
        <f t="shared" si="79"/>
        <v>1.0000000224047405</v>
      </c>
      <c r="AO40" s="50">
        <f t="shared" si="80"/>
        <v>-2.1168249904677768E-4</v>
      </c>
      <c r="AP40" s="59" t="str">
        <f t="shared" si="81"/>
        <v>78.9482081570835-4.02542886776129i</v>
      </c>
      <c r="AQ40" s="50">
        <f t="shared" si="82"/>
        <v>37.95812168213061</v>
      </c>
      <c r="AR40" s="62">
        <f t="shared" si="83"/>
        <v>-2.9188822497332634</v>
      </c>
      <c r="AS40" s="32" t="str">
        <f t="shared" si="58"/>
        <v>-0.0000166666666666667</v>
      </c>
      <c r="AT40" s="32" t="str">
        <f t="shared" si="59"/>
        <v>3.54534730475176E-07i</v>
      </c>
      <c r="AU40" s="32">
        <f t="shared" si="84"/>
        <v>3.54534730475176E-7</v>
      </c>
      <c r="AV40" s="32">
        <f t="shared" si="85"/>
        <v>1.5707963267948966</v>
      </c>
      <c r="AW40" s="32" t="str">
        <f t="shared" si="60"/>
        <v>1+0.000360300520209548i</v>
      </c>
      <c r="AX40" s="32">
        <f t="shared" si="86"/>
        <v>1.0000000649082303</v>
      </c>
      <c r="AY40" s="32">
        <f t="shared" si="87"/>
        <v>3.6030050461856929E-4</v>
      </c>
      <c r="AZ40" s="32" t="str">
        <f t="shared" si="61"/>
        <v>1+0.0122502176871246i</v>
      </c>
      <c r="BA40" s="32">
        <f t="shared" si="88"/>
        <v>1.0000750311018578</v>
      </c>
      <c r="BB40" s="32">
        <f t="shared" si="89"/>
        <v>1.2249604954418947E-2</v>
      </c>
      <c r="BC40" s="59" t="str">
        <f t="shared" si="90"/>
        <v>-0.558944564117994+47.0101703248508i</v>
      </c>
      <c r="BD40" s="50">
        <f t="shared" si="91"/>
        <v>33.444450407956076</v>
      </c>
      <c r="BE40" s="62">
        <f t="shared" si="92"/>
        <v>90.681206966319664</v>
      </c>
      <c r="BF40" s="59" t="str">
        <f t="shared" si="93"/>
        <v>52.5660576432863+1309.38935204292i</v>
      </c>
      <c r="BG40" s="65">
        <f t="shared" si="94"/>
        <v>62.348369810955894</v>
      </c>
      <c r="BH40" s="62">
        <f t="shared" si="95"/>
        <v>87.701068210743998</v>
      </c>
      <c r="BI40" s="59" t="str">
        <f t="shared" si="96"/>
        <v>145.108424907772+3713.61870389015i</v>
      </c>
      <c r="BJ40" s="65">
        <f t="shared" si="97"/>
        <v>71.402572090086693</v>
      </c>
      <c r="BK40" s="62">
        <f t="shared" si="98"/>
        <v>87.76232471658642</v>
      </c>
      <c r="BL40" s="50">
        <f t="shared" si="99"/>
        <v>62.348369810955894</v>
      </c>
      <c r="BM40" s="62">
        <f t="shared" si="100"/>
        <v>87.701068210743998</v>
      </c>
    </row>
    <row r="41" spans="1:65" x14ac:dyDescent="0.3">
      <c r="B41" s="1"/>
      <c r="C41" t="s">
        <v>237</v>
      </c>
      <c r="E41" t="s">
        <v>236</v>
      </c>
      <c r="N41" s="11">
        <v>23</v>
      </c>
      <c r="O41" s="51">
        <f t="shared" si="62"/>
        <v>16.982436524617448</v>
      </c>
      <c r="P41" s="49" t="str">
        <f t="shared" si="50"/>
        <v>27.9103246607183</v>
      </c>
      <c r="Q41" s="18" t="str">
        <f t="shared" si="63"/>
        <v>1+0.052415221393334i</v>
      </c>
      <c r="R41" s="18">
        <f t="shared" si="64"/>
        <v>1.0013727355154585</v>
      </c>
      <c r="S41" s="18">
        <f t="shared" si="65"/>
        <v>5.2367299282906392E-2</v>
      </c>
      <c r="T41" s="18" t="str">
        <f t="shared" si="51"/>
        <v>1+0.0000469496700866979i</v>
      </c>
      <c r="U41" s="18">
        <f t="shared" si="66"/>
        <v>1.0000000011021357</v>
      </c>
      <c r="V41" s="18">
        <f t="shared" si="67"/>
        <v>4.6949670052201292E-5</v>
      </c>
      <c r="W41" s="32" t="str">
        <f t="shared" si="52"/>
        <v>1-0.000619145480941301i</v>
      </c>
      <c r="X41" s="18">
        <f t="shared" si="68"/>
        <v>1.000000191670545</v>
      </c>
      <c r="Y41" s="18">
        <f t="shared" si="69"/>
        <v>-6.1914540182667717E-4</v>
      </c>
      <c r="Z41" s="32" t="str">
        <f t="shared" si="53"/>
        <v>0.999999994041257+0.000283128821416424i</v>
      </c>
      <c r="AA41" s="18">
        <f t="shared" si="70"/>
        <v>1.000000034122221</v>
      </c>
      <c r="AB41" s="18">
        <f t="shared" si="71"/>
        <v>2.8312881553813193E-4</v>
      </c>
      <c r="AC41" s="67" t="str">
        <f t="shared" si="72"/>
        <v>27.8326015538378-1.48272435907924i</v>
      </c>
      <c r="AD41" s="65">
        <f t="shared" si="73"/>
        <v>28.903383892269012</v>
      </c>
      <c r="AE41" s="62">
        <f t="shared" si="74"/>
        <v>-3.049431720083946</v>
      </c>
      <c r="AF41" s="50" t="str">
        <f t="shared" si="54"/>
        <v>79.1527877025864</v>
      </c>
      <c r="AG41" s="50" t="str">
        <f t="shared" si="55"/>
        <v>1+0.0520057884037268i</v>
      </c>
      <c r="AH41" s="50">
        <f t="shared" si="75"/>
        <v>1.0013513878891331</v>
      </c>
      <c r="AI41" s="50">
        <f t="shared" si="76"/>
        <v>5.1958979353272483E-2</v>
      </c>
      <c r="AJ41" s="50" t="str">
        <f t="shared" si="56"/>
        <v>1+0.0000469496700866979i</v>
      </c>
      <c r="AK41" s="50">
        <f t="shared" si="77"/>
        <v>1.0000000011021357</v>
      </c>
      <c r="AL41" s="50">
        <f t="shared" si="78"/>
        <v>4.6949670052201292E-5</v>
      </c>
      <c r="AM41" s="50" t="str">
        <f t="shared" si="57"/>
        <v>1-0.000216613221098486i</v>
      </c>
      <c r="AN41" s="50">
        <f t="shared" si="79"/>
        <v>1.0000000234606434</v>
      </c>
      <c r="AO41" s="50">
        <f t="shared" si="80"/>
        <v>-2.1661321771056235E-4</v>
      </c>
      <c r="AP41" s="59" t="str">
        <f t="shared" si="81"/>
        <v>78.938592626327-4.11869308804686i</v>
      </c>
      <c r="AQ41" s="50">
        <f t="shared" si="82"/>
        <v>37.957594431405219</v>
      </c>
      <c r="AR41" s="62">
        <f t="shared" si="83"/>
        <v>-2.9867512299679424</v>
      </c>
      <c r="AS41" s="32" t="str">
        <f t="shared" si="58"/>
        <v>-0.0000166666666666667</v>
      </c>
      <c r="AT41" s="32" t="str">
        <f t="shared" si="59"/>
        <v>3.62792905215393E-07i</v>
      </c>
      <c r="AU41" s="32">
        <f t="shared" si="84"/>
        <v>3.62792905215393E-7</v>
      </c>
      <c r="AV41" s="32">
        <f t="shared" si="85"/>
        <v>1.5707963267948966</v>
      </c>
      <c r="AW41" s="32" t="str">
        <f t="shared" si="60"/>
        <v>1+0.000368692997445539i</v>
      </c>
      <c r="AX41" s="32">
        <f t="shared" si="86"/>
        <v>1.0000000679672609</v>
      </c>
      <c r="AY41" s="32">
        <f t="shared" si="87"/>
        <v>3.6869298073950436E-4</v>
      </c>
      <c r="AZ41" s="32" t="str">
        <f t="shared" si="61"/>
        <v>1+0.0125355619131483i</v>
      </c>
      <c r="BA41" s="32">
        <f t="shared" si="88"/>
        <v>1.0000785670698469</v>
      </c>
      <c r="BB41" s="32">
        <f t="shared" si="89"/>
        <v>1.2534905361010967E-2</v>
      </c>
      <c r="BC41" s="59" t="str">
        <f t="shared" si="90"/>
        <v>-0.558944560698336+45.9400974799958i</v>
      </c>
      <c r="BD41" s="50">
        <f t="shared" si="91"/>
        <v>33.244481092054855</v>
      </c>
      <c r="BE41" s="62">
        <f t="shared" si="92"/>
        <v>90.697072622049362</v>
      </c>
      <c r="BF41" s="59" t="str">
        <f t="shared" si="93"/>
        <v>52.5596203434629+1279.46118922071i</v>
      </c>
      <c r="BG41" s="65">
        <f t="shared" si="94"/>
        <v>62.147864984323846</v>
      </c>
      <c r="BH41" s="62">
        <f t="shared" si="95"/>
        <v>87.647640901965417</v>
      </c>
      <c r="BI41" s="59" t="str">
        <f t="shared" si="96"/>
        <v>145.09086497739+3628.74876128589i</v>
      </c>
      <c r="BJ41" s="65">
        <f t="shared" si="97"/>
        <v>71.202075523460081</v>
      </c>
      <c r="BK41" s="62">
        <f t="shared" si="98"/>
        <v>87.71032139208144</v>
      </c>
      <c r="BL41" s="50">
        <f t="shared" si="99"/>
        <v>62.147864984323846</v>
      </c>
      <c r="BM41" s="62">
        <f t="shared" si="100"/>
        <v>87.647640901965417</v>
      </c>
    </row>
    <row r="42" spans="1:65" s="32" customFormat="1" x14ac:dyDescent="0.3">
      <c r="A42" t="s">
        <v>218</v>
      </c>
      <c r="B42" s="30">
        <f>((VOUT/IOUT)*((VIN_var/VOUT)^2))/(Lm)</f>
        <v>172340.42553191489</v>
      </c>
      <c r="C42" t="s">
        <v>216</v>
      </c>
      <c r="D42"/>
      <c r="E42" t="s">
        <v>208</v>
      </c>
      <c r="F42"/>
      <c r="G42"/>
      <c r="K42"/>
      <c r="L42"/>
      <c r="N42" s="11">
        <v>24</v>
      </c>
      <c r="O42" s="51">
        <f t="shared" si="62"/>
        <v>17.378008287493756</v>
      </c>
      <c r="P42" s="49" t="str">
        <f t="shared" si="50"/>
        <v>27.9103246607183</v>
      </c>
      <c r="Q42" s="18" t="str">
        <f t="shared" si="63"/>
        <v>1+0.0536361287406431i</v>
      </c>
      <c r="R42" s="18">
        <f t="shared" si="64"/>
        <v>1.001437384116592</v>
      </c>
      <c r="S42" s="18">
        <f t="shared" si="65"/>
        <v>5.3584783253948963E-2</v>
      </c>
      <c r="T42" s="18" t="str">
        <f t="shared" si="51"/>
        <v>1+0.0000480432683896115i</v>
      </c>
      <c r="U42" s="18">
        <f t="shared" si="66"/>
        <v>1.0000000011540777</v>
      </c>
      <c r="V42" s="18">
        <f t="shared" si="67"/>
        <v>4.8043268352647721E-5</v>
      </c>
      <c r="W42" s="32" t="str">
        <f t="shared" si="52"/>
        <v>1-0.000633567231849533i</v>
      </c>
      <c r="X42" s="18">
        <f t="shared" si="68"/>
        <v>1.0000002007036985</v>
      </c>
      <c r="Y42" s="18">
        <f t="shared" si="69"/>
        <v>-6.3356714707668712E-4</v>
      </c>
      <c r="Z42" s="32" t="str">
        <f t="shared" si="53"/>
        <v>0.99999999376043+0.000289723738868137i</v>
      </c>
      <c r="AA42" s="18">
        <f t="shared" si="70"/>
        <v>1.000000035730352</v>
      </c>
      <c r="AB42" s="18">
        <f t="shared" si="71"/>
        <v>2.8972373256943359E-4</v>
      </c>
      <c r="AC42" s="67" t="str">
        <f t="shared" si="72"/>
        <v>27.8289490842142-1.51706554172674i</v>
      </c>
      <c r="AD42" s="65">
        <f t="shared" si="73"/>
        <v>28.902823214475241</v>
      </c>
      <c r="AE42" s="62">
        <f t="shared" si="74"/>
        <v>-3.1203299207306046</v>
      </c>
      <c r="AF42" s="50" t="str">
        <f t="shared" si="54"/>
        <v>79.1527877025864</v>
      </c>
      <c r="AG42" s="50" t="str">
        <f t="shared" si="55"/>
        <v>1+0.0532171588315695i</v>
      </c>
      <c r="AH42" s="50">
        <f t="shared" si="75"/>
        <v>1.001415031839499</v>
      </c>
      <c r="AI42" s="50">
        <f t="shared" si="76"/>
        <v>5.3167005857335817E-2</v>
      </c>
      <c r="AJ42" s="50" t="str">
        <f t="shared" si="56"/>
        <v>1+0.0000480432683896115i</v>
      </c>
      <c r="AK42" s="50">
        <f t="shared" si="77"/>
        <v>1.0000000011540777</v>
      </c>
      <c r="AL42" s="50">
        <f t="shared" si="78"/>
        <v>4.8043268352647721E-5</v>
      </c>
      <c r="AM42" s="50" t="str">
        <f t="shared" si="57"/>
        <v>1-0.000221658791185443i</v>
      </c>
      <c r="AN42" s="50">
        <f t="shared" si="79"/>
        <v>1.0000000245663097</v>
      </c>
      <c r="AO42" s="50">
        <f t="shared" si="80"/>
        <v>-2.216587875552174E-4</v>
      </c>
      <c r="AP42" s="59" t="str">
        <f t="shared" si="81"/>
        <v>78.9285264315113-4.2140940800652i</v>
      </c>
      <c r="AQ42" s="50">
        <f t="shared" si="82"/>
        <v>37.957042400719089</v>
      </c>
      <c r="AR42" s="62">
        <f t="shared" si="83"/>
        <v>-3.0561924814809482</v>
      </c>
      <c r="AS42" s="32" t="str">
        <f t="shared" si="58"/>
        <v>-0.0000166666666666667</v>
      </c>
      <c r="AT42" s="32" t="str">
        <f t="shared" si="59"/>
        <v>3.71243437556088E-07i</v>
      </c>
      <c r="AU42" s="32">
        <f t="shared" si="84"/>
        <v>3.7124343755608799E-7</v>
      </c>
      <c r="AV42" s="32">
        <f t="shared" si="85"/>
        <v>1.5707963267948966</v>
      </c>
      <c r="AW42" s="32" t="str">
        <f t="shared" si="60"/>
        <v>1+0.000377280960589007i</v>
      </c>
      <c r="AX42" s="32">
        <f t="shared" si="86"/>
        <v>1.0000000711704591</v>
      </c>
      <c r="AY42" s="32">
        <f t="shared" si="87"/>
        <v>3.7728094268816849E-4</v>
      </c>
      <c r="AZ42" s="32" t="str">
        <f t="shared" si="61"/>
        <v>1+0.0128275526600263i</v>
      </c>
      <c r="BA42" s="32">
        <f t="shared" si="88"/>
        <v>1.0000822696694736</v>
      </c>
      <c r="BB42" s="32">
        <f t="shared" si="89"/>
        <v>1.282684915486185E-2</v>
      </c>
      <c r="BC42" s="59" t="str">
        <f t="shared" si="90"/>
        <v>-0.55894455711752+44.8943826829136i</v>
      </c>
      <c r="BD42" s="50">
        <f t="shared" si="91"/>
        <v>33.044513222017898</v>
      </c>
      <c r="BE42" s="62">
        <f t="shared" si="92"/>
        <v>90.713307715317782</v>
      </c>
      <c r="BF42" s="59" t="str">
        <f t="shared" si="93"/>
        <v>52.5528813644198+1250.21144537737i</v>
      </c>
      <c r="BG42" s="65">
        <f t="shared" si="94"/>
        <v>61.947336436493146</v>
      </c>
      <c r="BH42" s="62">
        <f t="shared" si="95"/>
        <v>87.592977794587171</v>
      </c>
      <c r="BI42" s="59" t="str">
        <f t="shared" si="96"/>
        <v>145.072482042048+3545.80291516396i</v>
      </c>
      <c r="BJ42" s="65">
        <f t="shared" si="97"/>
        <v>71.001555622736973</v>
      </c>
      <c r="BK42" s="62">
        <f t="shared" si="98"/>
        <v>87.657115233836834</v>
      </c>
      <c r="BL42" s="50">
        <f t="shared" si="99"/>
        <v>61.947336436493146</v>
      </c>
      <c r="BM42" s="62">
        <f t="shared" si="100"/>
        <v>87.592977794587171</v>
      </c>
    </row>
    <row r="43" spans="1:65" s="32" customFormat="1" x14ac:dyDescent="0.3">
      <c r="B43" s="1">
        <f>wz_rhp/(2*PI())</f>
        <v>27428.830617964941</v>
      </c>
      <c r="C43" s="32" t="s">
        <v>65</v>
      </c>
      <c r="K43"/>
      <c r="L43"/>
      <c r="N43" s="11">
        <v>25</v>
      </c>
      <c r="O43" s="51">
        <f t="shared" si="62"/>
        <v>17.782794100389236</v>
      </c>
      <c r="P43" s="49" t="str">
        <f t="shared" si="50"/>
        <v>27.9103246607183</v>
      </c>
      <c r="Q43" s="18" t="str">
        <f t="shared" si="63"/>
        <v>1+0.0548854746733682i</v>
      </c>
      <c r="R43" s="18">
        <f t="shared" si="64"/>
        <v>1.001505075039623</v>
      </c>
      <c r="S43" s="18">
        <f t="shared" si="65"/>
        <v>5.4830461457678441E-2</v>
      </c>
      <c r="T43" s="18" t="str">
        <f t="shared" si="51"/>
        <v>1+0.0000491623398693527i</v>
      </c>
      <c r="U43" s="18">
        <f t="shared" si="66"/>
        <v>1.0000000012084678</v>
      </c>
      <c r="V43" s="18">
        <f t="shared" si="67"/>
        <v>4.9162339829745298E-5</v>
      </c>
      <c r="W43" s="32" t="str">
        <f t="shared" si="52"/>
        <v>1-0.00064832490849034i</v>
      </c>
      <c r="X43" s="18">
        <f t="shared" si="68"/>
        <v>1.0000002101625713</v>
      </c>
      <c r="Y43" s="18">
        <f t="shared" si="69"/>
        <v>-6.483248176546001E-4</v>
      </c>
      <c r="Z43" s="32" t="str">
        <f t="shared" si="53"/>
        <v>0.999999993466368+0.000296472271681142i</v>
      </c>
      <c r="AA43" s="18">
        <f t="shared" si="70"/>
        <v>1.0000000374142712</v>
      </c>
      <c r="AB43" s="18">
        <f t="shared" si="71"/>
        <v>2.9647226493195977E-4</v>
      </c>
      <c r="AC43" s="67" t="str">
        <f t="shared" si="72"/>
        <v>27.8251254897058-1.55219267780278i</v>
      </c>
      <c r="AD43" s="65">
        <f t="shared" si="73"/>
        <v>28.902236190340211</v>
      </c>
      <c r="AE43" s="62">
        <f t="shared" si="74"/>
        <v>-3.1928701210249582</v>
      </c>
      <c r="AF43" s="50" t="str">
        <f t="shared" si="54"/>
        <v>79.1527877025864</v>
      </c>
      <c r="AG43" s="50" t="str">
        <f t="shared" si="55"/>
        <v>1+0.0544567457014366i</v>
      </c>
      <c r="AH43" s="50">
        <f t="shared" si="75"/>
        <v>1.0014816709018648</v>
      </c>
      <c r="AI43" s="50">
        <f t="shared" si="76"/>
        <v>5.4403010114483036E-2</v>
      </c>
      <c r="AJ43" s="50" t="str">
        <f t="shared" si="56"/>
        <v>1+0.0000491623398693527i</v>
      </c>
      <c r="AK43" s="50">
        <f t="shared" si="77"/>
        <v>1.0000000012084678</v>
      </c>
      <c r="AL43" s="50">
        <f t="shared" si="78"/>
        <v>4.9162339829745298E-5</v>
      </c>
      <c r="AM43" s="50" t="str">
        <f t="shared" si="57"/>
        <v>1-0.000226821887697486i</v>
      </c>
      <c r="AN43" s="50">
        <f t="shared" si="79"/>
        <v>1.0000000257240842</v>
      </c>
      <c r="AO43" s="50">
        <f t="shared" si="80"/>
        <v>-2.268218838076292E-4</v>
      </c>
      <c r="AP43" s="59" t="str">
        <f t="shared" si="81"/>
        <v>78.9179885738299-4.31167908350651i</v>
      </c>
      <c r="AQ43" s="50">
        <f t="shared" si="82"/>
        <v>37.956464428827928</v>
      </c>
      <c r="AR43" s="62">
        <f t="shared" si="83"/>
        <v>-3.1272420144275577</v>
      </c>
      <c r="AS43" s="32" t="str">
        <f t="shared" si="58"/>
        <v>-0.0000166666666666667</v>
      </c>
      <c r="AT43" s="32" t="str">
        <f t="shared" si="59"/>
        <v>3.79890808081363E-07i</v>
      </c>
      <c r="AU43" s="32">
        <f t="shared" si="84"/>
        <v>3.7989080808136298E-7</v>
      </c>
      <c r="AV43" s="32">
        <f t="shared" si="85"/>
        <v>1.5707963267948966</v>
      </c>
      <c r="AW43" s="32" t="str">
        <f t="shared" si="60"/>
        <v>1+0.000386068963091681i</v>
      </c>
      <c r="AX43" s="32">
        <f t="shared" si="86"/>
        <v>1.0000000745246194</v>
      </c>
      <c r="AY43" s="32">
        <f t="shared" si="87"/>
        <v>3.86068943910587E-4</v>
      </c>
      <c r="AZ43" s="32" t="str">
        <f t="shared" si="61"/>
        <v>1+0.0131263447451171i</v>
      </c>
      <c r="BA43" s="32">
        <f t="shared" si="88"/>
        <v>1.0000861467525524</v>
      </c>
      <c r="BB43" s="32">
        <f t="shared" si="89"/>
        <v>1.3125590929258999E-2</v>
      </c>
      <c r="BC43" s="59" t="str">
        <f t="shared" si="90"/>
        <v>-0.558944553367933+43.8724714817771i</v>
      </c>
      <c r="BD43" s="50">
        <f t="shared" si="91"/>
        <v>32.844546865964212</v>
      </c>
      <c r="BE43" s="62">
        <f t="shared" si="92"/>
        <v>90.72992084277459</v>
      </c>
      <c r="BF43" s="59" t="str">
        <f t="shared" si="93"/>
        <v>52.5458266518754+1221.62461416702i</v>
      </c>
      <c r="BG43" s="65">
        <f t="shared" si="94"/>
        <v>61.746783056304409</v>
      </c>
      <c r="BH43" s="62">
        <f t="shared" si="95"/>
        <v>87.537050721749623</v>
      </c>
      <c r="BI43" s="59" t="str">
        <f t="shared" si="96"/>
        <v>145.053237753619+3464.73719264416i</v>
      </c>
      <c r="BJ43" s="65">
        <f t="shared" si="97"/>
        <v>70.801011294792147</v>
      </c>
      <c r="BK43" s="62">
        <f t="shared" si="98"/>
        <v>87.602678828347038</v>
      </c>
      <c r="BL43" s="50">
        <f t="shared" si="99"/>
        <v>61.746783056304409</v>
      </c>
      <c r="BM43" s="62">
        <f t="shared" si="100"/>
        <v>87.537050721749623</v>
      </c>
    </row>
    <row r="44" spans="1:65" s="32" customFormat="1" x14ac:dyDescent="0.3">
      <c r="B44" s="1"/>
      <c r="K44"/>
      <c r="L44"/>
      <c r="N44" s="11">
        <v>26</v>
      </c>
      <c r="O44" s="51">
        <f t="shared" si="62"/>
        <v>18.197008586099841</v>
      </c>
      <c r="P44" s="49" t="str">
        <f t="shared" si="50"/>
        <v>27.9103246607183</v>
      </c>
      <c r="Q44" s="18" t="str">
        <f t="shared" si="63"/>
        <v>1+0.0561639216112606i</v>
      </c>
      <c r="R44" s="18">
        <f t="shared" si="64"/>
        <v>1.0015759512342317</v>
      </c>
      <c r="S44" s="18">
        <f t="shared" si="65"/>
        <v>5.6104978896911614E-2</v>
      </c>
      <c r="T44" s="18" t="str">
        <f t="shared" si="51"/>
        <v>1+0.0000503074778724334i</v>
      </c>
      <c r="U44" s="18">
        <f t="shared" si="66"/>
        <v>1.0000000012654211</v>
      </c>
      <c r="V44" s="18">
        <f t="shared" si="67"/>
        <v>5.0307477829993303E-5</v>
      </c>
      <c r="W44" s="32" t="str">
        <f t="shared" si="52"/>
        <v>1-0.000663426335579227i</v>
      </c>
      <c r="X44" s="18">
        <f t="shared" si="68"/>
        <v>1.0000002200672271</v>
      </c>
      <c r="Y44" s="18">
        <f t="shared" si="69"/>
        <v>-6.6342623824697927E-4</v>
      </c>
      <c r="Z44" s="32" t="str">
        <f t="shared" si="53"/>
        <v>0.999999993158448+0.000303377998016869i</v>
      </c>
      <c r="AA44" s="18">
        <f t="shared" si="70"/>
        <v>1.0000000391775521</v>
      </c>
      <c r="AB44" s="18">
        <f t="shared" si="71"/>
        <v>3.0337799078498972E-4</v>
      </c>
      <c r="AC44" s="67" t="str">
        <f t="shared" si="72"/>
        <v>27.8211228025063-1.58812308317222i</v>
      </c>
      <c r="AD44" s="65">
        <f t="shared" si="73"/>
        <v>28.901621585661648</v>
      </c>
      <c r="AE44" s="62">
        <f t="shared" si="74"/>
        <v>-3.2670898962449133</v>
      </c>
      <c r="AF44" s="50" t="str">
        <f t="shared" si="54"/>
        <v>79.1527877025864</v>
      </c>
      <c r="AG44" s="50" t="str">
        <f t="shared" si="55"/>
        <v>1+0.0557252062586953i</v>
      </c>
      <c r="AH44" s="50">
        <f t="shared" si="75"/>
        <v>1.0015514458142298</v>
      </c>
      <c r="AI44" s="50">
        <f t="shared" si="76"/>
        <v>5.5667632355955572E-2</v>
      </c>
      <c r="AJ44" s="50" t="str">
        <f t="shared" si="56"/>
        <v>1+0.0000503074778724334i</v>
      </c>
      <c r="AK44" s="50">
        <f t="shared" si="77"/>
        <v>1.0000000012654211</v>
      </c>
      <c r="AL44" s="50">
        <f t="shared" si="78"/>
        <v>5.0307477829993303E-5</v>
      </c>
      <c r="AM44" s="50" t="str">
        <f t="shared" si="57"/>
        <v>1-0.00023210524817673i</v>
      </c>
      <c r="AN44" s="50">
        <f t="shared" si="79"/>
        <v>1.0000000269364226</v>
      </c>
      <c r="AO44" s="50">
        <f t="shared" si="80"/>
        <v>-2.3210524400867338E-4</v>
      </c>
      <c r="AP44" s="59" t="str">
        <f t="shared" si="81"/>
        <v>78.9069570878661-4.41149625928506i</v>
      </c>
      <c r="AQ44" s="50">
        <f t="shared" si="82"/>
        <v>37.95585930039362</v>
      </c>
      <c r="AR44" s="62">
        <f t="shared" si="83"/>
        <v>-3.1999366342091045</v>
      </c>
      <c r="AS44" s="32" t="str">
        <f t="shared" si="58"/>
        <v>-0.0000166666666666667</v>
      </c>
      <c r="AT44" s="32" t="str">
        <f t="shared" si="59"/>
        <v>3.88739601741531E-07i</v>
      </c>
      <c r="AU44" s="32">
        <f t="shared" si="84"/>
        <v>3.8873960174153098E-7</v>
      </c>
      <c r="AV44" s="32">
        <f t="shared" si="85"/>
        <v>1.5707963267948966</v>
      </c>
      <c r="AW44" s="32" t="str">
        <f t="shared" si="60"/>
        <v>1+0.000395061664468815i</v>
      </c>
      <c r="AX44" s="32">
        <f t="shared" si="86"/>
        <v>1.0000000780368563</v>
      </c>
      <c r="AY44" s="32">
        <f t="shared" si="87"/>
        <v>3.9506164391590252E-4</v>
      </c>
      <c r="AZ44" s="32" t="str">
        <f t="shared" si="61"/>
        <v>1+0.0134320965919397i</v>
      </c>
      <c r="BA44" s="32">
        <f t="shared" si="88"/>
        <v>1.0000902065408177</v>
      </c>
      <c r="BB44" s="32">
        <f t="shared" si="89"/>
        <v>1.343128886762996E-2</v>
      </c>
      <c r="BC44" s="59" t="str">
        <f t="shared" si="90"/>
        <v>-0.558944549441646+42.8738220457409i</v>
      </c>
      <c r="BD44" s="50">
        <f t="shared" si="91"/>
        <v>32.64458209522104</v>
      </c>
      <c r="BE44" s="62">
        <f t="shared" si="92"/>
        <v>90.746920800692351</v>
      </c>
      <c r="BF44" s="59" t="str">
        <f t="shared" si="93"/>
        <v>52.5384415048516+1193.68554088854i</v>
      </c>
      <c r="BG44" s="65">
        <f t="shared" si="94"/>
        <v>61.546203680882677</v>
      </c>
      <c r="BH44" s="62">
        <f t="shared" si="95"/>
        <v>87.479830904447439</v>
      </c>
      <c r="BI44" s="59" t="str">
        <f t="shared" si="96"/>
        <v>145.033091998751+3385.50861814509i</v>
      </c>
      <c r="BJ44" s="65">
        <f t="shared" si="97"/>
        <v>70.600441395614638</v>
      </c>
      <c r="BK44" s="62">
        <f t="shared" si="98"/>
        <v>87.546984166483256</v>
      </c>
      <c r="BL44" s="50">
        <f t="shared" si="99"/>
        <v>61.546203680882677</v>
      </c>
      <c r="BM44" s="62">
        <f t="shared" si="100"/>
        <v>87.479830904447439</v>
      </c>
    </row>
    <row r="45" spans="1:65" x14ac:dyDescent="0.3">
      <c r="A45" t="s">
        <v>219</v>
      </c>
      <c r="B45" s="30">
        <f>1/(Cout*Resr)</f>
        <v>2272727.2727272729</v>
      </c>
      <c r="C45" t="s">
        <v>216</v>
      </c>
      <c r="E45" t="s">
        <v>209</v>
      </c>
      <c r="N45" s="11">
        <v>27</v>
      </c>
      <c r="O45" s="51">
        <f t="shared" si="62"/>
        <v>18.62087136662868</v>
      </c>
      <c r="P45" s="49" t="str">
        <f t="shared" si="50"/>
        <v>27.9103246607183</v>
      </c>
      <c r="Q45" s="18" t="str">
        <f t="shared" si="63"/>
        <v>1+0.0574721474038085i</v>
      </c>
      <c r="R45" s="18">
        <f t="shared" si="64"/>
        <v>1.001650162345719</v>
      </c>
      <c r="S45" s="18">
        <f t="shared" si="65"/>
        <v>5.740899476572886E-2</v>
      </c>
      <c r="T45" s="18" t="str">
        <f t="shared" si="51"/>
        <v>1+0.0000514792895661801i</v>
      </c>
      <c r="U45" s="18">
        <f t="shared" si="66"/>
        <v>1.0000000013250585</v>
      </c>
      <c r="V45" s="18">
        <f t="shared" si="67"/>
        <v>5.1479289520704719E-5</v>
      </c>
      <c r="W45" s="32" t="str">
        <f t="shared" si="52"/>
        <v>1-0.000678879520092722i</v>
      </c>
      <c r="X45" s="18">
        <f t="shared" si="68"/>
        <v>1.0000002304386748</v>
      </c>
      <c r="Y45" s="18">
        <f t="shared" si="69"/>
        <v>-6.7887941579934078E-4</v>
      </c>
      <c r="Z45" s="32" t="str">
        <f t="shared" si="53"/>
        <v>0.999999992836015+0.000310444579382826i</v>
      </c>
      <c r="AA45" s="18">
        <f t="shared" si="70"/>
        <v>1.0000000410239325</v>
      </c>
      <c r="AB45" s="18">
        <f t="shared" si="71"/>
        <v>3.1044457163372798E-4</v>
      </c>
      <c r="AC45" s="67" t="str">
        <f t="shared" si="72"/>
        <v>27.8169326885968-1.62487440695651i</v>
      </c>
      <c r="AD45" s="65">
        <f t="shared" si="73"/>
        <v>28.900978108787886</v>
      </c>
      <c r="AE45" s="62">
        <f t="shared" si="74"/>
        <v>-3.3430276491939956</v>
      </c>
      <c r="AF45" s="50" t="str">
        <f t="shared" si="54"/>
        <v>79.1527877025864</v>
      </c>
      <c r="AG45" s="50" t="str">
        <f t="shared" si="55"/>
        <v>1+0.0570232130579225i</v>
      </c>
      <c r="AH45" s="50">
        <f t="shared" si="75"/>
        <v>1.0016245039072522</v>
      </c>
      <c r="AI45" s="50">
        <f t="shared" si="76"/>
        <v>5.6961526912265303E-2</v>
      </c>
      <c r="AJ45" s="50" t="str">
        <f t="shared" si="56"/>
        <v>1+0.0000514792895661801i</v>
      </c>
      <c r="AK45" s="50">
        <f t="shared" si="77"/>
        <v>1.0000000013250585</v>
      </c>
      <c r="AL45" s="50">
        <f t="shared" si="78"/>
        <v>5.1479289520704719E-5</v>
      </c>
      <c r="AM45" s="50" t="str">
        <f t="shared" si="57"/>
        <v>1-0.000237511673930833i</v>
      </c>
      <c r="AN45" s="50">
        <f t="shared" si="79"/>
        <v>1.0000000282058972</v>
      </c>
      <c r="AO45" s="50">
        <f t="shared" si="80"/>
        <v>-2.3751166946467983E-4</v>
      </c>
      <c r="AP45" s="59" t="str">
        <f t="shared" si="81"/>
        <v>78.8954089982369-4.51359469842382i</v>
      </c>
      <c r="AQ45" s="50">
        <f t="shared" si="82"/>
        <v>37.955225743495461</v>
      </c>
      <c r="AR45" s="62">
        <f t="shared" si="83"/>
        <v>-3.2743139569172217</v>
      </c>
      <c r="AS45" s="32" t="str">
        <f t="shared" si="58"/>
        <v>-0.0000166666666666667</v>
      </c>
      <c r="AT45" s="32" t="str">
        <f t="shared" si="59"/>
        <v>3.9779451028412E-07i</v>
      </c>
      <c r="AU45" s="32">
        <f t="shared" si="84"/>
        <v>3.9779451028412002E-7</v>
      </c>
      <c r="AV45" s="32">
        <f t="shared" si="85"/>
        <v>1.5707963267948966</v>
      </c>
      <c r="AW45" s="32" t="str">
        <f t="shared" si="60"/>
        <v>1+0.000404263832769708i</v>
      </c>
      <c r="AX45" s="32">
        <f t="shared" si="86"/>
        <v>1.00000008171462</v>
      </c>
      <c r="AY45" s="32">
        <f t="shared" si="87"/>
        <v>4.0426381074686561E-4</v>
      </c>
      <c r="AZ45" s="32" t="str">
        <f t="shared" si="61"/>
        <v>1+0.0137449703141701i</v>
      </c>
      <c r="BA45" s="32">
        <f t="shared" si="88"/>
        <v>1.0000944576433455</v>
      </c>
      <c r="BB45" s="32">
        <f t="shared" si="89"/>
        <v>1.374410482639378E-2</v>
      </c>
      <c r="BC45" s="59" t="str">
        <f t="shared" si="90"/>
        <v>-0.558944545330315+41.8979048776554i</v>
      </c>
      <c r="BD45" s="50">
        <f t="shared" si="91"/>
        <v>32.444618984474786</v>
      </c>
      <c r="BE45" s="62">
        <f t="shared" si="92"/>
        <v>90.764316589572076</v>
      </c>
      <c r="BF45" s="59" t="str">
        <f t="shared" si="93"/>
        <v>52.5307105466889+1166.37941446159i</v>
      </c>
      <c r="BG45" s="65">
        <f t="shared" si="94"/>
        <v>61.34559709326269</v>
      </c>
      <c r="BH45" s="62">
        <f t="shared" si="95"/>
        <v>87.421288940378091</v>
      </c>
      <c r="BI45" s="59" t="str">
        <f t="shared" si="96"/>
        <v>145.012002819682+3308.07519062836i</v>
      </c>
      <c r="BJ45" s="65">
        <f t="shared" si="97"/>
        <v>70.399844727970233</v>
      </c>
      <c r="BK45" s="62">
        <f t="shared" si="98"/>
        <v>87.49000263265485</v>
      </c>
      <c r="BL45" s="50">
        <f t="shared" si="99"/>
        <v>61.34559709326269</v>
      </c>
      <c r="BM45" s="62">
        <f t="shared" si="100"/>
        <v>87.421288940378091</v>
      </c>
    </row>
    <row r="46" spans="1:65" x14ac:dyDescent="0.3">
      <c r="A46" s="32"/>
      <c r="B46" s="30">
        <f>wz_esr/(2*PI())</f>
        <v>361715.77975430764</v>
      </c>
      <c r="C46" s="32" t="s">
        <v>65</v>
      </c>
      <c r="D46" s="32"/>
      <c r="E46" s="32"/>
      <c r="F46" s="32"/>
      <c r="G46" s="32"/>
      <c r="L46" s="32"/>
      <c r="N46" s="11">
        <v>28</v>
      </c>
      <c r="O46" s="51">
        <f t="shared" si="62"/>
        <v>19.054607179632477</v>
      </c>
      <c r="P46" s="49" t="str">
        <f t="shared" si="50"/>
        <v>27.9103246607183</v>
      </c>
      <c r="Q46" s="18" t="str">
        <f t="shared" si="63"/>
        <v>1+0.0588108456896438i</v>
      </c>
      <c r="R46" s="18">
        <f t="shared" si="64"/>
        <v>1.0017278650265904</v>
      </c>
      <c r="S46" s="18">
        <f t="shared" si="65"/>
        <v>5.8743182721177095E-2</v>
      </c>
      <c r="T46" s="18" t="str">
        <f t="shared" si="51"/>
        <v>1+0.0000526783962606639i</v>
      </c>
      <c r="U46" s="18">
        <f t="shared" si="66"/>
        <v>1.0000000013875066</v>
      </c>
      <c r="V46" s="18">
        <f t="shared" si="67"/>
        <v>5.267839621193615E-5</v>
      </c>
      <c r="W46" s="32" t="str">
        <f t="shared" si="52"/>
        <v>1-0.000694692655513804i</v>
      </c>
      <c r="X46" s="18">
        <f t="shared" si="68"/>
        <v>1.0000002412989137</v>
      </c>
      <c r="Y46" s="18">
        <f t="shared" si="69"/>
        <v>-6.9469254376143422E-4</v>
      </c>
      <c r="Z46" s="32" t="str">
        <f t="shared" si="53"/>
        <v>0.999999992498387+0.000317675762573992i</v>
      </c>
      <c r="AA46" s="18">
        <f t="shared" si="70"/>
        <v>1.0000000429573312</v>
      </c>
      <c r="AB46" s="18">
        <f t="shared" si="71"/>
        <v>3.1767575427068384E-4</v>
      </c>
      <c r="AC46" s="67" t="str">
        <f t="shared" si="72"/>
        <v>27.8125464313729-1.66246463438317i</v>
      </c>
      <c r="AD46" s="65">
        <f t="shared" si="73"/>
        <v>28.900304407978634</v>
      </c>
      <c r="AE46" s="62">
        <f t="shared" si="74"/>
        <v>-3.4207226261048791</v>
      </c>
      <c r="AF46" s="50" t="str">
        <f t="shared" si="54"/>
        <v>79.1527877025864</v>
      </c>
      <c r="AG46" s="50" t="str">
        <f t="shared" si="55"/>
        <v>1+0.0583514543195044i</v>
      </c>
      <c r="AH46" s="50">
        <f t="shared" si="75"/>
        <v>1.0017009994111024</v>
      </c>
      <c r="AI46" s="50">
        <f t="shared" si="76"/>
        <v>5.8285362484097714E-2</v>
      </c>
      <c r="AJ46" s="50" t="str">
        <f t="shared" si="56"/>
        <v>1+0.0000526783962606639i</v>
      </c>
      <c r="AK46" s="50">
        <f t="shared" si="77"/>
        <v>1.0000000013875066</v>
      </c>
      <c r="AL46" s="50">
        <f t="shared" si="78"/>
        <v>5.267839621193615E-5</v>
      </c>
      <c r="AM46" s="50" t="str">
        <f t="shared" si="57"/>
        <v>1-0.000243044031518293i</v>
      </c>
      <c r="AN46" s="50">
        <f t="shared" si="79"/>
        <v>1.0000000295352003</v>
      </c>
      <c r="AO46" s="50">
        <f t="shared" si="80"/>
        <v>-2.4304402673272369E-4</v>
      </c>
      <c r="AP46" s="59" t="str">
        <f t="shared" si="81"/>
        <v>78.8833202744034-4.6180244302761i</v>
      </c>
      <c r="AQ46" s="50">
        <f t="shared" si="82"/>
        <v>37.954562427030126</v>
      </c>
      <c r="AR46" s="62">
        <f t="shared" si="83"/>
        <v>-3.3504124249221303</v>
      </c>
      <c r="AS46" s="32" t="str">
        <f t="shared" si="58"/>
        <v>-0.0000166666666666667</v>
      </c>
      <c r="AT46" s="32" t="str">
        <f t="shared" si="59"/>
        <v>4.07060334741494E-07i</v>
      </c>
      <c r="AU46" s="32">
        <f t="shared" si="84"/>
        <v>4.0706033474149401E-7</v>
      </c>
      <c r="AV46" s="32">
        <f t="shared" si="85"/>
        <v>1.5707963267948966</v>
      </c>
      <c r="AW46" s="32" t="str">
        <f t="shared" si="60"/>
        <v>1+0.000413680347105801i</v>
      </c>
      <c r="AX46" s="32">
        <f t="shared" si="86"/>
        <v>1.0000000855657112</v>
      </c>
      <c r="AY46" s="32">
        <f t="shared" si="87"/>
        <v>4.1368032350790036E-4</v>
      </c>
      <c r="AZ46" s="32" t="str">
        <f t="shared" si="61"/>
        <v>1+0.0140651318015972i</v>
      </c>
      <c r="BA46" s="32">
        <f t="shared" si="88"/>
        <v>1.0000989090747956</v>
      </c>
      <c r="BB46" s="32">
        <f t="shared" si="89"/>
        <v>1.4064204419689938E-2</v>
      </c>
      <c r="BC46" s="59" t="str">
        <f t="shared" si="90"/>
        <v>-0.55894454102522+40.9442025333203i</v>
      </c>
      <c r="BD46" s="50">
        <f t="shared" si="91"/>
        <v>32.2446576119291</v>
      </c>
      <c r="BE46" s="62">
        <f t="shared" si="92"/>
        <v>90.782117418852863</v>
      </c>
      <c r="BF46" s="59" t="str">
        <f t="shared" si="93"/>
        <v>52.5226176948404+1139.69175958554i</v>
      </c>
      <c r="BG46" s="65">
        <f t="shared" si="94"/>
        <v>61.144962019907716</v>
      </c>
      <c r="BH46" s="62">
        <f t="shared" si="95"/>
        <v>87.361394792747973</v>
      </c>
      <c r="BI46" s="59" t="str">
        <f t="shared" si="96"/>
        <v>144.989926331724+3232.39586136157i</v>
      </c>
      <c r="BJ46" s="65">
        <f t="shared" si="97"/>
        <v>70.199220038959226</v>
      </c>
      <c r="BK46" s="62">
        <f t="shared" si="98"/>
        <v>87.431704993930737</v>
      </c>
      <c r="BL46" s="50">
        <f t="shared" si="99"/>
        <v>61.144962019907716</v>
      </c>
      <c r="BM46" s="62">
        <f t="shared" si="100"/>
        <v>87.361394792747973</v>
      </c>
    </row>
    <row r="47" spans="1:65" x14ac:dyDescent="0.3">
      <c r="B47" s="1"/>
      <c r="K47" s="32"/>
      <c r="L47" s="32"/>
      <c r="N47" s="11">
        <v>29</v>
      </c>
      <c r="O47" s="51">
        <f t="shared" si="62"/>
        <v>19.498445997580465</v>
      </c>
      <c r="P47" s="49" t="str">
        <f t="shared" si="50"/>
        <v>27.9103246607183</v>
      </c>
      <c r="Q47" s="18" t="str">
        <f t="shared" si="63"/>
        <v>1+0.0601807262643174i</v>
      </c>
      <c r="R47" s="18">
        <f t="shared" si="64"/>
        <v>1.0018092232624436</v>
      </c>
      <c r="S47" s="18">
        <f t="shared" si="65"/>
        <v>6.0108231157174154E-2</v>
      </c>
      <c r="T47" s="18" t="str">
        <f t="shared" si="51"/>
        <v>1+0.0000539054337381261i</v>
      </c>
      <c r="U47" s="18">
        <f t="shared" si="66"/>
        <v>1.0000000014528978</v>
      </c>
      <c r="V47" s="18">
        <f t="shared" si="67"/>
        <v>5.3905433685913367E-5</v>
      </c>
      <c r="W47" s="32" t="str">
        <f t="shared" si="52"/>
        <v>1-0.000710874126176185i</v>
      </c>
      <c r="X47" s="18">
        <f t="shared" si="68"/>
        <v>1.0000002526709797</v>
      </c>
      <c r="Y47" s="18">
        <f t="shared" si="69"/>
        <v>-7.1087400643136489E-4</v>
      </c>
      <c r="Z47" s="32" t="str">
        <f t="shared" si="53"/>
        <v>0.999999992144847+0.000325075381659412i</v>
      </c>
      <c r="AA47" s="18">
        <f t="shared" si="70"/>
        <v>1.0000000449818478</v>
      </c>
      <c r="AB47" s="18">
        <f t="shared" si="71"/>
        <v>3.2507537276225696E-4</v>
      </c>
      <c r="AC47" s="67" t="str">
        <f t="shared" si="72"/>
        <v>27.8079549145862-1.7009120893622i</v>
      </c>
      <c r="AD47" s="65">
        <f t="shared" si="73"/>
        <v>28.899599068648513</v>
      </c>
      <c r="AE47" s="62">
        <f t="shared" si="74"/>
        <v>-3.5002149326768053</v>
      </c>
      <c r="AF47" s="50" t="str">
        <f t="shared" si="54"/>
        <v>79.1527877025864</v>
      </c>
      <c r="AG47" s="50" t="str">
        <f t="shared" si="55"/>
        <v>1+0.0597106342945396i</v>
      </c>
      <c r="AH47" s="50">
        <f t="shared" si="75"/>
        <v>1.001781093776408</v>
      </c>
      <c r="AI47" s="50">
        <f t="shared" si="76"/>
        <v>5.9639822415491137E-2</v>
      </c>
      <c r="AJ47" s="50" t="str">
        <f t="shared" si="56"/>
        <v>1+0.0000539054337381261i</v>
      </c>
      <c r="AK47" s="50">
        <f t="shared" si="77"/>
        <v>1.0000000014528978</v>
      </c>
      <c r="AL47" s="50">
        <f t="shared" si="78"/>
        <v>5.3905433685913367E-5</v>
      </c>
      <c r="AM47" s="50" t="str">
        <f t="shared" si="57"/>
        <v>1-0.000248705254268332i</v>
      </c>
      <c r="AN47" s="50">
        <f t="shared" si="79"/>
        <v>1.0000000309271513</v>
      </c>
      <c r="AO47" s="50">
        <f t="shared" si="80"/>
        <v>-2.4870524914050206E-4</v>
      </c>
      <c r="AP47" s="59" t="str">
        <f t="shared" si="81"/>
        <v>78.8706657835795-4.7248364300091i</v>
      </c>
      <c r="AQ47" s="50">
        <f t="shared" si="82"/>
        <v>37.953867957995371</v>
      </c>
      <c r="AR47" s="62">
        <f t="shared" si="83"/>
        <v>-3.4282713225928387</v>
      </c>
      <c r="AS47" s="32" t="str">
        <f t="shared" si="58"/>
        <v>-0.0000166666666666667</v>
      </c>
      <c r="AT47" s="32" t="str">
        <f t="shared" si="59"/>
        <v>4.16541987976429E-07i</v>
      </c>
      <c r="AU47" s="32">
        <f t="shared" si="84"/>
        <v>4.1654198797642899E-7</v>
      </c>
      <c r="AV47" s="32">
        <f t="shared" si="85"/>
        <v>1.5707963267948966</v>
      </c>
      <c r="AW47" s="32" t="str">
        <f t="shared" si="60"/>
        <v>1+0.000423316200237637i</v>
      </c>
      <c r="AX47" s="32">
        <f t="shared" si="86"/>
        <v>1.0000000895982986</v>
      </c>
      <c r="AY47" s="32">
        <f t="shared" si="87"/>
        <v>4.2331617495203102E-4</v>
      </c>
      <c r="AZ47" s="32" t="str">
        <f t="shared" si="61"/>
        <v>1+0.0143927508080797i</v>
      </c>
      <c r="BA47" s="32">
        <f t="shared" si="88"/>
        <v>1.0001035702745109</v>
      </c>
      <c r="BB47" s="32">
        <f t="shared" si="89"/>
        <v>1.4391757106020598E-2</v>
      </c>
      <c r="BC47" s="59" t="str">
        <f t="shared" si="90"/>
        <v>-0.558944536517239+40.0122093471286i</v>
      </c>
      <c r="BD47" s="50">
        <f t="shared" si="91"/>
        <v>32.044698059470342</v>
      </c>
      <c r="BE47" s="62">
        <f t="shared" si="92"/>
        <v>90.800332711728018</v>
      </c>
      <c r="BF47" s="59" t="str">
        <f t="shared" si="93"/>
        <v>52.5141461293966+1113.60842907738i</v>
      </c>
      <c r="BG47" s="65">
        <f t="shared" si="94"/>
        <v>60.944297128118841</v>
      </c>
      <c r="BH47" s="62">
        <f t="shared" si="95"/>
        <v>87.30011777905122</v>
      </c>
      <c r="BI47" s="59" t="str">
        <f t="shared" si="96"/>
        <v>144.966816637255+3158.43051218849i</v>
      </c>
      <c r="BJ47" s="65">
        <f t="shared" si="97"/>
        <v>69.99856601746572</v>
      </c>
      <c r="BK47" s="62">
        <f t="shared" si="98"/>
        <v>87.372061389135183</v>
      </c>
      <c r="BL47" s="50">
        <f t="shared" si="99"/>
        <v>60.944297128118841</v>
      </c>
      <c r="BM47" s="62">
        <f t="shared" si="100"/>
        <v>87.30011777905122</v>
      </c>
    </row>
    <row r="48" spans="1:65" x14ac:dyDescent="0.3">
      <c r="A48" s="32" t="s">
        <v>212</v>
      </c>
      <c r="B48" s="1">
        <f>(Vsl*Fsw)</f>
        <v>19800</v>
      </c>
      <c r="C48" s="32" t="s">
        <v>150</v>
      </c>
      <c r="D48" s="32"/>
      <c r="E48" s="32" t="s">
        <v>213</v>
      </c>
      <c r="F48" s="32"/>
      <c r="G48" s="32"/>
      <c r="K48" s="32"/>
      <c r="L48" s="32"/>
      <c r="N48" s="11">
        <v>30</v>
      </c>
      <c r="O48" s="51">
        <f t="shared" si="62"/>
        <v>19.952623149688804</v>
      </c>
      <c r="P48" s="49" t="str">
        <f t="shared" si="50"/>
        <v>27.9103246607183</v>
      </c>
      <c r="Q48" s="18" t="str">
        <f t="shared" si="63"/>
        <v>1+0.0615825154566424i</v>
      </c>
      <c r="R48" s="18">
        <f t="shared" si="64"/>
        <v>1.0018944087127983</v>
      </c>
      <c r="S48" s="18">
        <f t="shared" si="65"/>
        <v>6.1504843480385686E-2</v>
      </c>
      <c r="T48" s="18" t="str">
        <f t="shared" si="51"/>
        <v>1+0.0000551610525900791i</v>
      </c>
      <c r="U48" s="18">
        <f t="shared" si="66"/>
        <v>1.0000000015213708</v>
      </c>
      <c r="V48" s="18">
        <f t="shared" si="67"/>
        <v>5.5161052534132151E-5</v>
      </c>
      <c r="W48" s="32" t="str">
        <f t="shared" si="52"/>
        <v>1-0.000727432511709796i</v>
      </c>
      <c r="X48" s="18">
        <f t="shared" si="68"/>
        <v>1.0000002645789945</v>
      </c>
      <c r="Y48" s="18">
        <f t="shared" si="69"/>
        <v>-7.2743238340091147E-4</v>
      </c>
      <c r="Z48" s="32" t="str">
        <f t="shared" si="53"/>
        <v>0.999999991774645+0.000332647360015068i</v>
      </c>
      <c r="AA48" s="18">
        <f t="shared" si="70"/>
        <v>1.0000000471017769</v>
      </c>
      <c r="AB48" s="18">
        <f t="shared" si="71"/>
        <v>3.3264735048159464E-4</v>
      </c>
      <c r="AC48" s="67" t="str">
        <f t="shared" si="72"/>
        <v>27.8031486045734-1.74023543676021i</v>
      </c>
      <c r="AD48" s="65">
        <f t="shared" si="73"/>
        <v>28.89886061048766</v>
      </c>
      <c r="AE48" s="62">
        <f t="shared" si="74"/>
        <v>-3.5815455502339386</v>
      </c>
      <c r="AF48" s="50" t="str">
        <f t="shared" si="54"/>
        <v>79.1527877025864</v>
      </c>
      <c r="AG48" s="50" t="str">
        <f t="shared" si="55"/>
        <v>1+0.0611014736382413i</v>
      </c>
      <c r="AH48" s="50">
        <f t="shared" si="75"/>
        <v>1.0018649560099229</v>
      </c>
      <c r="AI48" s="50">
        <f t="shared" si="76"/>
        <v>6.1025604969068704E-2</v>
      </c>
      <c r="AJ48" s="50" t="str">
        <f t="shared" si="56"/>
        <v>1+0.0000551610525900791i</v>
      </c>
      <c r="AK48" s="50">
        <f t="shared" si="77"/>
        <v>1.0000000015213708</v>
      </c>
      <c r="AL48" s="50">
        <f t="shared" si="78"/>
        <v>5.5161052534132151E-5</v>
      </c>
      <c r="AM48" s="50" t="str">
        <f t="shared" si="57"/>
        <v>1-0.000254498343836188i</v>
      </c>
      <c r="AN48" s="50">
        <f t="shared" si="79"/>
        <v>1.0000000323847029</v>
      </c>
      <c r="AO48" s="50">
        <f t="shared" si="80"/>
        <v>-2.5449833834161929E-4</v>
      </c>
      <c r="AP48" s="59" t="str">
        <f t="shared" si="81"/>
        <v>78.8574192416716-4.83408262526995i</v>
      </c>
      <c r="AQ48" s="50">
        <f t="shared" si="82"/>
        <v>37.953140878652633</v>
      </c>
      <c r="AR48" s="62">
        <f t="shared" si="83"/>
        <v>-3.507930792136583</v>
      </c>
      <c r="AS48" s="32" t="str">
        <f t="shared" si="58"/>
        <v>-0.0000166666666666667</v>
      </c>
      <c r="AT48" s="32" t="str">
        <f t="shared" si="59"/>
        <v>4.26244497286974E-07i</v>
      </c>
      <c r="AU48" s="32">
        <f t="shared" si="84"/>
        <v>4.2624449728697401E-7</v>
      </c>
      <c r="AV48" s="32">
        <f t="shared" si="85"/>
        <v>1.5707963267948966</v>
      </c>
      <c r="AW48" s="32" t="str">
        <f t="shared" si="60"/>
        <v>1+0.000433176501222091i</v>
      </c>
      <c r="AX48" s="32">
        <f t="shared" si="86"/>
        <v>1.0000000938209361</v>
      </c>
      <c r="AY48" s="32">
        <f t="shared" si="87"/>
        <v>4.3317647412807617E-4</v>
      </c>
      <c r="AZ48" s="32" t="str">
        <f t="shared" si="61"/>
        <v>1+0.0147280010415511i</v>
      </c>
      <c r="BA48" s="32">
        <f t="shared" si="88"/>
        <v>1.0001084511265166</v>
      </c>
      <c r="BB48" s="32">
        <f t="shared" si="89"/>
        <v>1.4726936276847053E-2</v>
      </c>
      <c r="BC48" s="59" t="str">
        <f t="shared" si="90"/>
        <v>-0.558944531796799+39.1014311639569i</v>
      </c>
      <c r="BD48" s="50">
        <f t="shared" si="91"/>
        <v>31.844740412841052</v>
      </c>
      <c r="BE48" s="62">
        <f t="shared" si="92"/>
        <v>90.818972110069538</v>
      </c>
      <c r="BF48" s="59" t="str">
        <f t="shared" si="93"/>
        <v>52.5052782602977+1088.11559638441i</v>
      </c>
      <c r="BG48" s="65">
        <f t="shared" si="94"/>
        <v>60.743601023328736</v>
      </c>
      <c r="BH48" s="62">
        <f t="shared" si="95"/>
        <v>87.237426559835612</v>
      </c>
      <c r="BI48" s="59" t="str">
        <f t="shared" si="96"/>
        <v>144.942625736133+3086.13993429516i</v>
      </c>
      <c r="BJ48" s="65">
        <f t="shared" si="97"/>
        <v>69.797881291493681</v>
      </c>
      <c r="BK48" s="62">
        <f t="shared" si="98"/>
        <v>87.311041317932961</v>
      </c>
      <c r="BL48" s="50">
        <f t="shared" si="99"/>
        <v>60.743601023328736</v>
      </c>
      <c r="BM48" s="62">
        <f t="shared" si="100"/>
        <v>87.237426559835612</v>
      </c>
    </row>
    <row r="49" spans="1:65" x14ac:dyDescent="0.3">
      <c r="A49" s="32" t="s">
        <v>215</v>
      </c>
      <c r="B49" s="1">
        <f>(R_cs*VIN_var)/Lm</f>
        <v>5744.6808510638302</v>
      </c>
      <c r="C49" s="32" t="s">
        <v>150</v>
      </c>
      <c r="D49" s="32"/>
      <c r="E49" s="32" t="s">
        <v>214</v>
      </c>
      <c r="F49" s="32"/>
      <c r="G49" s="32"/>
      <c r="J49" s="32">
        <f>(0.5-(1-(VIN_var/VOUT)))</f>
        <v>-0.125</v>
      </c>
      <c r="N49" s="11">
        <v>31</v>
      </c>
      <c r="O49" s="51">
        <f t="shared" si="62"/>
        <v>20.4173794466953</v>
      </c>
      <c r="P49" s="49" t="str">
        <f t="shared" si="50"/>
        <v>27.9103246607183</v>
      </c>
      <c r="Q49" s="18" t="str">
        <f t="shared" si="63"/>
        <v>1+0.0630169565138032i</v>
      </c>
      <c r="R49" s="18">
        <f t="shared" si="64"/>
        <v>1.0019836010675338</v>
      </c>
      <c r="S49" s="18">
        <f t="shared" si="65"/>
        <v>6.2933738387815144E-2</v>
      </c>
      <c r="T49" s="18" t="str">
        <f t="shared" si="51"/>
        <v>1+0.0000564459185622579i</v>
      </c>
      <c r="U49" s="18">
        <f t="shared" si="66"/>
        <v>1.0000000015930708</v>
      </c>
      <c r="V49" s="18">
        <f t="shared" si="67"/>
        <v>5.6445918502309664E-5</v>
      </c>
      <c r="W49" s="32" t="str">
        <f t="shared" si="52"/>
        <v>1-0.000744376591589819i</v>
      </c>
      <c r="X49" s="18">
        <f t="shared" si="68"/>
        <v>1.0000002770482166</v>
      </c>
      <c r="Y49" s="18">
        <f t="shared" si="69"/>
        <v>-7.4437645410437416E-4</v>
      </c>
      <c r="Z49" s="32" t="str">
        <f t="shared" si="53"/>
        <v>0.999999991386996+0.000340395712404111i</v>
      </c>
      <c r="AA49" s="18">
        <f t="shared" si="70"/>
        <v>1.0000000493216152</v>
      </c>
      <c r="AB49" s="18">
        <f t="shared" si="71"/>
        <v>3.4039570218881025E-4</v>
      </c>
      <c r="AC49" s="67" t="str">
        <f t="shared" si="72"/>
        <v>27.7981175317474-1.78045368434096i</v>
      </c>
      <c r="AD49" s="65">
        <f t="shared" si="73"/>
        <v>28.898087484454123</v>
      </c>
      <c r="AE49" s="62">
        <f t="shared" si="74"/>
        <v>-3.6647563519902491</v>
      </c>
      <c r="AF49" s="50" t="str">
        <f t="shared" si="54"/>
        <v>79.1527877025864</v>
      </c>
      <c r="AG49" s="50" t="str">
        <f t="shared" si="55"/>
        <v>1+0.0625247097920393i</v>
      </c>
      <c r="AH49" s="50">
        <f t="shared" si="75"/>
        <v>1.0019527630255725</v>
      </c>
      <c r="AI49" s="50">
        <f t="shared" si="76"/>
        <v>6.2443423603076538E-2</v>
      </c>
      <c r="AJ49" s="50" t="str">
        <f t="shared" si="56"/>
        <v>1+0.0000564459185622579i</v>
      </c>
      <c r="AK49" s="50">
        <f t="shared" si="77"/>
        <v>1.0000000015930708</v>
      </c>
      <c r="AL49" s="50">
        <f t="shared" si="78"/>
        <v>5.6445918502309664E-5</v>
      </c>
      <c r="AM49" s="50" t="str">
        <f t="shared" si="57"/>
        <v>1-0.000260426371794628i</v>
      </c>
      <c r="AN49" s="50">
        <f t="shared" si="79"/>
        <v>1.0000000339109469</v>
      </c>
      <c r="AO49" s="50">
        <f t="shared" si="80"/>
        <v>-2.6042636590709154E-4</v>
      </c>
      <c r="AP49" s="59" t="str">
        <f t="shared" si="81"/>
        <v>78.8435531621786-4.94581590194862i</v>
      </c>
      <c r="AQ49" s="50">
        <f t="shared" si="82"/>
        <v>37.952379663563484</v>
      </c>
      <c r="AR49" s="62">
        <f t="shared" si="83"/>
        <v>-3.5894318495433595</v>
      </c>
      <c r="AS49" s="32" t="str">
        <f t="shared" si="58"/>
        <v>-0.0000166666666666667</v>
      </c>
      <c r="AT49" s="32" t="str">
        <f t="shared" si="59"/>
        <v>4.36173007071994E-07i</v>
      </c>
      <c r="AU49" s="32">
        <f t="shared" si="84"/>
        <v>4.3617300707199401E-7</v>
      </c>
      <c r="AV49" s="32">
        <f t="shared" si="85"/>
        <v>1.5707963267948966</v>
      </c>
      <c r="AW49" s="32" t="str">
        <f t="shared" si="60"/>
        <v>1+0.00044326647812126i</v>
      </c>
      <c r="AX49" s="32">
        <f t="shared" si="86"/>
        <v>1.0000000982425805</v>
      </c>
      <c r="AY49" s="32">
        <f t="shared" si="87"/>
        <v>4.4326644908950023E-4</v>
      </c>
      <c r="AZ49" s="32" t="str">
        <f t="shared" si="61"/>
        <v>1+0.0150710602561228i</v>
      </c>
      <c r="BA49" s="32">
        <f t="shared" si="88"/>
        <v>1.0001135619804602</v>
      </c>
      <c r="BB49" s="32">
        <f t="shared" si="89"/>
        <v>1.5069919347183613E-2</v>
      </c>
      <c r="BC49" s="59" t="str">
        <f t="shared" si="90"/>
        <v>-0.558944526853888+38.2113850771566i</v>
      </c>
      <c r="BD49" s="50">
        <f t="shared" si="91"/>
        <v>31.644784761821143</v>
      </c>
      <c r="BE49" s="62">
        <f t="shared" si="92"/>
        <v>90.838045479463588</v>
      </c>
      <c r="BF49" s="59" t="str">
        <f t="shared" si="93"/>
        <v>52.4959956931833+1063.19974826784i</v>
      </c>
      <c r="BG49" s="65">
        <f t="shared" si="94"/>
        <v>60.542872246275287</v>
      </c>
      <c r="BH49" s="62">
        <f t="shared" si="95"/>
        <v>87.173289127473353</v>
      </c>
      <c r="BI49" s="59" t="str">
        <f t="shared" si="96"/>
        <v>144.91730343237+3015.48580746049i</v>
      </c>
      <c r="BJ49" s="65">
        <f t="shared" si="97"/>
        <v>69.597164425384605</v>
      </c>
      <c r="BK49" s="62">
        <f t="shared" si="98"/>
        <v>87.248613629920229</v>
      </c>
      <c r="BL49" s="50">
        <f t="shared" si="99"/>
        <v>60.542872246275287</v>
      </c>
      <c r="BM49" s="62">
        <f t="shared" si="100"/>
        <v>87.173289127473353</v>
      </c>
    </row>
    <row r="50" spans="1:65" x14ac:dyDescent="0.3">
      <c r="B50" s="1"/>
      <c r="J50" s="32">
        <f>Lm*Fsw</f>
        <v>2.0680000000000001</v>
      </c>
      <c r="K50" s="32"/>
      <c r="N50" s="11">
        <v>32</v>
      </c>
      <c r="O50" s="51">
        <f t="shared" si="62"/>
        <v>20.8929613085404</v>
      </c>
      <c r="P50" s="49" t="str">
        <f t="shared" si="50"/>
        <v>27.9103246607183</v>
      </c>
      <c r="Q50" s="18" t="str">
        <f t="shared" si="63"/>
        <v>1+0.0644848099954362i</v>
      </c>
      <c r="R50" s="18">
        <f t="shared" si="64"/>
        <v>1.0020769884196261</v>
      </c>
      <c r="S50" s="18">
        <f t="shared" si="65"/>
        <v>6.439565014582424E-2</v>
      </c>
      <c r="T50" s="18" t="str">
        <f t="shared" si="51"/>
        <v>1+0.000057760712907609i</v>
      </c>
      <c r="U50" s="18">
        <f t="shared" si="66"/>
        <v>1.0000000016681498</v>
      </c>
      <c r="V50" s="18">
        <f t="shared" si="67"/>
        <v>5.7760712843373315E-5</v>
      </c>
      <c r="W50" s="32" t="str">
        <f t="shared" si="52"/>
        <v>1-0.0007617153497917i</v>
      </c>
      <c r="X50" s="18">
        <f t="shared" si="68"/>
        <v>1.0000002901050948</v>
      </c>
      <c r="Y50" s="18">
        <f t="shared" si="69"/>
        <v>-7.61715202473394E-4</v>
      </c>
      <c r="Z50" s="32" t="str">
        <f t="shared" si="53"/>
        <v>0.999999990981078+0.000348324547105544i</v>
      </c>
      <c r="AA50" s="18">
        <f t="shared" si="70"/>
        <v>1.0000000516460719</v>
      </c>
      <c r="AB50" s="18">
        <f t="shared" si="71"/>
        <v>3.4832453615965195E-4</v>
      </c>
      <c r="AC50" s="67" t="str">
        <f t="shared" si="72"/>
        <v>27.7928512713279-1.82158618433877i</v>
      </c>
      <c r="AD50" s="65">
        <f t="shared" si="73"/>
        <v>28.897278069633622</v>
      </c>
      <c r="AE50" s="62">
        <f t="shared" si="74"/>
        <v>-3.7498901194046317</v>
      </c>
      <c r="AF50" s="50" t="str">
        <f t="shared" si="54"/>
        <v>79.1527877025864</v>
      </c>
      <c r="AG50" s="50" t="str">
        <f t="shared" si="55"/>
        <v>1+0.0639810973745821i</v>
      </c>
      <c r="AH50" s="50">
        <f t="shared" si="75"/>
        <v>1.0020447000115591</v>
      </c>
      <c r="AI50" s="50">
        <f t="shared" si="76"/>
        <v>6.3894007249950674E-2</v>
      </c>
      <c r="AJ50" s="50" t="str">
        <f t="shared" si="56"/>
        <v>1+0.000057760712907609i</v>
      </c>
      <c r="AK50" s="50">
        <f t="shared" si="77"/>
        <v>1.0000000016681498</v>
      </c>
      <c r="AL50" s="50">
        <f t="shared" si="78"/>
        <v>5.7760712843373315E-5</v>
      </c>
      <c r="AM50" s="50" t="str">
        <f t="shared" si="57"/>
        <v>1-0.000266492481262547i</v>
      </c>
      <c r="AN50" s="50">
        <f t="shared" si="79"/>
        <v>1.0000000355091208</v>
      </c>
      <c r="AO50" s="50">
        <f t="shared" si="80"/>
        <v>-2.6649247495393806E-4</v>
      </c>
      <c r="AP50" s="59" t="str">
        <f t="shared" si="81"/>
        <v>78.8290388029845-5.06009010894584i</v>
      </c>
      <c r="AQ50" s="50">
        <f t="shared" si="82"/>
        <v>37.951582716494954</v>
      </c>
      <c r="AR50" s="62">
        <f t="shared" si="83"/>
        <v>-3.672816400619717</v>
      </c>
      <c r="AS50" s="32" t="str">
        <f t="shared" si="58"/>
        <v>-0.0000166666666666667</v>
      </c>
      <c r="AT50" s="32" t="str">
        <f t="shared" si="59"/>
        <v>4.46332781558795E-07i</v>
      </c>
      <c r="AU50" s="32">
        <f t="shared" si="84"/>
        <v>4.4633278155879502E-7</v>
      </c>
      <c r="AV50" s="32">
        <f t="shared" si="85"/>
        <v>1.5707963267948966</v>
      </c>
      <c r="AW50" s="32" t="str">
        <f t="shared" si="60"/>
        <v>1+0.000453591480774458i</v>
      </c>
      <c r="AX50" s="32">
        <f t="shared" si="86"/>
        <v>1.0000001028726104</v>
      </c>
      <c r="AY50" s="32">
        <f t="shared" si="87"/>
        <v>4.5359144966636712E-4</v>
      </c>
      <c r="AZ50" s="32" t="str">
        <f t="shared" si="61"/>
        <v>1+0.0154221103463316i</v>
      </c>
      <c r="BA50" s="32">
        <f t="shared" si="88"/>
        <v>1.0001189136735362</v>
      </c>
      <c r="BB50" s="32">
        <f t="shared" si="89"/>
        <v>1.5420887848228088E-2</v>
      </c>
      <c r="BC50" s="59" t="str">
        <f t="shared" si="90"/>
        <v>-0.558944521678034+37.3415991725116i</v>
      </c>
      <c r="BD50" s="50">
        <f t="shared" si="91"/>
        <v>31.444831200418054</v>
      </c>
      <c r="BE50" s="62">
        <f t="shared" si="92"/>
        <v>90.857562914358937</v>
      </c>
      <c r="BF50" s="59" t="str">
        <f t="shared" si="93"/>
        <v>52.4862791938421+1038.84767765366i</v>
      </c>
      <c r="BG50" s="65">
        <f t="shared" si="94"/>
        <v>60.342109270051701</v>
      </c>
      <c r="BH50" s="62">
        <f t="shared" si="95"/>
        <v>87.107672794954325</v>
      </c>
      <c r="BI50" s="59" t="str">
        <f t="shared" ref="BI50:BI113" si="101">IMPRODUCT(AP50,BC50)</f>
        <v>144.890797236973+2946.430679781i</v>
      </c>
      <c r="BJ50" s="65">
        <f t="shared" si="97"/>
        <v>69.396413916913005</v>
      </c>
      <c r="BK50" s="62">
        <f t="shared" ref="BK50:BK113" si="102">(180/PI())*IMARGUMENT(BI50)</f>
        <v>87.184746513739213</v>
      </c>
      <c r="BL50" s="50">
        <f t="shared" si="99"/>
        <v>60.342109270051701</v>
      </c>
      <c r="BM50" s="62">
        <f t="shared" si="100"/>
        <v>87.107672794954325</v>
      </c>
    </row>
    <row r="51" spans="1:65" x14ac:dyDescent="0.3">
      <c r="A51" t="s">
        <v>210</v>
      </c>
      <c r="B51" s="1">
        <f>2*PI()*Fsw</f>
        <v>2764601.5351590179</v>
      </c>
      <c r="C51" t="s">
        <v>216</v>
      </c>
      <c r="N51" s="11">
        <v>33</v>
      </c>
      <c r="O51" s="51">
        <f t="shared" si="62"/>
        <v>21.379620895022335</v>
      </c>
      <c r="P51" s="49" t="str">
        <f t="shared" si="50"/>
        <v>27.9103246607183</v>
      </c>
      <c r="Q51" s="18" t="str">
        <f t="shared" si="63"/>
        <v>1+0.0659868541768856i</v>
      </c>
      <c r="R51" s="18">
        <f t="shared" si="64"/>
        <v>1.0021747676549044</v>
      </c>
      <c r="S51" s="18">
        <f t="shared" si="65"/>
        <v>6.5891328870265678E-2</v>
      </c>
      <c r="T51" s="18" t="str">
        <f t="shared" si="51"/>
        <v>1+0.0000591061327474966i</v>
      </c>
      <c r="U51" s="18">
        <f t="shared" si="66"/>
        <v>1.0000000017467674</v>
      </c>
      <c r="V51" s="18">
        <f t="shared" si="67"/>
        <v>5.910613267866682E-5</v>
      </c>
      <c r="W51" s="32" t="str">
        <f t="shared" si="52"/>
        <v>1-0.000779457979554528i</v>
      </c>
      <c r="X51" s="18">
        <f t="shared" si="68"/>
        <v>1.0000003037773249</v>
      </c>
      <c r="Y51" s="18">
        <f t="shared" si="69"/>
        <v>-7.7945782170012168E-4</v>
      </c>
      <c r="Z51" s="32" t="str">
        <f t="shared" si="53"/>
        <v>0.999999990556029+0.00035643806809247i</v>
      </c>
      <c r="AA51" s="18">
        <f t="shared" si="70"/>
        <v>1.0000000540800758</v>
      </c>
      <c r="AB51" s="18">
        <f t="shared" si="71"/>
        <v>3.5643805636373556E-4</v>
      </c>
      <c r="AC51" s="67" t="str">
        <f t="shared" si="72"/>
        <v>27.787338923284-1.86365263462852i</v>
      </c>
      <c r="AD51" s="65">
        <f t="shared" si="73"/>
        <v>28.896430669960576</v>
      </c>
      <c r="AE51" s="62">
        <f t="shared" si="74"/>
        <v>-3.8369905586082633</v>
      </c>
      <c r="AF51" s="50" t="str">
        <f t="shared" si="54"/>
        <v>79.1527877025864</v>
      </c>
      <c r="AG51" s="50" t="str">
        <f t="shared" si="55"/>
        <v>1+0.0654714085818422i</v>
      </c>
      <c r="AH51" s="50">
        <f t="shared" si="75"/>
        <v>1.0021409608142411</v>
      </c>
      <c r="AI51" s="50">
        <f t="shared" si="76"/>
        <v>6.5378100596106117E-2</v>
      </c>
      <c r="AJ51" s="50" t="str">
        <f t="shared" si="56"/>
        <v>1+0.0000591061327474966i</v>
      </c>
      <c r="AK51" s="50">
        <f t="shared" si="77"/>
        <v>1.0000000017467674</v>
      </c>
      <c r="AL51" s="50">
        <f t="shared" si="78"/>
        <v>5.910613267866682E-5</v>
      </c>
      <c r="AM51" s="50" t="str">
        <f t="shared" si="57"/>
        <v>1-0.000272699888571474i</v>
      </c>
      <c r="AN51" s="50">
        <f t="shared" si="79"/>
        <v>1.0000000371826139</v>
      </c>
      <c r="AO51" s="50">
        <f t="shared" si="80"/>
        <v>-2.7269988181167771E-4</v>
      </c>
      <c r="AP51" s="59" t="str">
        <f t="shared" si="81"/>
        <v>78.8138461109686-5.17696006184699i</v>
      </c>
      <c r="AQ51" s="50">
        <f t="shared" si="82"/>
        <v>37.950748367187835</v>
      </c>
      <c r="AR51" s="62">
        <f t="shared" si="83"/>
        <v>-3.7581272570943085</v>
      </c>
      <c r="AS51" s="32" t="str">
        <f t="shared" si="58"/>
        <v>-0.0000166666666666667</v>
      </c>
      <c r="AT51" s="32" t="str">
        <f t="shared" si="59"/>
        <v>4.56729207594292E-07i</v>
      </c>
      <c r="AU51" s="32">
        <f t="shared" si="84"/>
        <v>4.56729207594292E-7</v>
      </c>
      <c r="AV51" s="32">
        <f t="shared" si="85"/>
        <v>1.5707963267948966</v>
      </c>
      <c r="AW51" s="32" t="str">
        <f t="shared" si="60"/>
        <v>1+0.000464156983634752i</v>
      </c>
      <c r="AX51" s="32">
        <f t="shared" si="86"/>
        <v>1.0000001077208469</v>
      </c>
      <c r="AY51" s="32">
        <f t="shared" si="87"/>
        <v>4.6415695030183225E-4</v>
      </c>
      <c r="AZ51" s="32" t="str">
        <f t="shared" si="61"/>
        <v>1+0.0157813374435816i</v>
      </c>
      <c r="BA51" s="32">
        <f t="shared" si="88"/>
        <v>1.0001245175534437</v>
      </c>
      <c r="BB51" s="32">
        <f t="shared" si="89"/>
        <v>1.578002752207117E-2</v>
      </c>
      <c r="BC51" s="59" t="str">
        <f t="shared" si="90"/>
        <v>-0.558944516258243+36.4916122780221i</v>
      </c>
      <c r="BD51" s="50">
        <f t="shared" si="91"/>
        <v>31.244879827065478</v>
      </c>
      <c r="BE51" s="62">
        <f t="shared" si="92"/>
        <v>90.877534743330997</v>
      </c>
      <c r="BF51" s="59" t="str">
        <f t="shared" si="93"/>
        <v>52.4761086511995+1015.04647664681i</v>
      </c>
      <c r="BG51" s="65">
        <f t="shared" si="94"/>
        <v>60.141310497026069</v>
      </c>
      <c r="BH51" s="62">
        <f t="shared" si="95"/>
        <v>87.040544184722748</v>
      </c>
      <c r="BI51" s="59" t="str">
        <f t="shared" si="101"/>
        <v>144.863052266779+2878.93794785862i</v>
      </c>
      <c r="BJ51" s="65">
        <f t="shared" si="97"/>
        <v>69.195628194253302</v>
      </c>
      <c r="BK51" s="62">
        <f t="shared" si="102"/>
        <v>87.119407486236696</v>
      </c>
      <c r="BL51" s="50">
        <f t="shared" si="99"/>
        <v>60.141310497026069</v>
      </c>
      <c r="BM51" s="62">
        <f t="shared" si="100"/>
        <v>87.040544184722748</v>
      </c>
    </row>
    <row r="52" spans="1:65" x14ac:dyDescent="0.3">
      <c r="A52" t="s">
        <v>211</v>
      </c>
      <c r="B52" s="1">
        <f>1/(PI()*(((VIN_var/VOUT)*(1+(B48/B49)))-0.5))</f>
        <v>0.27264230079982071</v>
      </c>
      <c r="K52" s="32"/>
      <c r="N52" s="11">
        <v>34</v>
      </c>
      <c r="O52" s="51">
        <f t="shared" si="62"/>
        <v>21.877616239495538</v>
      </c>
      <c r="P52" s="49" t="str">
        <f t="shared" si="50"/>
        <v>27.9103246607183</v>
      </c>
      <c r="Q52" s="18" t="str">
        <f t="shared" si="63"/>
        <v>1+0.0675238854618591i</v>
      </c>
      <c r="R52" s="18">
        <f t="shared" si="64"/>
        <v>1.0022771448595775</v>
      </c>
      <c r="S52" s="18">
        <f t="shared" si="65"/>
        <v>6.7421540807396638E-2</v>
      </c>
      <c r="T52" s="18" t="str">
        <f t="shared" si="51"/>
        <v>1+0.0000604828914413294i</v>
      </c>
      <c r="U52" s="18">
        <f t="shared" si="66"/>
        <v>1.00000000182909</v>
      </c>
      <c r="V52" s="18">
        <f t="shared" si="67"/>
        <v>6.0482891367576959E-5</v>
      </c>
      <c r="W52" s="32" t="str">
        <f t="shared" si="52"/>
        <v>1-0.000797613888255464i</v>
      </c>
      <c r="X52" s="18">
        <f t="shared" si="68"/>
        <v>1.0000003180939068</v>
      </c>
      <c r="Y52" s="18">
        <f t="shared" si="69"/>
        <v>-7.9761371911142315E-4</v>
      </c>
      <c r="Z52" s="32" t="str">
        <f t="shared" si="53"/>
        <v>0.999999990110949+0.000364740577261115i</v>
      </c>
      <c r="AA52" s="18">
        <f t="shared" si="70"/>
        <v>1.0000000566287919</v>
      </c>
      <c r="AB52" s="18">
        <f t="shared" si="71"/>
        <v>3.6474056469354942E-4</v>
      </c>
      <c r="AC52" s="67" t="str">
        <f t="shared" si="72"/>
        <v>27.781569091462-1.90667307945404i</v>
      </c>
      <c r="AD52" s="65">
        <f t="shared" si="73"/>
        <v>28.895543510794543</v>
      </c>
      <c r="AE52" s="62">
        <f t="shared" si="74"/>
        <v>-3.9261023168857547</v>
      </c>
      <c r="AF52" s="50" t="str">
        <f t="shared" si="54"/>
        <v>79.1527877025864</v>
      </c>
      <c r="AG52" s="50" t="str">
        <f t="shared" si="55"/>
        <v>1+0.0669964335965493i</v>
      </c>
      <c r="AH52" s="50">
        <f t="shared" si="75"/>
        <v>1.0022417483395196</v>
      </c>
      <c r="AI52" s="50">
        <f t="shared" si="76"/>
        <v>6.6896464362627972E-2</v>
      </c>
      <c r="AJ52" s="50" t="str">
        <f t="shared" si="56"/>
        <v>1+0.0000604828914413294i</v>
      </c>
      <c r="AK52" s="50">
        <f t="shared" si="77"/>
        <v>1.00000000182909</v>
      </c>
      <c r="AL52" s="50">
        <f t="shared" si="78"/>
        <v>6.0482891367576959E-5</v>
      </c>
      <c r="AM52" s="50" t="str">
        <f t="shared" si="57"/>
        <v>1-0.000279051884970932i</v>
      </c>
      <c r="AN52" s="50">
        <f t="shared" si="79"/>
        <v>1.0000000389349766</v>
      </c>
      <c r="AO52" s="50">
        <f t="shared" si="80"/>
        <v>-2.7905187772767981E-4</v>
      </c>
      <c r="AP52" s="59" t="str">
        <f t="shared" si="81"/>
        <v>78.7979436643648-5.29648154539747i</v>
      </c>
      <c r="AQ52" s="50">
        <f t="shared" si="82"/>
        <v>37.949874867982899</v>
      </c>
      <c r="AR52" s="62">
        <f t="shared" si="83"/>
        <v>-3.8454081527767912</v>
      </c>
      <c r="AS52" s="32" t="str">
        <f t="shared" si="58"/>
        <v>-0.0000166666666666667</v>
      </c>
      <c r="AT52" s="32" t="str">
        <f t="shared" si="59"/>
        <v>4.6736779750118E-07i</v>
      </c>
      <c r="AU52" s="32">
        <f t="shared" si="84"/>
        <v>4.6736779750118001E-7</v>
      </c>
      <c r="AV52" s="32">
        <f t="shared" si="85"/>
        <v>1.5707963267948966</v>
      </c>
      <c r="AW52" s="32" t="str">
        <f t="shared" si="60"/>
        <v>1+0.000474968588671615i</v>
      </c>
      <c r="AX52" s="32">
        <f t="shared" si="86"/>
        <v>1.0000001127975737</v>
      </c>
      <c r="AY52" s="32">
        <f t="shared" si="87"/>
        <v>4.7496855295474822E-4</v>
      </c>
      <c r="AZ52" s="32" t="str">
        <f t="shared" si="61"/>
        <v>1+0.0161489320148349i</v>
      </c>
      <c r="BA52" s="32">
        <f t="shared" si="88"/>
        <v>1.0001303855024202</v>
      </c>
      <c r="BB52" s="32">
        <f t="shared" si="89"/>
        <v>1.6147528418530809E-2</v>
      </c>
      <c r="BC52" s="59" t="str">
        <f t="shared" si="90"/>
        <v>-0.558944510583026+35.6609737193859i</v>
      </c>
      <c r="BD52" s="50">
        <f t="shared" si="91"/>
        <v>31.044930744831664</v>
      </c>
      <c r="BE52" s="62">
        <f t="shared" si="92"/>
        <v>90.897971534463622</v>
      </c>
      <c r="BF52" s="59" t="str">
        <f t="shared" si="93"/>
        <v>52.4654630388154+991.783529705167i</v>
      </c>
      <c r="BG52" s="65">
        <f t="shared" si="94"/>
        <v>59.940474255626206</v>
      </c>
      <c r="BH52" s="62">
        <f t="shared" si="95"/>
        <v>86.971869217577876</v>
      </c>
      <c r="BI52" s="59" t="str">
        <f t="shared" si="101"/>
        <v>144.834011139204+2812.97183744177i</v>
      </c>
      <c r="BJ52" s="65">
        <f t="shared" si="97"/>
        <v>68.994805612814574</v>
      </c>
      <c r="BK52" s="62">
        <f t="shared" si="102"/>
        <v>87.052563381686852</v>
      </c>
      <c r="BL52" s="50">
        <f t="shared" si="99"/>
        <v>59.940474255626206</v>
      </c>
      <c r="BM52" s="62">
        <f t="shared" si="100"/>
        <v>86.971869217577876</v>
      </c>
    </row>
    <row r="53" spans="1:65" x14ac:dyDescent="0.3">
      <c r="K53" s="32"/>
      <c r="N53" s="11">
        <v>35</v>
      </c>
      <c r="O53" s="51">
        <f t="shared" si="62"/>
        <v>22.387211385683404</v>
      </c>
      <c r="P53" s="49" t="str">
        <f t="shared" si="50"/>
        <v>27.9103246607183</v>
      </c>
      <c r="Q53" s="18" t="str">
        <f t="shared" si="63"/>
        <v>1+0.0690967188046889i</v>
      </c>
      <c r="R53" s="18">
        <f t="shared" si="64"/>
        <v>1.0023843357463116</v>
      </c>
      <c r="S53" s="18">
        <f t="shared" si="65"/>
        <v>6.8987068615184291E-2</v>
      </c>
      <c r="T53" s="18" t="str">
        <f t="shared" si="51"/>
        <v>1+0.0000618917189647901i</v>
      </c>
      <c r="U53" s="18">
        <f t="shared" si="66"/>
        <v>1.0000000019152924</v>
      </c>
      <c r="V53" s="18">
        <f t="shared" si="67"/>
        <v>6.1891718885762937E-5</v>
      </c>
      <c r="W53" s="32" t="str">
        <f t="shared" si="52"/>
        <v>1-0.000816192702397623i</v>
      </c>
      <c r="X53" s="18">
        <f t="shared" si="68"/>
        <v>1.0000003330852083</v>
      </c>
      <c r="Y53" s="18">
        <f t="shared" si="69"/>
        <v>-8.1619252115652113E-4</v>
      </c>
      <c r="Z53" s="32" t="str">
        <f t="shared" si="53"/>
        <v>0.999999989644892+0.000373236476711737i</v>
      </c>
      <c r="AA53" s="18">
        <f t="shared" si="70"/>
        <v>1.0000000592976241</v>
      </c>
      <c r="AB53" s="18">
        <f t="shared" si="71"/>
        <v>3.7323646324534805E-4</v>
      </c>
      <c r="AC53" s="67" t="str">
        <f t="shared" si="72"/>
        <v>27.7755298618755-1.95066790967305i</v>
      </c>
      <c r="AD53" s="65">
        <f t="shared" si="73"/>
        <v>28.894614735347158</v>
      </c>
      <c r="AE53" s="62">
        <f t="shared" si="74"/>
        <v>-4.0172709991872804</v>
      </c>
      <c r="AF53" s="50" t="str">
        <f t="shared" si="54"/>
        <v>79.1527877025864</v>
      </c>
      <c r="AG53" s="50" t="str">
        <f t="shared" si="55"/>
        <v>1+0.0685569810071519i</v>
      </c>
      <c r="AH53" s="50">
        <f t="shared" si="75"/>
        <v>1.0023472749725093</v>
      </c>
      <c r="AI53" s="50">
        <f t="shared" si="76"/>
        <v>6.8449875586484424E-2</v>
      </c>
      <c r="AJ53" s="50" t="str">
        <f t="shared" si="56"/>
        <v>1+0.0000618917189647901i</v>
      </c>
      <c r="AK53" s="50">
        <f t="shared" si="77"/>
        <v>1.0000000019152924</v>
      </c>
      <c r="AL53" s="50">
        <f t="shared" si="78"/>
        <v>6.1891718885762937E-5</v>
      </c>
      <c r="AM53" s="50" t="str">
        <f t="shared" si="57"/>
        <v>1-0.00028555183837349i</v>
      </c>
      <c r="AN53" s="50">
        <f t="shared" si="79"/>
        <v>1.0000000407699254</v>
      </c>
      <c r="AO53" s="50">
        <f t="shared" si="80"/>
        <v>-2.8555183061220542E-4</v>
      </c>
      <c r="AP53" s="59" t="str">
        <f t="shared" si="81"/>
        <v>78.7812986127942-5.41871131466518i</v>
      </c>
      <c r="AQ53" s="50">
        <f t="shared" si="82"/>
        <v>37.948960390298943</v>
      </c>
      <c r="AR53" s="62">
        <f t="shared" si="83"/>
        <v>-3.9347037597484733</v>
      </c>
      <c r="AS53" s="32" t="str">
        <f t="shared" si="58"/>
        <v>-0.0000166666666666667</v>
      </c>
      <c r="AT53" s="32" t="str">
        <f t="shared" si="59"/>
        <v>4.78254192000648E-07i</v>
      </c>
      <c r="AU53" s="32">
        <f t="shared" si="84"/>
        <v>4.7825419200064798E-7</v>
      </c>
      <c r="AV53" s="32">
        <f t="shared" si="85"/>
        <v>1.5707963267948966</v>
      </c>
      <c r="AW53" s="32" t="str">
        <f t="shared" si="60"/>
        <v>1+0.000486032028341145i</v>
      </c>
      <c r="AX53" s="32">
        <f t="shared" si="86"/>
        <v>1.0000001181135594</v>
      </c>
      <c r="AY53" s="32">
        <f t="shared" si="87"/>
        <v>4.8603199006983292E-4</v>
      </c>
      <c r="AZ53" s="32" t="str">
        <f t="shared" si="61"/>
        <v>1+0.0165250889635989i</v>
      </c>
      <c r="BA53" s="32">
        <f t="shared" si="88"/>
        <v>1.0001365299624121</v>
      </c>
      <c r="BB53" s="32">
        <f t="shared" si="89"/>
        <v>1.6523584994150672E-2</v>
      </c>
      <c r="BC53" s="59" t="str">
        <f t="shared" si="90"/>
        <v>-0.558944504640346+34.8492430810441i</v>
      </c>
      <c r="BD53" s="50">
        <f t="shared" si="91"/>
        <v>30.844984061637266</v>
      </c>
      <c r="BE53" s="62">
        <f t="shared" si="92"/>
        <v>90.918884100851187</v>
      </c>
      <c r="BF53" s="59" t="str">
        <f t="shared" si="93"/>
        <v>52.4543203748191+969.046506969789i</v>
      </c>
      <c r="BG53" s="65">
        <f t="shared" si="94"/>
        <v>59.739598796984424</v>
      </c>
      <c r="BH53" s="62">
        <f t="shared" si="95"/>
        <v>86.901613101663912</v>
      </c>
      <c r="BI53" s="59" t="str">
        <f t="shared" si="101"/>
        <v>144.803613862719+2748.49738450915i</v>
      </c>
      <c r="BJ53" s="65">
        <f t="shared" si="97"/>
        <v>68.793944451936213</v>
      </c>
      <c r="BK53" s="62">
        <f t="shared" si="102"/>
        <v>86.984180341102714</v>
      </c>
      <c r="BL53" s="50">
        <f t="shared" si="99"/>
        <v>59.739598796984424</v>
      </c>
      <c r="BM53" s="62">
        <f t="shared" si="100"/>
        <v>86.901613101663912</v>
      </c>
    </row>
    <row r="54" spans="1:65" ht="15.6" x14ac:dyDescent="0.3">
      <c r="A54" s="52" t="s">
        <v>225</v>
      </c>
      <c r="N54" s="11">
        <v>36</v>
      </c>
      <c r="O54" s="51">
        <f t="shared" si="62"/>
        <v>22.908676527677727</v>
      </c>
      <c r="P54" s="49" t="str">
        <f t="shared" si="50"/>
        <v>27.9103246607183</v>
      </c>
      <c r="Q54" s="18" t="str">
        <f t="shared" si="63"/>
        <v>1+0.0707061881424319i</v>
      </c>
      <c r="R54" s="18">
        <f t="shared" si="64"/>
        <v>1.0024965660996714</v>
      </c>
      <c r="S54" s="18">
        <f t="shared" si="65"/>
        <v>7.0588711644603341E-2</v>
      </c>
      <c r="T54" s="18" t="str">
        <f t="shared" si="51"/>
        <v>1+0.0000633333622968795i</v>
      </c>
      <c r="U54" s="18">
        <f t="shared" si="66"/>
        <v>1.0000000020055573</v>
      </c>
      <c r="V54" s="18">
        <f t="shared" si="67"/>
        <v>6.3333362212200363E-5</v>
      </c>
      <c r="W54" s="32" t="str">
        <f t="shared" si="52"/>
        <v>1-0.000835204272714178i</v>
      </c>
      <c r="X54" s="18">
        <f t="shared" si="68"/>
        <v>1.0000003487830278</v>
      </c>
      <c r="Y54" s="18">
        <f t="shared" si="69"/>
        <v>-8.3520407851084212E-4</v>
      </c>
      <c r="Z54" s="32" t="str">
        <f t="shared" si="53"/>
        <v>0.999999989156871+0.000381930271082679i</v>
      </c>
      <c r="AA54" s="18">
        <f t="shared" si="70"/>
        <v>1.0000000620922351</v>
      </c>
      <c r="AB54" s="18">
        <f t="shared" si="71"/>
        <v>3.8193025665318319E-4</v>
      </c>
      <c r="AC54" s="67" t="str">
        <f t="shared" si="72"/>
        <v>27.7692087801282-1.99565786247496i</v>
      </c>
      <c r="AD54" s="65">
        <f t="shared" si="73"/>
        <v>28.893642400952487</v>
      </c>
      <c r="AE54" s="62">
        <f t="shared" si="74"/>
        <v>-4.1105431846499636</v>
      </c>
      <c r="AF54" s="50" t="str">
        <f t="shared" si="54"/>
        <v>79.1527877025864</v>
      </c>
      <c r="AG54" s="50" t="str">
        <f t="shared" si="55"/>
        <v>1+0.0701538782365432i</v>
      </c>
      <c r="AH54" s="50">
        <f t="shared" si="75"/>
        <v>1.0024577630162919</v>
      </c>
      <c r="AI54" s="50">
        <f t="shared" si="76"/>
        <v>7.0039127901877565E-2</v>
      </c>
      <c r="AJ54" s="50" t="str">
        <f t="shared" si="56"/>
        <v>1+0.0000633333622968795i</v>
      </c>
      <c r="AK54" s="50">
        <f t="shared" si="77"/>
        <v>1.0000000020055573</v>
      </c>
      <c r="AL54" s="50">
        <f t="shared" si="78"/>
        <v>6.3333362212200363E-5</v>
      </c>
      <c r="AM54" s="50" t="str">
        <f t="shared" si="57"/>
        <v>1-0.000292203195140479i</v>
      </c>
      <c r="AN54" s="50">
        <f t="shared" si="79"/>
        <v>1.0000000426913527</v>
      </c>
      <c r="AO54" s="50">
        <f t="shared" si="80"/>
        <v>-2.9220318682411281E-4</v>
      </c>
      <c r="AP54" s="59" t="str">
        <f t="shared" si="81"/>
        <v>78.763876614899-5.54370709477033i</v>
      </c>
      <c r="AQ54" s="50">
        <f t="shared" si="82"/>
        <v>37.948003020956691</v>
      </c>
      <c r="AR54" s="62">
        <f t="shared" si="83"/>
        <v>-4.0260597045627078</v>
      </c>
      <c r="AS54" s="32" t="str">
        <f t="shared" si="58"/>
        <v>-0.0000166666666666667</v>
      </c>
      <c r="AT54" s="32" t="str">
        <f t="shared" si="59"/>
        <v>4.89394163203157E-07i</v>
      </c>
      <c r="AU54" s="32">
        <f t="shared" si="84"/>
        <v>4.8939416320315697E-7</v>
      </c>
      <c r="AV54" s="32">
        <f t="shared" si="85"/>
        <v>1.5707963267948966</v>
      </c>
      <c r="AW54" s="32" t="str">
        <f t="shared" si="60"/>
        <v>1+0.000497353168625494i</v>
      </c>
      <c r="AX54" s="32">
        <f t="shared" si="86"/>
        <v>1.0000001236800795</v>
      </c>
      <c r="AY54" s="32">
        <f t="shared" si="87"/>
        <v>4.973531276170445E-4</v>
      </c>
      <c r="AZ54" s="32" t="str">
        <f t="shared" si="61"/>
        <v>1+0.0169100077332668i</v>
      </c>
      <c r="BA54" s="32">
        <f t="shared" si="88"/>
        <v>1.0001429639614225</v>
      </c>
      <c r="BB54" s="32">
        <f t="shared" si="89"/>
        <v>1.6908396213409661E-2</v>
      </c>
      <c r="BC54" s="59" t="str">
        <f t="shared" si="90"/>
        <v>-0.558944498417596+34.0559899726679i</v>
      </c>
      <c r="BD54" s="50">
        <f t="shared" si="91"/>
        <v>30.645039890483758</v>
      </c>
      <c r="BE54" s="62">
        <f t="shared" si="92"/>
        <v>90.940283506223267</v>
      </c>
      <c r="BF54" s="59" t="str">
        <f t="shared" si="93"/>
        <v>52.4426576802608+946.823357747922i</v>
      </c>
      <c r="BG54" s="65">
        <f t="shared" si="94"/>
        <v>59.538682291436245</v>
      </c>
      <c r="BH54" s="62">
        <f t="shared" si="95"/>
        <v>86.829740321573311</v>
      </c>
      <c r="BI54" s="59" t="str">
        <f t="shared" si="101"/>
        <v>144.771797722966+2685.48041678691i</v>
      </c>
      <c r="BJ54" s="65">
        <f t="shared" si="97"/>
        <v>68.593042911440449</v>
      </c>
      <c r="BK54" s="62">
        <f t="shared" si="102"/>
        <v>86.914223801660569</v>
      </c>
      <c r="BL54" s="50">
        <f t="shared" si="99"/>
        <v>59.538682291436245</v>
      </c>
      <c r="BM54" s="62">
        <f t="shared" si="100"/>
        <v>86.829740321573311</v>
      </c>
    </row>
    <row r="55" spans="1:65" x14ac:dyDescent="0.3">
      <c r="A55" t="s">
        <v>191</v>
      </c>
      <c r="N55" s="11">
        <v>37</v>
      </c>
      <c r="O55" s="51">
        <f t="shared" si="62"/>
        <v>23.442288153199236</v>
      </c>
      <c r="P55" s="49" t="str">
        <f t="shared" si="50"/>
        <v>27.9103246607183</v>
      </c>
      <c r="Q55" s="18" t="str">
        <f t="shared" si="63"/>
        <v>1+0.0723531468370352i</v>
      </c>
      <c r="R55" s="18">
        <f t="shared" si="64"/>
        <v>1.0026140722417682</v>
      </c>
      <c r="S55" s="18">
        <f t="shared" si="65"/>
        <v>7.2227286220475806E-2</v>
      </c>
      <c r="T55" s="18" t="str">
        <f t="shared" si="51"/>
        <v>1+0.000064808585815975i</v>
      </c>
      <c r="U55" s="18">
        <f t="shared" si="66"/>
        <v>1.0000000021000763</v>
      </c>
      <c r="V55" s="18">
        <f t="shared" si="67"/>
        <v>6.4808585725239679E-5</v>
      </c>
      <c r="W55" s="32" t="str">
        <f t="shared" si="52"/>
        <v>1-0.000854658679391363i</v>
      </c>
      <c r="X55" s="18">
        <f t="shared" si="68"/>
        <v>1.0000003652206624</v>
      </c>
      <c r="Y55" s="18">
        <f t="shared" si="69"/>
        <v>-8.5465847129874352E-4</v>
      </c>
      <c r="Z55" s="32" t="str">
        <f t="shared" si="53"/>
        <v>0.99999998864585+0.000390826569938794i</v>
      </c>
      <c r="AA55" s="18">
        <f t="shared" si="70"/>
        <v>1.0000000650185519</v>
      </c>
      <c r="AB55" s="18">
        <f t="shared" si="71"/>
        <v>3.9082655447731073E-4</v>
      </c>
      <c r="AC55" s="67" t="str">
        <f t="shared" si="72"/>
        <v>27.762592827945-2.04166402052391i</v>
      </c>
      <c r="AD55" s="65">
        <f t="shared" si="73"/>
        <v>28.892624475175221</v>
      </c>
      <c r="AE55" s="62">
        <f t="shared" si="74"/>
        <v>-4.2059664431021195</v>
      </c>
      <c r="AF55" s="50" t="str">
        <f t="shared" si="54"/>
        <v>79.1527877025864</v>
      </c>
      <c r="AG55" s="50" t="str">
        <f t="shared" si="55"/>
        <v>1+0.0717879719807721i</v>
      </c>
      <c r="AH55" s="50">
        <f t="shared" si="75"/>
        <v>1.0025734451505846</v>
      </c>
      <c r="AI55" s="50">
        <f t="shared" si="76"/>
        <v>7.1665031821291067E-2</v>
      </c>
      <c r="AJ55" s="50" t="str">
        <f t="shared" si="56"/>
        <v>1+0.000064808585815975i</v>
      </c>
      <c r="AK55" s="50">
        <f t="shared" si="77"/>
        <v>1.0000000021000763</v>
      </c>
      <c r="AL55" s="50">
        <f t="shared" si="78"/>
        <v>6.4808585725239679E-5</v>
      </c>
      <c r="AM55" s="50" t="str">
        <f t="shared" si="57"/>
        <v>1-0.000299009481909298i</v>
      </c>
      <c r="AN55" s="50">
        <f t="shared" si="79"/>
        <v>1.0000000447033341</v>
      </c>
      <c r="AO55" s="50">
        <f t="shared" si="80"/>
        <v>-2.990094729981511E-4</v>
      </c>
      <c r="AP55" s="59" t="str">
        <f t="shared" si="81"/>
        <v>78.7456417735061-5.6715275790526i</v>
      </c>
      <c r="AQ55" s="50">
        <f t="shared" si="82"/>
        <v>37.947000758342796</v>
      </c>
      <c r="AR55" s="62">
        <f t="shared" si="83"/>
        <v>-4.1195225844296761</v>
      </c>
      <c r="AS55" s="32" t="str">
        <f t="shared" si="58"/>
        <v>-0.0000166666666666667</v>
      </c>
      <c r="AT55" s="32" t="str">
        <f t="shared" si="59"/>
        <v>5.00793617668895E-07i</v>
      </c>
      <c r="AU55" s="32">
        <f t="shared" si="84"/>
        <v>5.00793617668895E-7</v>
      </c>
      <c r="AV55" s="32">
        <f t="shared" si="85"/>
        <v>1.5707963267948966</v>
      </c>
      <c r="AW55" s="32" t="str">
        <f t="shared" si="60"/>
        <v>1+0.000508938012143097i</v>
      </c>
      <c r="AX55" s="32">
        <f t="shared" si="86"/>
        <v>1.0000001295089418</v>
      </c>
      <c r="AY55" s="32">
        <f t="shared" si="87"/>
        <v>5.0893796820175206E-4</v>
      </c>
      <c r="AZ55" s="32" t="str">
        <f t="shared" si="61"/>
        <v>1+0.0173038924128653i</v>
      </c>
      <c r="BA55" s="32">
        <f t="shared" si="88"/>
        <v>1.0001497011411022</v>
      </c>
      <c r="BB55" s="32">
        <f t="shared" si="89"/>
        <v>1.7302165652186514E-2</v>
      </c>
      <c r="BC55" s="59" t="str">
        <f t="shared" si="90"/>
        <v>-0.558944491901576+33.2807938009592i</v>
      </c>
      <c r="BD55" s="50">
        <f t="shared" si="91"/>
        <v>30.445098349692181</v>
      </c>
      <c r="BE55" s="62">
        <f t="shared" si="92"/>
        <v>90.962181070694584</v>
      </c>
      <c r="BF55" s="59" t="str">
        <f t="shared" si="93"/>
        <v>52.4304509358075+925.102304145412i</v>
      </c>
      <c r="BG55" s="65">
        <f t="shared" si="94"/>
        <v>59.337722824867399</v>
      </c>
      <c r="BH55" s="62">
        <f t="shared" si="95"/>
        <v>86.75621462759247</v>
      </c>
      <c r="BI55" s="59" t="str">
        <f t="shared" si="101"/>
        <v>144.738497164347+2623.88753568923i</v>
      </c>
      <c r="BJ55" s="65">
        <f t="shared" si="97"/>
        <v>68.392099108034955</v>
      </c>
      <c r="BK55" s="62">
        <f t="shared" si="102"/>
        <v>86.842658486264909</v>
      </c>
      <c r="BL55" s="50">
        <f t="shared" si="99"/>
        <v>59.337722824867399</v>
      </c>
      <c r="BM55" s="62">
        <f t="shared" si="100"/>
        <v>86.75621462759247</v>
      </c>
    </row>
    <row r="56" spans="1:65" x14ac:dyDescent="0.3">
      <c r="A56" t="s">
        <v>189</v>
      </c>
      <c r="B56" s="3">
        <f>RFBT</f>
        <v>21000</v>
      </c>
      <c r="C56" s="2" t="s">
        <v>36</v>
      </c>
      <c r="E56" t="s">
        <v>192</v>
      </c>
      <c r="N56" s="11">
        <v>38</v>
      </c>
      <c r="O56" s="51">
        <f t="shared" si="62"/>
        <v>23.988329190194907</v>
      </c>
      <c r="P56" s="49" t="str">
        <f t="shared" si="50"/>
        <v>27.9103246607183</v>
      </c>
      <c r="Q56" s="18" t="str">
        <f t="shared" si="63"/>
        <v>1+0.0740384681277983i</v>
      </c>
      <c r="R56" s="18">
        <f t="shared" si="64"/>
        <v>1.0027371015189928</v>
      </c>
      <c r="S56" s="18">
        <f t="shared" si="65"/>
        <v>7.3903625921363139E-2</v>
      </c>
      <c r="T56" s="18" t="str">
        <f t="shared" si="51"/>
        <v>1+0.0000663181717051129i</v>
      </c>
      <c r="U56" s="18">
        <f t="shared" si="66"/>
        <v>1.0000000021990498</v>
      </c>
      <c r="V56" s="18">
        <f t="shared" si="67"/>
        <v>6.6318171607888243E-5</v>
      </c>
      <c r="W56" s="32" t="str">
        <f t="shared" si="52"/>
        <v>1-0.000874566237413103i</v>
      </c>
      <c r="X56" s="18">
        <f t="shared" si="68"/>
        <v>1.0000003824329786</v>
      </c>
      <c r="Y56" s="18">
        <f t="shared" si="69"/>
        <v>-8.745660144378485E-4</v>
      </c>
      <c r="Z56" s="32" t="str">
        <f t="shared" si="53"/>
        <v>0.999999988110745+0.000399930090215491i</v>
      </c>
      <c r="AA56" s="18">
        <f t="shared" si="70"/>
        <v>1.0000000680827812</v>
      </c>
      <c r="AB56" s="18">
        <f t="shared" si="71"/>
        <v>3.9993007364821345E-4</v>
      </c>
      <c r="AC56" s="67" t="str">
        <f t="shared" si="72"/>
        <v>27.7556683987867-2.08870781047673i</v>
      </c>
      <c r="AD56" s="65">
        <f t="shared" si="73"/>
        <v>28.891558831750672</v>
      </c>
      <c r="AE56" s="62">
        <f t="shared" si="74"/>
        <v>-4.3035893515228505</v>
      </c>
      <c r="AF56" s="50" t="str">
        <f t="shared" si="54"/>
        <v>79.1527877025864</v>
      </c>
      <c r="AG56" s="50" t="str">
        <f t="shared" si="55"/>
        <v>1+0.073460128657971i</v>
      </c>
      <c r="AH56" s="50">
        <f t="shared" si="75"/>
        <v>1.0026945649111925</v>
      </c>
      <c r="AI56" s="50">
        <f t="shared" si="76"/>
        <v>7.3328415015761456E-2</v>
      </c>
      <c r="AJ56" s="50" t="str">
        <f t="shared" si="56"/>
        <v>1+0.0000663181717051129i</v>
      </c>
      <c r="AK56" s="50">
        <f t="shared" si="77"/>
        <v>1.0000000021990498</v>
      </c>
      <c r="AL56" s="50">
        <f t="shared" si="78"/>
        <v>6.6318171607888243E-5</v>
      </c>
      <c r="AM56" s="50" t="str">
        <f t="shared" si="57"/>
        <v>1-0.000305974307463283i</v>
      </c>
      <c r="AN56" s="50">
        <f t="shared" si="79"/>
        <v>1.0000000468101373</v>
      </c>
      <c r="AO56" s="50">
        <f t="shared" si="80"/>
        <v>-3.0597429791481709E-4</v>
      </c>
      <c r="AP56" s="59" t="str">
        <f t="shared" si="81"/>
        <v>78.7265565682442-5.80223242553754i</v>
      </c>
      <c r="AQ56" s="50">
        <f t="shared" si="82"/>
        <v>37.945951508407106</v>
      </c>
      <c r="AR56" s="62">
        <f t="shared" si="83"/>
        <v>-4.2151399833587053</v>
      </c>
      <c r="AS56" s="32" t="str">
        <f t="shared" si="58"/>
        <v>-0.0000166666666666667</v>
      </c>
      <c r="AT56" s="32" t="str">
        <f t="shared" si="59"/>
        <v>5.12458599539507E-07i</v>
      </c>
      <c r="AU56" s="32">
        <f t="shared" si="84"/>
        <v>5.1245859953950697E-7</v>
      </c>
      <c r="AV56" s="32">
        <f t="shared" si="85"/>
        <v>1.5707963267948966</v>
      </c>
      <c r="AW56" s="32" t="str">
        <f t="shared" si="60"/>
        <v>1+0.000520792701331327i</v>
      </c>
      <c r="AX56" s="32">
        <f t="shared" si="86"/>
        <v>1.0000001356125097</v>
      </c>
      <c r="AY56" s="32">
        <f t="shared" si="87"/>
        <v>5.2079265424732793E-4</v>
      </c>
      <c r="AZ56" s="32" t="str">
        <f t="shared" si="61"/>
        <v>1+0.0177069518452651i</v>
      </c>
      <c r="BA56" s="32">
        <f t="shared" si="88"/>
        <v>1.0001567557856372</v>
      </c>
      <c r="BB56" s="32">
        <f t="shared" si="89"/>
        <v>1.7705101603524103E-2</v>
      </c>
      <c r="BC56" s="59" t="str">
        <f t="shared" si="90"/>
        <v>-0.558944485078463+32.5232435466469i</v>
      </c>
      <c r="BD56" s="50">
        <f t="shared" si="91"/>
        <v>30.245159563153369</v>
      </c>
      <c r="BE56" s="62">
        <f t="shared" si="92"/>
        <v>90.984588376642449</v>
      </c>
      <c r="BF56" s="59" t="str">
        <f t="shared" si="93"/>
        <v>52.4176750367499+903.871834845317i</v>
      </c>
      <c r="BG56" s="65">
        <f t="shared" si="94"/>
        <v>59.136718394904037</v>
      </c>
      <c r="BH56" s="62">
        <f t="shared" si="95"/>
        <v>86.680999025119604</v>
      </c>
      <c r="BI56" s="59" t="str">
        <f t="shared" si="101"/>
        <v>144.703643666971+2563.68609867328i</v>
      </c>
      <c r="BJ56" s="65">
        <f t="shared" si="97"/>
        <v>68.191111071560485</v>
      </c>
      <c r="BK56" s="62">
        <f t="shared" si="102"/>
        <v>86.769448393283753</v>
      </c>
      <c r="BL56" s="50">
        <f t="shared" si="99"/>
        <v>59.136718394904037</v>
      </c>
      <c r="BM56" s="62">
        <f t="shared" si="100"/>
        <v>86.680999025119604</v>
      </c>
    </row>
    <row r="57" spans="1:65" x14ac:dyDescent="0.3">
      <c r="A57" t="s">
        <v>190</v>
      </c>
      <c r="B57" s="3">
        <f>RFBB</f>
        <v>14000</v>
      </c>
      <c r="C57" s="2" t="s">
        <v>36</v>
      </c>
      <c r="E57" t="s">
        <v>193</v>
      </c>
      <c r="N57" s="11">
        <v>39</v>
      </c>
      <c r="O57" s="51">
        <f t="shared" si="62"/>
        <v>24.547089156850316</v>
      </c>
      <c r="P57" s="49" t="str">
        <f t="shared" si="50"/>
        <v>27.9103246607183</v>
      </c>
      <c r="Q57" s="18" t="str">
        <f t="shared" si="63"/>
        <v>1+0.0757630455943778i</v>
      </c>
      <c r="R57" s="18">
        <f t="shared" si="64"/>
        <v>1.0028659128107484</v>
      </c>
      <c r="S57" s="18">
        <f t="shared" si="65"/>
        <v>7.5618581857987685E-2</v>
      </c>
      <c r="T57" s="18" t="str">
        <f t="shared" si="51"/>
        <v>1+0.0000678629203667136i</v>
      </c>
      <c r="U57" s="18">
        <f t="shared" si="66"/>
        <v>1.0000000023026878</v>
      </c>
      <c r="V57" s="18">
        <f t="shared" si="67"/>
        <v>6.7862920262535509E-5</v>
      </c>
      <c r="W57" s="32" t="str">
        <f t="shared" si="52"/>
        <v>1-0.000894937502030173i</v>
      </c>
      <c r="X57" s="18">
        <f t="shared" si="68"/>
        <v>1.000000400456486</v>
      </c>
      <c r="Y57" s="18">
        <f t="shared" si="69"/>
        <v>-8.949372631078884E-4</v>
      </c>
      <c r="Z57" s="32" t="str">
        <f t="shared" si="53"/>
        <v>0.999999987550422+0.000409245658719721i</v>
      </c>
      <c r="AA57" s="18">
        <f t="shared" si="70"/>
        <v>1.0000000712914241</v>
      </c>
      <c r="AB57" s="18">
        <f t="shared" si="71"/>
        <v>4.0924564096756318E-4</v>
      </c>
      <c r="AC57" s="67" t="str">
        <f t="shared" si="72"/>
        <v>27.7484212725184-2.13681100082187i</v>
      </c>
      <c r="AD57" s="65">
        <f t="shared" si="73"/>
        <v>28.890443246348752</v>
      </c>
      <c r="AE57" s="62">
        <f t="shared" si="74"/>
        <v>-4.4034615104273955</v>
      </c>
      <c r="AF57" s="50" t="str">
        <f t="shared" si="54"/>
        <v>79.1527877025864</v>
      </c>
      <c r="AG57" s="50" t="str">
        <f t="shared" si="55"/>
        <v>1+0.0751712348677441i</v>
      </c>
      <c r="AH57" s="50">
        <f t="shared" si="75"/>
        <v>1.0028213771911434</v>
      </c>
      <c r="AI57" s="50">
        <f t="shared" si="76"/>
        <v>7.5030122593863866E-2</v>
      </c>
      <c r="AJ57" s="50" t="str">
        <f t="shared" si="56"/>
        <v>1+0.0000678629203667136i</v>
      </c>
      <c r="AK57" s="50">
        <f t="shared" si="77"/>
        <v>1.0000000023026878</v>
      </c>
      <c r="AL57" s="50">
        <f t="shared" si="78"/>
        <v>6.7862920262535509E-5</v>
      </c>
      <c r="AM57" s="50" t="str">
        <f t="shared" si="57"/>
        <v>1-0.000313101364645133i</v>
      </c>
      <c r="AN57" s="50">
        <f t="shared" si="79"/>
        <v>1.0000000490162311</v>
      </c>
      <c r="AO57" s="50">
        <f t="shared" si="80"/>
        <v>-3.1310135441376741E-4</v>
      </c>
      <c r="AP57" s="59" t="str">
        <f t="shared" si="81"/>
        <v>78.7065817855438-5.9358822515549i</v>
      </c>
      <c r="AQ57" s="50">
        <f t="shared" si="82"/>
        <v>37.944853080487036</v>
      </c>
      <c r="AR57" s="62">
        <f t="shared" si="83"/>
        <v>-4.3129604882288186</v>
      </c>
      <c r="AS57" s="32" t="str">
        <f t="shared" si="58"/>
        <v>-0.0000166666666666667</v>
      </c>
      <c r="AT57" s="32" t="str">
        <f t="shared" si="59"/>
        <v>5.24395293742787E-07i</v>
      </c>
      <c r="AU57" s="32">
        <f t="shared" si="84"/>
        <v>5.24395293742787E-7</v>
      </c>
      <c r="AV57" s="32">
        <f t="shared" si="85"/>
        <v>1.5707963267948966</v>
      </c>
      <c r="AW57" s="32" t="str">
        <f t="shared" si="60"/>
        <v>1+0.000532923521703309i</v>
      </c>
      <c r="AX57" s="32">
        <f t="shared" si="86"/>
        <v>1.0000001420037299</v>
      </c>
      <c r="AY57" s="32">
        <f t="shared" si="87"/>
        <v>5.329234712518954E-4</v>
      </c>
      <c r="AZ57" s="32" t="str">
        <f t="shared" si="61"/>
        <v>1+0.0181193997379125i</v>
      </c>
      <c r="BA57" s="32">
        <f t="shared" si="88"/>
        <v>1.0001641428519932</v>
      </c>
      <c r="BB57" s="32">
        <f t="shared" si="89"/>
        <v>1.8117417185740184E-2</v>
      </c>
      <c r="BC57" s="59" t="str">
        <f t="shared" si="90"/>
        <v>-0.558944477933788+31.7829375465587i</v>
      </c>
      <c r="BD57" s="50">
        <f t="shared" si="91"/>
        <v>30.045223660589762</v>
      </c>
      <c r="BE57" s="62">
        <f t="shared" si="92"/>
        <v>91.007517274714502</v>
      </c>
      <c r="BF57" s="59" t="str">
        <f t="shared" si="93"/>
        <v>52.4043037462665+883.120699029351i</v>
      </c>
      <c r="BG57" s="65">
        <f t="shared" si="94"/>
        <v>58.935666906938522</v>
      </c>
      <c r="BH57" s="62">
        <f t="shared" si="95"/>
        <v>86.604055764287111</v>
      </c>
      <c r="BI57" s="59" t="str">
        <f t="shared" si="101"/>
        <v>144.667165618822+2504.84420199922i</v>
      </c>
      <c r="BJ57" s="65">
        <f t="shared" si="97"/>
        <v>67.990076741076777</v>
      </c>
      <c r="BK57" s="62">
        <f t="shared" si="102"/>
        <v>86.694556786485677</v>
      </c>
      <c r="BL57" s="50">
        <f t="shared" si="99"/>
        <v>58.935666906938522</v>
      </c>
      <c r="BM57" s="62">
        <f t="shared" si="100"/>
        <v>86.604055764287111</v>
      </c>
    </row>
    <row r="58" spans="1:65" x14ac:dyDescent="0.3">
      <c r="A58" t="s">
        <v>180</v>
      </c>
      <c r="B58" s="3">
        <f>RCOMP</f>
        <v>35600</v>
      </c>
      <c r="C58" s="2" t="s">
        <v>36</v>
      </c>
      <c r="E58" s="32" t="s">
        <v>186</v>
      </c>
      <c r="N58" s="11">
        <v>40</v>
      </c>
      <c r="O58" s="51">
        <f t="shared" si="62"/>
        <v>25.118864315095799</v>
      </c>
      <c r="P58" s="49" t="str">
        <f t="shared" si="50"/>
        <v>27.9103246607183</v>
      </c>
      <c r="Q58" s="18" t="str">
        <f t="shared" si="63"/>
        <v>1+0.0775277936305744i</v>
      </c>
      <c r="R58" s="18">
        <f t="shared" si="64"/>
        <v>1.0030007770611271</v>
      </c>
      <c r="S58" s="18">
        <f t="shared" si="65"/>
        <v>7.7373022949603326E-2</v>
      </c>
      <c r="T58" s="18" t="str">
        <f t="shared" si="51"/>
        <v>1+0.0000694436508469652i</v>
      </c>
      <c r="U58" s="18">
        <f t="shared" si="66"/>
        <v>1.0000000024112103</v>
      </c>
      <c r="V58" s="18">
        <f t="shared" si="67"/>
        <v>6.9443650735336363E-5</v>
      </c>
      <c r="W58" s="32" t="str">
        <f t="shared" si="52"/>
        <v>1-0.000915783274356722i</v>
      </c>
      <c r="X58" s="18">
        <f t="shared" si="68"/>
        <v>1.000000419329415</v>
      </c>
      <c r="Y58" s="18">
        <f t="shared" si="69"/>
        <v>-9.1578301834688747E-4</v>
      </c>
      <c r="Z58" s="32" t="str">
        <f t="shared" si="53"/>
        <v>0.999999986963691+0.000418778214689213i</v>
      </c>
      <c r="AA58" s="18">
        <f t="shared" si="70"/>
        <v>1.0000000746512847</v>
      </c>
      <c r="AB58" s="18">
        <f t="shared" si="71"/>
        <v>4.1877819566743345E-4</v>
      </c>
      <c r="AC58" s="67" t="str">
        <f t="shared" si="72"/>
        <v>27.7408365891104-2.18599569898176i</v>
      </c>
      <c r="AD58" s="65">
        <f t="shared" si="73"/>
        <v>28.889275392156595</v>
      </c>
      <c r="AE58" s="62">
        <f t="shared" si="74"/>
        <v>-4.5056335601448803</v>
      </c>
      <c r="AF58" s="50" t="str">
        <f t="shared" si="54"/>
        <v>79.1527877025864</v>
      </c>
      <c r="AG58" s="50" t="str">
        <f t="shared" si="55"/>
        <v>1+0.0769221978612536i</v>
      </c>
      <c r="AH58" s="50">
        <f t="shared" si="75"/>
        <v>1.0029541487644418</v>
      </c>
      <c r="AI58" s="50">
        <f t="shared" si="76"/>
        <v>7.6771017378847867E-2</v>
      </c>
      <c r="AJ58" s="50" t="str">
        <f t="shared" si="56"/>
        <v>1+0.0000694436508469652i</v>
      </c>
      <c r="AK58" s="50">
        <f t="shared" si="77"/>
        <v>1.0000000024112103</v>
      </c>
      <c r="AL58" s="50">
        <f t="shared" si="78"/>
        <v>6.9443650735336363E-5</v>
      </c>
      <c r="AM58" s="50" t="str">
        <f t="shared" si="57"/>
        <v>1-0.000320394432314907i</v>
      </c>
      <c r="AN58" s="50">
        <f t="shared" si="79"/>
        <v>1.0000000513262948</v>
      </c>
      <c r="AO58" s="50">
        <f t="shared" si="80"/>
        <v>-3.2039442135180137E-4</v>
      </c>
      <c r="AP58" s="59" t="str">
        <f t="shared" si="81"/>
        <v>78.6856764459489-6.07253862635119i</v>
      </c>
      <c r="AQ58" s="50">
        <f t="shared" si="82"/>
        <v>37.943703182952376</v>
      </c>
      <c r="AR58" s="62">
        <f t="shared" si="83"/>
        <v>-4.4130337047553558</v>
      </c>
      <c r="AS58" s="32" t="str">
        <f t="shared" si="58"/>
        <v>-0.0000166666666666667</v>
      </c>
      <c r="AT58" s="32" t="str">
        <f t="shared" si="59"/>
        <v>5.36610029272002E-07i</v>
      </c>
      <c r="AU58" s="32">
        <f t="shared" si="84"/>
        <v>5.3661002927200201E-7</v>
      </c>
      <c r="AV58" s="32">
        <f t="shared" si="85"/>
        <v>1.5707963267948966</v>
      </c>
      <c r="AW58" s="32" t="str">
        <f t="shared" si="60"/>
        <v>1+0.000545336905180579i</v>
      </c>
      <c r="AX58" s="32">
        <f t="shared" si="86"/>
        <v>1.0000001486961589</v>
      </c>
      <c r="AY58" s="32">
        <f t="shared" si="87"/>
        <v>5.4533685112091593E-4</v>
      </c>
      <c r="AZ58" s="32" t="str">
        <f t="shared" si="61"/>
        <v>1+0.0185414547761397i</v>
      </c>
      <c r="BA58" s="32">
        <f t="shared" si="88"/>
        <v>1.000171878001584</v>
      </c>
      <c r="BB58" s="32">
        <f t="shared" si="89"/>
        <v>1.8539330452929687E-2</v>
      </c>
      <c r="BC58" s="59" t="str">
        <f t="shared" si="90"/>
        <v>-0.558944470452399+31.0594832806542i</v>
      </c>
      <c r="BD58" s="50">
        <f t="shared" si="91"/>
        <v>29.845290777829575</v>
      </c>
      <c r="BE58" s="62">
        <f t="shared" si="92"/>
        <v>91.030979889969046</v>
      </c>
      <c r="BF58" s="59" t="str">
        <f t="shared" si="93"/>
        <v>52.3903096468991+862.837900439213i</v>
      </c>
      <c r="BG58" s="65">
        <f t="shared" si="94"/>
        <v>58.734566169986167</v>
      </c>
      <c r="BH58" s="62">
        <f t="shared" si="95"/>
        <v>86.525346329824174</v>
      </c>
      <c r="BI58" s="59" t="str">
        <f t="shared" si="101"/>
        <v>144.628988183012+2447.33066388672i</v>
      </c>
      <c r="BJ58" s="65">
        <f t="shared" si="97"/>
        <v>67.788993960781937</v>
      </c>
      <c r="BK58" s="62">
        <f t="shared" si="102"/>
        <v>86.617946185213682</v>
      </c>
      <c r="BL58" s="50">
        <f t="shared" si="99"/>
        <v>58.734566169986167</v>
      </c>
      <c r="BM58" s="62">
        <f t="shared" si="100"/>
        <v>86.525346329824174</v>
      </c>
    </row>
    <row r="59" spans="1:65" x14ac:dyDescent="0.3">
      <c r="A59" t="s">
        <v>184</v>
      </c>
      <c r="B59" s="3">
        <f>CCOMP</f>
        <v>3.3000000000000002E-9</v>
      </c>
      <c r="C59" s="2" t="s">
        <v>162</v>
      </c>
      <c r="E59" s="32" t="s">
        <v>187</v>
      </c>
      <c r="N59" s="11">
        <v>41</v>
      </c>
      <c r="O59" s="51">
        <f t="shared" si="62"/>
        <v>25.703957827688647</v>
      </c>
      <c r="P59" s="49" t="str">
        <f t="shared" si="50"/>
        <v>27.9103246607183</v>
      </c>
      <c r="Q59" s="18" t="str">
        <f t="shared" si="63"/>
        <v>1+0.079333647929155i</v>
      </c>
      <c r="R59" s="18">
        <f t="shared" si="64"/>
        <v>1.0031419778345172</v>
      </c>
      <c r="S59" s="18">
        <f t="shared" si="65"/>
        <v>7.9167836197694935E-2</v>
      </c>
      <c r="T59" s="18" t="str">
        <f t="shared" si="51"/>
        <v>1+0.0000710612012700908i</v>
      </c>
      <c r="U59" s="18">
        <f t="shared" si="66"/>
        <v>1.000000002524847</v>
      </c>
      <c r="V59" s="18">
        <f t="shared" si="67"/>
        <v>7.1061201150478357E-5</v>
      </c>
      <c r="W59" s="32" t="str">
        <f t="shared" si="52"/>
        <v>1-0.000937114607097155i</v>
      </c>
      <c r="X59" s="18">
        <f t="shared" si="68"/>
        <v>1.0000004390917969</v>
      </c>
      <c r="Y59" s="18">
        <f t="shared" si="69"/>
        <v>-9.3711433277768135E-4</v>
      </c>
      <c r="Z59" s="32" t="str">
        <f t="shared" si="53"/>
        <v>0.999999986349309+0.000428532812411316i</v>
      </c>
      <c r="AA59" s="18">
        <f t="shared" si="70"/>
        <v>1.0000000781694915</v>
      </c>
      <c r="AB59" s="18">
        <f t="shared" si="71"/>
        <v>4.2853279202911192E-4</v>
      </c>
      <c r="AC59" s="67" t="str">
        <f t="shared" si="72"/>
        <v>27.7328988213448-2.2362843476174i</v>
      </c>
      <c r="AD59" s="65">
        <f t="shared" si="73"/>
        <v>28.888052835272223</v>
      </c>
      <c r="AE59" s="62">
        <f t="shared" si="74"/>
        <v>-4.6101571969535042</v>
      </c>
      <c r="AF59" s="50" t="str">
        <f t="shared" si="54"/>
        <v>79.1527877025864</v>
      </c>
      <c r="AG59" s="50" t="str">
        <f t="shared" si="55"/>
        <v>1+0.0787139460222542i</v>
      </c>
      <c r="AH59" s="50">
        <f t="shared" si="75"/>
        <v>1.0030931588334129</v>
      </c>
      <c r="AI59" s="50">
        <f t="shared" si="76"/>
        <v>7.8551980183319006E-2</v>
      </c>
      <c r="AJ59" s="50" t="str">
        <f t="shared" si="56"/>
        <v>1+0.0000710612012700908i</v>
      </c>
      <c r="AK59" s="50">
        <f t="shared" si="77"/>
        <v>1.000000002524847</v>
      </c>
      <c r="AL59" s="50">
        <f t="shared" si="78"/>
        <v>7.1061201150478357E-5</v>
      </c>
      <c r="AM59" s="50" t="str">
        <f t="shared" si="57"/>
        <v>1-0.000327857377353614i</v>
      </c>
      <c r="AN59" s="50">
        <f t="shared" si="79"/>
        <v>1.0000000537452285</v>
      </c>
      <c r="AO59" s="50">
        <f t="shared" si="80"/>
        <v>-3.2785736560643464E-4</v>
      </c>
      <c r="AP59" s="59" t="str">
        <f t="shared" si="81"/>
        <v>78.6637977286681-6.21226406152828i</v>
      </c>
      <c r="AQ59" s="50">
        <f t="shared" si="82"/>
        <v>37.942499418663381</v>
      </c>
      <c r="AR59" s="62">
        <f t="shared" si="83"/>
        <v>-4.515410273317932</v>
      </c>
      <c r="AS59" s="32" t="str">
        <f t="shared" si="58"/>
        <v>-0.0000166666666666667</v>
      </c>
      <c r="AT59" s="32" t="str">
        <f t="shared" si="59"/>
        <v>5.4910928254161E-07i</v>
      </c>
      <c r="AU59" s="32">
        <f t="shared" si="84"/>
        <v>5.4910928254160998E-7</v>
      </c>
      <c r="AV59" s="32">
        <f t="shared" si="85"/>
        <v>1.5707963267948966</v>
      </c>
      <c r="AW59" s="32" t="str">
        <f t="shared" si="60"/>
        <v>1+0.000558039433503359i</v>
      </c>
      <c r="AX59" s="32">
        <f t="shared" si="86"/>
        <v>1.0000001557039926</v>
      </c>
      <c r="AY59" s="32">
        <f t="shared" si="87"/>
        <v>5.5803937557738687E-4</v>
      </c>
      <c r="AZ59" s="32" t="str">
        <f t="shared" si="61"/>
        <v>1+0.0189733407391142i</v>
      </c>
      <c r="BA59" s="32">
        <f t="shared" si="88"/>
        <v>1.000179977633427</v>
      </c>
      <c r="BB59" s="32">
        <f t="shared" si="89"/>
        <v>1.8971064507905616E-2</v>
      </c>
      <c r="BC59" s="59" t="str">
        <f t="shared" si="90"/>
        <v>-0.558944462618419+30.3524971639057i</v>
      </c>
      <c r="BD59" s="50">
        <f t="shared" si="91"/>
        <v>29.645361057093851</v>
      </c>
      <c r="BE59" s="62">
        <f t="shared" si="92"/>
        <v>91.054988628150724</v>
      </c>
      <c r="BF59" s="59" t="str">
        <f t="shared" si="93"/>
        <v>52.3756640901963+843.012691574693i</v>
      </c>
      <c r="BG59" s="65">
        <f t="shared" si="94"/>
        <v>58.53341389236607</v>
      </c>
      <c r="BH59" s="62">
        <f t="shared" si="95"/>
        <v>86.44483143119723</v>
      </c>
      <c r="BI59" s="59" t="str">
        <f t="shared" si="101"/>
        <v>144.589033159996+2391.11500805896i</v>
      </c>
      <c r="BJ59" s="65">
        <f t="shared" si="97"/>
        <v>67.587860475757225</v>
      </c>
      <c r="BK59" s="62">
        <f t="shared" si="102"/>
        <v>86.539578354832784</v>
      </c>
      <c r="BL59" s="50">
        <f t="shared" si="99"/>
        <v>58.53341389236607</v>
      </c>
      <c r="BM59" s="62">
        <f t="shared" si="100"/>
        <v>86.44483143119723</v>
      </c>
    </row>
    <row r="60" spans="1:65" x14ac:dyDescent="0.3">
      <c r="A60" t="s">
        <v>185</v>
      </c>
      <c r="B60" s="3">
        <f>CHF</f>
        <v>1E-10</v>
      </c>
      <c r="C60" s="2" t="s">
        <v>162</v>
      </c>
      <c r="E60" s="32" t="s">
        <v>188</v>
      </c>
      <c r="N60" s="11">
        <v>42</v>
      </c>
      <c r="O60" s="51">
        <f t="shared" si="62"/>
        <v>26.302679918953825</v>
      </c>
      <c r="P60" s="49" t="str">
        <f t="shared" si="50"/>
        <v>27.9103246607183</v>
      </c>
      <c r="Q60" s="18" t="str">
        <f t="shared" si="63"/>
        <v>1+0.0811815659779728i</v>
      </c>
      <c r="R60" s="18">
        <f t="shared" si="64"/>
        <v>1.003289811896162</v>
      </c>
      <c r="S60" s="18">
        <f t="shared" si="65"/>
        <v>8.1003926956338082E-2</v>
      </c>
      <c r="T60" s="18" t="str">
        <f t="shared" si="51"/>
        <v>1+0.000072716429282736i</v>
      </c>
      <c r="U60" s="18">
        <f t="shared" si="66"/>
        <v>1.0000000026438396</v>
      </c>
      <c r="V60" s="18">
        <f t="shared" si="67"/>
        <v>7.2716429154568951E-5</v>
      </c>
      <c r="W60" s="32" t="str">
        <f t="shared" si="52"/>
        <v>1-0.000958942810406449i</v>
      </c>
      <c r="X60" s="18">
        <f t="shared" si="68"/>
        <v>1.000000459785551</v>
      </c>
      <c r="Y60" s="18">
        <f t="shared" si="69"/>
        <v>-9.5894251646784457E-4</v>
      </c>
      <c r="Z60" s="32" t="str">
        <f t="shared" si="53"/>
        <v>0.999999985705972+0.000438514623902862i</v>
      </c>
      <c r="AA60" s="18">
        <f t="shared" si="70"/>
        <v>1.0000000818535066</v>
      </c>
      <c r="AB60" s="18">
        <f t="shared" si="71"/>
        <v>4.3851460206293687E-4</v>
      </c>
      <c r="AC60" s="67" t="str">
        <f t="shared" si="72"/>
        <v>27.7245917465024-2.28769972006969i</v>
      </c>
      <c r="AD60" s="65">
        <f t="shared" si="73"/>
        <v>28.886773029901875</v>
      </c>
      <c r="AE60" s="62">
        <f t="shared" si="74"/>
        <v>-4.7170851890346803</v>
      </c>
      <c r="AF60" s="50" t="str">
        <f t="shared" si="54"/>
        <v>79.1527877025864</v>
      </c>
      <c r="AG60" s="50" t="str">
        <f t="shared" si="55"/>
        <v>1+0.0805474293593381i</v>
      </c>
      <c r="AH60" s="50">
        <f t="shared" si="75"/>
        <v>1.003238699600647</v>
      </c>
      <c r="AI60" s="50">
        <f t="shared" si="76"/>
        <v>8.037391008081668E-2</v>
      </c>
      <c r="AJ60" s="50" t="str">
        <f t="shared" si="56"/>
        <v>1+0.000072716429282736i</v>
      </c>
      <c r="AK60" s="50">
        <f t="shared" si="77"/>
        <v>1.0000000026438396</v>
      </c>
      <c r="AL60" s="50">
        <f t="shared" si="78"/>
        <v>7.2716429154568951E-5</v>
      </c>
      <c r="AM60" s="50" t="str">
        <f t="shared" si="57"/>
        <v>1-0.0003354941567135i</v>
      </c>
      <c r="AN60" s="50">
        <f t="shared" si="79"/>
        <v>1.000000056278163</v>
      </c>
      <c r="AO60" s="50">
        <f t="shared" si="80"/>
        <v>-3.3549414412617062E-4</v>
      </c>
      <c r="AP60" s="59" t="str">
        <f t="shared" si="81"/>
        <v>78.6409008932979-6.35512199912992i</v>
      </c>
      <c r="AQ60" s="50">
        <f t="shared" si="82"/>
        <v>37.941239280235457</v>
      </c>
      <c r="AR60" s="62">
        <f t="shared" si="83"/>
        <v>-4.6201418846127451</v>
      </c>
      <c r="AS60" s="32" t="str">
        <f t="shared" si="58"/>
        <v>-0.0000166666666666667</v>
      </c>
      <c r="AT60" s="32" t="str">
        <f t="shared" si="59"/>
        <v>5.61899680821142E-07i</v>
      </c>
      <c r="AU60" s="32">
        <f t="shared" si="84"/>
        <v>5.6189968082114198E-7</v>
      </c>
      <c r="AV60" s="32">
        <f t="shared" si="85"/>
        <v>1.5707963267948966</v>
      </c>
      <c r="AW60" s="32" t="str">
        <f t="shared" si="60"/>
        <v>1+0.000571037841720308i</v>
      </c>
      <c r="AX60" s="32">
        <f t="shared" si="86"/>
        <v>1.0000001630420952</v>
      </c>
      <c r="AY60" s="32">
        <f t="shared" si="87"/>
        <v>5.7103777965151104E-4</v>
      </c>
      <c r="AZ60" s="32" t="str">
        <f t="shared" si="61"/>
        <v>1+0.0194152866184905i</v>
      </c>
      <c r="BA60" s="32">
        <f t="shared" si="88"/>
        <v>1.000188458918857</v>
      </c>
      <c r="BB60" s="32">
        <f t="shared" si="89"/>
        <v>1.9412847617627474E-2</v>
      </c>
      <c r="BC60" s="59" t="str">
        <f t="shared" si="90"/>
        <v>-0.558944454415236+29.6616043429157i</v>
      </c>
      <c r="BD60" s="50">
        <f t="shared" si="91"/>
        <v>29.445434647296711</v>
      </c>
      <c r="BE60" s="62">
        <f t="shared" si="92"/>
        <v>91.079556182104099</v>
      </c>
      <c r="BF60" s="59" t="str">
        <f t="shared" si="93"/>
        <v>52.3603371444722+823.634568025521i</v>
      </c>
      <c r="BG60" s="65">
        <f t="shared" si="94"/>
        <v>58.332207677198589</v>
      </c>
      <c r="BH60" s="62">
        <f t="shared" si="95"/>
        <v>86.362470993069422</v>
      </c>
      <c r="BI60" s="59" t="str">
        <f t="shared" si="101"/>
        <v>144.547218844624+2336.16744766599i</v>
      </c>
      <c r="BJ60" s="65">
        <f t="shared" si="97"/>
        <v>67.386673927532158</v>
      </c>
      <c r="BK60" s="62">
        <f t="shared" si="102"/>
        <v>86.45941429749135</v>
      </c>
      <c r="BL60" s="50">
        <f t="shared" si="99"/>
        <v>58.332207677198589</v>
      </c>
      <c r="BM60" s="62">
        <f t="shared" si="100"/>
        <v>86.362470993069422</v>
      </c>
    </row>
    <row r="61" spans="1:65" x14ac:dyDescent="0.3">
      <c r="N61" s="11">
        <v>43</v>
      </c>
      <c r="O61" s="51">
        <f t="shared" si="62"/>
        <v>26.915348039269158</v>
      </c>
      <c r="P61" s="49" t="str">
        <f t="shared" si="50"/>
        <v>27.9103246607183</v>
      </c>
      <c r="Q61" s="18" t="str">
        <f t="shared" si="63"/>
        <v>1+0.0830725275676374i</v>
      </c>
      <c r="R61" s="18">
        <f t="shared" si="64"/>
        <v>1.0034445898187283</v>
      </c>
      <c r="S61" s="18">
        <f t="shared" si="65"/>
        <v>8.2882219198479837E-2</v>
      </c>
      <c r="T61" s="18" t="str">
        <f t="shared" si="51"/>
        <v>1+0.0000744102125087029i</v>
      </c>
      <c r="U61" s="18">
        <f t="shared" si="66"/>
        <v>1.0000000027684397</v>
      </c>
      <c r="V61" s="18">
        <f t="shared" si="67"/>
        <v>7.4410212371369433E-5</v>
      </c>
      <c r="W61" s="32" t="str">
        <f t="shared" si="52"/>
        <v>1-0.000981279457886933i</v>
      </c>
      <c r="X61" s="18">
        <f t="shared" si="68"/>
        <v>1.0000004814545713</v>
      </c>
      <c r="Y61" s="18">
        <f t="shared" si="69"/>
        <v>-9.8127914292605212E-4</v>
      </c>
      <c r="Z61" s="32" t="str">
        <f t="shared" si="53"/>
        <v>0.999999985032315+0.00044872894165243i</v>
      </c>
      <c r="AA61" s="18">
        <f t="shared" si="70"/>
        <v>1.0000000857111431</v>
      </c>
      <c r="AB61" s="18">
        <f t="shared" si="71"/>
        <v>4.487289182505288E-4</v>
      </c>
      <c r="AC61" s="67" t="str">
        <f t="shared" si="72"/>
        <v>27.7158984170091-2.34026491486817i</v>
      </c>
      <c r="AD61" s="65">
        <f t="shared" si="73"/>
        <v>28.885433313354557</v>
      </c>
      <c r="AE61" s="62">
        <f t="shared" si="74"/>
        <v>-4.8264713922046063</v>
      </c>
      <c r="AF61" s="50" t="str">
        <f t="shared" si="54"/>
        <v>79.1527877025864</v>
      </c>
      <c r="AG61" s="50" t="str">
        <f t="shared" si="55"/>
        <v>1+0.0824236200096399i</v>
      </c>
      <c r="AH61" s="50">
        <f t="shared" si="75"/>
        <v>1.0033910768665892</v>
      </c>
      <c r="AI61" s="50">
        <f t="shared" si="76"/>
        <v>8.2237724673568033E-2</v>
      </c>
      <c r="AJ61" s="50" t="str">
        <f t="shared" si="56"/>
        <v>1+0.0000744102125087029i</v>
      </c>
      <c r="AK61" s="50">
        <f t="shared" si="77"/>
        <v>1.0000000027684397</v>
      </c>
      <c r="AL61" s="50">
        <f t="shared" si="78"/>
        <v>7.4410212371369433E-5</v>
      </c>
      <c r="AM61" s="50" t="str">
        <f t="shared" si="57"/>
        <v>1-0.000343308819516066i</v>
      </c>
      <c r="AN61" s="50">
        <f t="shared" si="79"/>
        <v>1.0000000589304709</v>
      </c>
      <c r="AO61" s="50">
        <f t="shared" si="80"/>
        <v>-3.433088060284996E-4</v>
      </c>
      <c r="AP61" s="59" t="str">
        <f t="shared" si="81"/>
        <v>78.6169391986517-6.50117679718461i</v>
      </c>
      <c r="AQ61" s="50">
        <f t="shared" si="82"/>
        <v>37.939920145102995</v>
      </c>
      <c r="AR61" s="62">
        <f t="shared" si="83"/>
        <v>-4.7272812950878826</v>
      </c>
      <c r="AS61" s="32" t="str">
        <f t="shared" si="58"/>
        <v>-0.0000166666666666667</v>
      </c>
      <c r="AT61" s="32" t="str">
        <f t="shared" si="59"/>
        <v>5.74988005749067E-07i</v>
      </c>
      <c r="AU61" s="32">
        <f t="shared" si="84"/>
        <v>5.7498800574906703E-7</v>
      </c>
      <c r="AV61" s="32">
        <f t="shared" si="85"/>
        <v>1.5707963267948966</v>
      </c>
      <c r="AW61" s="32" t="str">
        <f t="shared" si="60"/>
        <v>1+0.000584339021759519i</v>
      </c>
      <c r="AX61" s="32">
        <f t="shared" si="86"/>
        <v>1.0000001707260315</v>
      </c>
      <c r="AY61" s="32">
        <f t="shared" si="87"/>
        <v>5.8433895525160547E-4</v>
      </c>
      <c r="AZ61" s="32" t="str">
        <f t="shared" si="61"/>
        <v>1+0.0198675267398237i</v>
      </c>
      <c r="BA61" s="32">
        <f t="shared" si="88"/>
        <v>1.000197339837873</v>
      </c>
      <c r="BB61" s="32">
        <f t="shared" si="89"/>
        <v>1.9864913331161461E-2</v>
      </c>
      <c r="BC61" s="59" t="str">
        <f t="shared" si="90"/>
        <v>-0.558944445825453+28.9864384971659i</v>
      </c>
      <c r="BD61" s="50">
        <f t="shared" si="91"/>
        <v>29.245511704360272</v>
      </c>
      <c r="BE61" s="62">
        <f t="shared" si="92"/>
        <v>91.104695538327704</v>
      </c>
      <c r="BF61" s="59" t="str">
        <f t="shared" si="93"/>
        <v>52.3442975406517+804.693262934258i</v>
      </c>
      <c r="BG61" s="65">
        <f t="shared" si="94"/>
        <v>58.130945017714822</v>
      </c>
      <c r="BH61" s="62">
        <f t="shared" si="95"/>
        <v>86.278224146123108</v>
      </c>
      <c r="BI61" s="59" t="str">
        <f t="shared" si="101"/>
        <v>144.50345987791+2282.45886957926i</v>
      </c>
      <c r="BJ61" s="65">
        <f t="shared" si="97"/>
        <v>67.185431849463257</v>
      </c>
      <c r="BK61" s="62">
        <f t="shared" si="102"/>
        <v>86.377414243239826</v>
      </c>
      <c r="BL61" s="50">
        <f t="shared" si="99"/>
        <v>58.130945017714822</v>
      </c>
      <c r="BM61" s="62">
        <f t="shared" si="100"/>
        <v>86.278224146123108</v>
      </c>
    </row>
    <row r="62" spans="1:65" x14ac:dyDescent="0.3">
      <c r="A62" t="s">
        <v>227</v>
      </c>
      <c r="B62" s="1">
        <f>(-gm_ea)/Kfb</f>
        <v>-1.6666666666666667E-5</v>
      </c>
      <c r="C62" t="s">
        <v>150</v>
      </c>
      <c r="N62" s="11">
        <v>44</v>
      </c>
      <c r="O62" s="51">
        <f t="shared" si="62"/>
        <v>27.542287033381665</v>
      </c>
      <c r="P62" s="49" t="str">
        <f t="shared" si="50"/>
        <v>27.9103246607183</v>
      </c>
      <c r="Q62" s="18" t="str">
        <f t="shared" si="63"/>
        <v>1+0.0850075353110133i</v>
      </c>
      <c r="R62" s="18">
        <f t="shared" si="64"/>
        <v>1.0036066366159866</v>
      </c>
      <c r="S62" s="18">
        <f t="shared" si="65"/>
        <v>8.4803655777363082E-2</v>
      </c>
      <c r="T62" s="18" t="str">
        <f t="shared" si="51"/>
        <v>1+0.0000761434490142776i</v>
      </c>
      <c r="U62" s="18">
        <f t="shared" si="66"/>
        <v>1.0000000028989124</v>
      </c>
      <c r="V62" s="18">
        <f t="shared" si="67"/>
        <v>7.6143448867122148E-5</v>
      </c>
      <c r="W62" s="32" t="str">
        <f t="shared" si="52"/>
        <v>1-0.00100413639272476i</v>
      </c>
      <c r="X62" s="18">
        <f t="shared" si="68"/>
        <v>1.0000005041448206</v>
      </c>
      <c r="Y62" s="18">
        <f t="shared" si="69"/>
        <v>-1.0041360552381048E-3</v>
      </c>
      <c r="Z62" s="32" t="str">
        <f t="shared" si="53"/>
        <v>0.99999998432691+0.000459181181426492i</v>
      </c>
      <c r="AA62" s="18">
        <f t="shared" si="70"/>
        <v>1.0000000897505847</v>
      </c>
      <c r="AB62" s="18">
        <f t="shared" si="71"/>
        <v>4.5918115635090317E-4</v>
      </c>
      <c r="AC62" s="67" t="str">
        <f t="shared" si="72"/>
        <v>27.7068011300173-2.39400334923298i</v>
      </c>
      <c r="AD62" s="65">
        <f t="shared" si="73"/>
        <v>28.884030900825636</v>
      </c>
      <c r="AE62" s="62">
        <f t="shared" si="74"/>
        <v>-4.9383707653783757</v>
      </c>
      <c r="AF62" s="50" t="str">
        <f t="shared" si="54"/>
        <v>79.1527877025864</v>
      </c>
      <c r="AG62" s="50" t="str">
        <f t="shared" si="55"/>
        <v>1+0.0843435127542765i</v>
      </c>
      <c r="AH62" s="50">
        <f t="shared" si="75"/>
        <v>1.0035506106538579</v>
      </c>
      <c r="AI62" s="50">
        <f t="shared" si="76"/>
        <v>8.4144360355658643E-2</v>
      </c>
      <c r="AJ62" s="50" t="str">
        <f t="shared" si="56"/>
        <v>1+0.0000761434490142776i</v>
      </c>
      <c r="AK62" s="50">
        <f t="shared" si="77"/>
        <v>1.0000000028989124</v>
      </c>
      <c r="AL62" s="50">
        <f t="shared" si="78"/>
        <v>7.6143448867122148E-5</v>
      </c>
      <c r="AM62" s="50" t="str">
        <f t="shared" si="57"/>
        <v>1-0.000351305509198969i</v>
      </c>
      <c r="AN62" s="50">
        <f t="shared" si="79"/>
        <v>1.0000000617077784</v>
      </c>
      <c r="AO62" s="50">
        <f t="shared" si="80"/>
        <v>-3.5130549474678125E-4</v>
      </c>
      <c r="AP62" s="59" t="str">
        <f t="shared" si="81"/>
        <v>78.5918638186301-6.65049371250259i</v>
      </c>
      <c r="AQ62" s="50">
        <f t="shared" si="82"/>
        <v>37.938539270375067</v>
      </c>
      <c r="AR62" s="62">
        <f t="shared" si="83"/>
        <v>-4.8368823421182494</v>
      </c>
      <c r="AS62" s="32" t="str">
        <f t="shared" si="58"/>
        <v>-0.0000166666666666667</v>
      </c>
      <c r="AT62" s="32" t="str">
        <f t="shared" si="59"/>
        <v>5.88381196928506E-07i</v>
      </c>
      <c r="AU62" s="32">
        <f t="shared" si="84"/>
        <v>5.88381196928506E-7</v>
      </c>
      <c r="AV62" s="32">
        <f t="shared" si="85"/>
        <v>1.5707963267948966</v>
      </c>
      <c r="AW62" s="32" t="str">
        <f t="shared" si="60"/>
        <v>1+0.000597950026082708i</v>
      </c>
      <c r="AX62" s="32">
        <f t="shared" si="86"/>
        <v>1.0000001787721009</v>
      </c>
      <c r="AY62" s="32">
        <f t="shared" si="87"/>
        <v>5.9794995481819539E-4</v>
      </c>
      <c r="AZ62" s="32" t="str">
        <f t="shared" si="61"/>
        <v>1+0.0203303008868121i</v>
      </c>
      <c r="BA62" s="32">
        <f t="shared" si="88"/>
        <v>1.0002066392171911</v>
      </c>
      <c r="BB62" s="32">
        <f t="shared" si="89"/>
        <v>2.0327500600223175E-2</v>
      </c>
      <c r="BC62" s="59" t="str">
        <f t="shared" si="90"/>
        <v>-0.558944436830843+28.3266416447876i</v>
      </c>
      <c r="BD62" s="50">
        <f t="shared" si="91"/>
        <v>29.045592391543416</v>
      </c>
      <c r="BE62" s="62">
        <f t="shared" si="92"/>
        <v>91.130419983671302</v>
      </c>
      <c r="BF62" s="59" t="str">
        <f t="shared" si="93"/>
        <v>52.3275126161422+786.178741587204i</v>
      </c>
      <c r="BG62" s="65">
        <f t="shared" si="94"/>
        <v>57.929623292369044</v>
      </c>
      <c r="BH62" s="62">
        <f t="shared" si="95"/>
        <v>86.192049218292937</v>
      </c>
      <c r="BI62" s="59" t="str">
        <f t="shared" si="101"/>
        <v>144.457667093383+2229.96081904906i</v>
      </c>
      <c r="BJ62" s="65">
        <f t="shared" si="97"/>
        <v>66.984131661918454</v>
      </c>
      <c r="BK62" s="62">
        <f t="shared" si="102"/>
        <v>86.293537641553058</v>
      </c>
      <c r="BL62" s="50">
        <f t="shared" si="99"/>
        <v>57.929623292369044</v>
      </c>
      <c r="BM62" s="62">
        <f t="shared" si="100"/>
        <v>86.192049218292937</v>
      </c>
    </row>
    <row r="63" spans="1:65" x14ac:dyDescent="0.3">
      <c r="A63" t="s">
        <v>226</v>
      </c>
      <c r="B63" s="1">
        <f>1/(RCOMP*CCOMP)</f>
        <v>8512.0871637725559</v>
      </c>
      <c r="E63" t="s">
        <v>240</v>
      </c>
      <c r="N63" s="11">
        <v>45</v>
      </c>
      <c r="O63" s="51">
        <f t="shared" si="62"/>
        <v>28.183829312644548</v>
      </c>
      <c r="P63" s="49" t="str">
        <f t="shared" si="50"/>
        <v>27.9103246607183</v>
      </c>
      <c r="Q63" s="18" t="str">
        <f t="shared" si="63"/>
        <v>1+0.0869876151748187i</v>
      </c>
      <c r="R63" s="18">
        <f t="shared" si="64"/>
        <v>1.003776292404738</v>
      </c>
      <c r="S63" s="18">
        <f t="shared" si="65"/>
        <v>8.6769198682241894E-2</v>
      </c>
      <c r="T63" s="18" t="str">
        <f t="shared" si="51"/>
        <v>1+0.0000779170577843971i</v>
      </c>
      <c r="U63" s="18">
        <f t="shared" si="66"/>
        <v>1.0000000030355338</v>
      </c>
      <c r="V63" s="18">
        <f t="shared" si="67"/>
        <v>7.7917057626717193E-5</v>
      </c>
      <c r="W63" s="32" t="str">
        <f t="shared" si="52"/>
        <v>1-0.00102752573396932i</v>
      </c>
      <c r="X63" s="18">
        <f t="shared" si="68"/>
        <v>1.0000005279044275</v>
      </c>
      <c r="Y63" s="18">
        <f t="shared" si="69"/>
        <v>-1.027525372345864E-3</v>
      </c>
      <c r="Z63" s="32" t="str">
        <f t="shared" si="53"/>
        <v>0.99999998358826+0.000469876885140927i</v>
      </c>
      <c r="AA63" s="18">
        <f t="shared" si="70"/>
        <v>1.0000000939803995</v>
      </c>
      <c r="AB63" s="18">
        <f t="shared" si="71"/>
        <v>4.6987685827194959E-4</v>
      </c>
      <c r="AC63" s="67" t="str">
        <f t="shared" si="72"/>
        <v>27.6972813959023-2.44893875149153i</v>
      </c>
      <c r="AD63" s="65">
        <f t="shared" si="73"/>
        <v>28.88256287996224</v>
      </c>
      <c r="AE63" s="62">
        <f t="shared" si="74"/>
        <v>-5.0528393857183671</v>
      </c>
      <c r="AF63" s="50" t="str">
        <f t="shared" si="54"/>
        <v>79.1527877025864</v>
      </c>
      <c r="AG63" s="50" t="str">
        <f t="shared" si="55"/>
        <v>1+0.0863081255457935i</v>
      </c>
      <c r="AH63" s="50">
        <f t="shared" si="75"/>
        <v>1.0037176358594226</v>
      </c>
      <c r="AI63" s="50">
        <f t="shared" si="76"/>
        <v>8.6094772570791608E-2</v>
      </c>
      <c r="AJ63" s="50" t="str">
        <f t="shared" si="56"/>
        <v>1+0.0000779170577843971i</v>
      </c>
      <c r="AK63" s="50">
        <f t="shared" si="77"/>
        <v>1.0000000030355338</v>
      </c>
      <c r="AL63" s="50">
        <f t="shared" si="78"/>
        <v>7.7917057626717193E-5</v>
      </c>
      <c r="AM63" s="50" t="str">
        <f t="shared" si="57"/>
        <v>1-0.000359488465712927i</v>
      </c>
      <c r="AN63" s="50">
        <f t="shared" si="79"/>
        <v>1.0000000646159763</v>
      </c>
      <c r="AO63" s="50">
        <f t="shared" si="80"/>
        <v>-3.5948845022712884E-4</v>
      </c>
      <c r="AP63" s="59" t="str">
        <f t="shared" si="81"/>
        <v>78.5656237550737-6.80313888051137i</v>
      </c>
      <c r="AQ63" s="50">
        <f t="shared" si="82"/>
        <v>37.937093787475504</v>
      </c>
      <c r="AR63" s="62">
        <f t="shared" si="83"/>
        <v>-4.9489999588726743</v>
      </c>
      <c r="AS63" s="32" t="str">
        <f t="shared" si="58"/>
        <v>-0.0000166666666666667</v>
      </c>
      <c r="AT63" s="32" t="str">
        <f t="shared" si="59"/>
        <v>6.02086355606703E-07i</v>
      </c>
      <c r="AU63" s="32">
        <f t="shared" si="84"/>
        <v>6.0208635560670299E-7</v>
      </c>
      <c r="AV63" s="32">
        <f t="shared" si="85"/>
        <v>1.5707963267948966</v>
      </c>
      <c r="AW63" s="32" t="str">
        <f t="shared" si="60"/>
        <v>1+0.00061187807142453i</v>
      </c>
      <c r="AX63" s="32">
        <f t="shared" si="86"/>
        <v>1.0000001871973696</v>
      </c>
      <c r="AY63" s="32">
        <f t="shared" si="87"/>
        <v>6.1187799506322966E-4</v>
      </c>
      <c r="AZ63" s="32" t="str">
        <f t="shared" si="61"/>
        <v>1+0.020803854428434i</v>
      </c>
      <c r="BA63" s="32">
        <f t="shared" si="88"/>
        <v>1.0002163767700865</v>
      </c>
      <c r="BB63" s="32">
        <f t="shared" si="89"/>
        <v>2.0800853902350442E-2</v>
      </c>
      <c r="BC63" s="59" t="str">
        <f t="shared" si="90"/>
        <v>-0.55894442741233+27.6818639527561i</v>
      </c>
      <c r="BD63" s="50">
        <f t="shared" si="91"/>
        <v>28.845676879786815</v>
      </c>
      <c r="BE63" s="62">
        <f t="shared" si="92"/>
        <v>91.156743112178845</v>
      </c>
      <c r="BF63" s="59" t="str">
        <f t="shared" si="93"/>
        <v>52.3099482567101+768.08119613079i</v>
      </c>
      <c r="BG63" s="65">
        <f t="shared" si="94"/>
        <v>57.728239759749052</v>
      </c>
      <c r="BH63" s="62">
        <f t="shared" si="95"/>
        <v>86.103903726460501</v>
      </c>
      <c r="BI63" s="59" t="str">
        <f t="shared" si="101"/>
        <v>144.409747357949+2178.64548471755i</v>
      </c>
      <c r="BJ63" s="65">
        <f t="shared" si="97"/>
        <v>66.782770667262326</v>
      </c>
      <c r="BK63" s="62">
        <f t="shared" si="102"/>
        <v>86.207743153306197</v>
      </c>
      <c r="BL63" s="50">
        <f t="shared" si="99"/>
        <v>57.728239759749052</v>
      </c>
      <c r="BM63" s="62">
        <f t="shared" si="100"/>
        <v>86.103903726460501</v>
      </c>
    </row>
    <row r="64" spans="1:65" x14ac:dyDescent="0.3">
      <c r="A64" t="s">
        <v>231</v>
      </c>
      <c r="B64" s="1">
        <f>(CCOMP+CHF)</f>
        <v>3.4000000000000003E-9</v>
      </c>
      <c r="E64" t="s">
        <v>241</v>
      </c>
      <c r="N64" s="11">
        <v>46</v>
      </c>
      <c r="O64" s="51">
        <f t="shared" si="62"/>
        <v>28.840315031266066</v>
      </c>
      <c r="P64" s="49" t="str">
        <f t="shared" si="50"/>
        <v>27.9103246607183</v>
      </c>
      <c r="Q64" s="18" t="str">
        <f t="shared" si="63"/>
        <v>1+0.0890138170236069i</v>
      </c>
      <c r="R64" s="18">
        <f t="shared" si="64"/>
        <v>1.0039539130961701</v>
      </c>
      <c r="S64" s="18">
        <f t="shared" si="65"/>
        <v>8.8779829287474146E-2</v>
      </c>
      <c r="T64" s="18" t="str">
        <f t="shared" si="51"/>
        <v>1+0.0000797319792099082i</v>
      </c>
      <c r="U64" s="18">
        <f t="shared" si="66"/>
        <v>1.0000000031785943</v>
      </c>
      <c r="V64" s="18">
        <f t="shared" si="67"/>
        <v>7.973197904095112E-5</v>
      </c>
      <c r="W64" s="32" t="str">
        <f t="shared" si="52"/>
        <v>1-0.00105145988295894i</v>
      </c>
      <c r="X64" s="18">
        <f t="shared" si="68"/>
        <v>1.0000005527837899</v>
      </c>
      <c r="Y64" s="18">
        <f t="shared" si="69"/>
        <v>-1.0514594954724372E-3</v>
      </c>
      <c r="Z64" s="32" t="str">
        <f t="shared" si="53"/>
        <v>0.999999982814798+0.000480821723799419i</v>
      </c>
      <c r="AA64" s="18">
        <f t="shared" si="70"/>
        <v>1.0000000984095583</v>
      </c>
      <c r="AB64" s="18">
        <f t="shared" si="71"/>
        <v>4.8082169500879139E-4</v>
      </c>
      <c r="AC64" s="67" t="str">
        <f t="shared" si="72"/>
        <v>27.6873199056548-2.50509515232641i</v>
      </c>
      <c r="AD64" s="65">
        <f t="shared" si="73"/>
        <v>28.881026205202915</v>
      </c>
      <c r="AE64" s="62">
        <f t="shared" si="74"/>
        <v>-5.1699344634147879</v>
      </c>
      <c r="AF64" s="50" t="str">
        <f t="shared" si="54"/>
        <v>79.1527877025864</v>
      </c>
      <c r="AG64" s="50" t="str">
        <f t="shared" si="55"/>
        <v>1+0.088318500047898i</v>
      </c>
      <c r="AH64" s="50">
        <f t="shared" si="75"/>
        <v>1.0038925029358026</v>
      </c>
      <c r="AI64" s="50">
        <f t="shared" si="76"/>
        <v>8.808993606374324E-2</v>
      </c>
      <c r="AJ64" s="50" t="str">
        <f t="shared" si="56"/>
        <v>1+0.0000797319792099082i</v>
      </c>
      <c r="AK64" s="50">
        <f t="shared" si="77"/>
        <v>1.0000000031785943</v>
      </c>
      <c r="AL64" s="50">
        <f t="shared" si="78"/>
        <v>7.973197904095112E-5</v>
      </c>
      <c r="AM64" s="50" t="str">
        <f t="shared" si="57"/>
        <v>1-0.000367862027769799i</v>
      </c>
      <c r="AN64" s="50">
        <f t="shared" si="79"/>
        <v>1.0000000676612335</v>
      </c>
      <c r="AO64" s="50">
        <f t="shared" si="80"/>
        <v>-3.6786201117646741E-4</v>
      </c>
      <c r="AP64" s="59" t="str">
        <f t="shared" si="81"/>
        <v>78.5381657475417-6.95917929190048i</v>
      </c>
      <c r="AQ64" s="50">
        <f t="shared" si="82"/>
        <v>37.935580696559583</v>
      </c>
      <c r="AR64" s="62">
        <f t="shared" si="83"/>
        <v>-5.0636901888220862</v>
      </c>
      <c r="AS64" s="32" t="str">
        <f t="shared" si="58"/>
        <v>-0.0000166666666666667</v>
      </c>
      <c r="AT64" s="32" t="str">
        <f t="shared" si="59"/>
        <v>6.16110748440197E-07i</v>
      </c>
      <c r="AU64" s="32">
        <f t="shared" si="84"/>
        <v>6.1611074844019703E-7</v>
      </c>
      <c r="AV64" s="32">
        <f t="shared" si="85"/>
        <v>1.5707963267948966</v>
      </c>
      <c r="AW64" s="32" t="str">
        <f t="shared" si="60"/>
        <v>1+0.000626130542618984i</v>
      </c>
      <c r="AX64" s="32">
        <f t="shared" si="86"/>
        <v>1.0000001960197089</v>
      </c>
      <c r="AY64" s="32">
        <f t="shared" si="87"/>
        <v>6.2613046079637732E-4</v>
      </c>
      <c r="AZ64" s="32" t="str">
        <f t="shared" si="61"/>
        <v>1+0.0212884384490454i</v>
      </c>
      <c r="BA64" s="32">
        <f t="shared" si="88"/>
        <v>1.0002265731381059</v>
      </c>
      <c r="BB64" s="32">
        <f t="shared" si="89"/>
        <v>2.1285223366754109E-2</v>
      </c>
      <c r="BC64" s="59" t="str">
        <f t="shared" si="90"/>
        <v>-0.558944417549936+27.0517635514047i</v>
      </c>
      <c r="BD64" s="50">
        <f t="shared" si="91"/>
        <v>28.645765348073809</v>
      </c>
      <c r="BE64" s="62">
        <f t="shared" si="92"/>
        <v>91.183678832080034</v>
      </c>
      <c r="BF64" s="59" t="str">
        <f t="shared" si="93"/>
        <v>52.2915688363192+750.391040410699i</v>
      </c>
      <c r="BG64" s="65">
        <f t="shared" si="94"/>
        <v>57.52679155327673</v>
      </c>
      <c r="BH64" s="62">
        <f t="shared" si="95"/>
        <v>86.013744368665257</v>
      </c>
      <c r="BI64" s="59" t="str">
        <f t="shared" si="101"/>
        <v>144.359603407124+2128.48568397947i</v>
      </c>
      <c r="BJ64" s="65">
        <f t="shared" si="97"/>
        <v>66.581346044633406</v>
      </c>
      <c r="BK64" s="62">
        <f t="shared" si="102"/>
        <v>86.119988643257955</v>
      </c>
      <c r="BL64" s="50">
        <f t="shared" si="99"/>
        <v>57.52679155327673</v>
      </c>
      <c r="BM64" s="62">
        <f t="shared" si="100"/>
        <v>86.013744368665257</v>
      </c>
    </row>
    <row r="65" spans="1:65" x14ac:dyDescent="0.3">
      <c r="A65" s="32" t="s">
        <v>232</v>
      </c>
      <c r="B65" s="1">
        <f>(CCOMP+CHF)/(RCOMP*CHF*CCOMP)</f>
        <v>289410.96356826695</v>
      </c>
      <c r="E65" s="32" t="s">
        <v>242</v>
      </c>
      <c r="N65" s="11">
        <v>47</v>
      </c>
      <c r="O65" s="51">
        <f t="shared" si="62"/>
        <v>29.512092266663863</v>
      </c>
      <c r="P65" s="49" t="str">
        <f t="shared" si="50"/>
        <v>27.9103246607183</v>
      </c>
      <c r="Q65" s="18" t="str">
        <f t="shared" si="63"/>
        <v>1+0.0910872151764182i</v>
      </c>
      <c r="R65" s="18">
        <f t="shared" si="64"/>
        <v>1.0041398711178613</v>
      </c>
      <c r="S65" s="18">
        <f t="shared" si="65"/>
        <v>9.0836548594006514E-2</v>
      </c>
      <c r="T65" s="18" t="str">
        <f t="shared" si="51"/>
        <v>1+0.0000815891755861737i</v>
      </c>
      <c r="U65" s="18">
        <f t="shared" si="66"/>
        <v>1.0000000033283967</v>
      </c>
      <c r="V65" s="18">
        <f t="shared" si="67"/>
        <v>8.1589175405132931E-5</v>
      </c>
      <c r="W65" s="32" t="str">
        <f t="shared" si="52"/>
        <v>1-0.00107595152989623i</v>
      </c>
      <c r="X65" s="18">
        <f t="shared" si="68"/>
        <v>1.0000005788356798</v>
      </c>
      <c r="Y65" s="18">
        <f t="shared" si="69"/>
        <v>-1.0759511146969749E-3</v>
      </c>
      <c r="Z65" s="32" t="str">
        <f t="shared" si="53"/>
        <v>0.999999982004884+0.000492021500500298i</v>
      </c>
      <c r="AA65" s="18">
        <f t="shared" si="70"/>
        <v>1.0000001030474575</v>
      </c>
      <c r="AB65" s="18">
        <f t="shared" si="71"/>
        <v>4.9202146965058495E-4</v>
      </c>
      <c r="AC65" s="67" t="str">
        <f t="shared" si="72"/>
        <v>27.6768964971501-2.56249687476573i</v>
      </c>
      <c r="AD65" s="65">
        <f t="shared" si="73"/>
        <v>28.87941769188302</v>
      </c>
      <c r="AE65" s="62">
        <f t="shared" si="74"/>
        <v>-5.2897143560422446</v>
      </c>
      <c r="AF65" s="50" t="str">
        <f t="shared" si="54"/>
        <v>79.1527877025864</v>
      </c>
      <c r="AG65" s="50" t="str">
        <f t="shared" si="55"/>
        <v>1+0.0903757021877614i</v>
      </c>
      <c r="AH65" s="50">
        <f t="shared" si="75"/>
        <v>1.0040755786024929</v>
      </c>
      <c r="AI65" s="50">
        <f t="shared" si="76"/>
        <v>9.0130845124552994E-2</v>
      </c>
      <c r="AJ65" s="50" t="str">
        <f t="shared" si="56"/>
        <v>1+0.0000815891755861737i</v>
      </c>
      <c r="AK65" s="50">
        <f t="shared" si="77"/>
        <v>1.0000000033283967</v>
      </c>
      <c r="AL65" s="50">
        <f t="shared" si="78"/>
        <v>8.1589175405132931E-5</v>
      </c>
      <c r="AM65" s="50" t="str">
        <f t="shared" si="57"/>
        <v>1-0.000376430635143023i</v>
      </c>
      <c r="AN65" s="50">
        <f t="shared" si="79"/>
        <v>1.000000070850009</v>
      </c>
      <c r="AO65" s="50">
        <f t="shared" si="80"/>
        <v>-3.7643061736294795E-4</v>
      </c>
      <c r="AP65" s="59" t="str">
        <f t="shared" si="81"/>
        <v>78.5094341799655-7.11868276583244i</v>
      </c>
      <c r="AQ65" s="50">
        <f t="shared" si="82"/>
        <v>37.933996860699587</v>
      </c>
      <c r="AR65" s="62">
        <f t="shared" si="83"/>
        <v>-5.1810101998338922</v>
      </c>
      <c r="AS65" s="32" t="str">
        <f t="shared" si="58"/>
        <v>-0.0000166666666666667</v>
      </c>
      <c r="AT65" s="32" t="str">
        <f t="shared" si="59"/>
        <v>6.30461811347704E-07i</v>
      </c>
      <c r="AU65" s="32">
        <f t="shared" si="84"/>
        <v>6.3046181134770395E-7</v>
      </c>
      <c r="AV65" s="32">
        <f t="shared" si="85"/>
        <v>1.5707963267948966</v>
      </c>
      <c r="AW65" s="32" t="str">
        <f t="shared" si="60"/>
        <v>1+0.000640714996514952i</v>
      </c>
      <c r="AX65" s="32">
        <f t="shared" si="86"/>
        <v>1.0000002052578323</v>
      </c>
      <c r="AY65" s="32">
        <f t="shared" si="87"/>
        <v>6.4071490884045029E-4</v>
      </c>
      <c r="AZ65" s="32" t="str">
        <f t="shared" si="61"/>
        <v>1+0.0217843098815084i</v>
      </c>
      <c r="BA65" s="32">
        <f t="shared" si="88"/>
        <v>1.0002372499347409</v>
      </c>
      <c r="BB65" s="32">
        <f t="shared" si="89"/>
        <v>2.1780864902896512E-2</v>
      </c>
      <c r="BC65" s="59" t="str">
        <f t="shared" si="90"/>
        <v>-0.558944407222746+26.4360063531601i</v>
      </c>
      <c r="BD65" s="50">
        <f t="shared" si="91"/>
        <v>28.445857983807858</v>
      </c>
      <c r="BE65" s="62">
        <f t="shared" si="92"/>
        <v>91.211241372932918</v>
      </c>
      <c r="BF65" s="59" t="str">
        <f t="shared" si="93"/>
        <v>52.2723371548949+733.098904931091i</v>
      </c>
      <c r="BG65" s="65">
        <f t="shared" si="94"/>
        <v>57.325275675690889</v>
      </c>
      <c r="BH65" s="62">
        <f t="shared" si="95"/>
        <v>85.921527016890693</v>
      </c>
      <c r="BI65" s="59" t="str">
        <f t="shared" si="101"/>
        <v>144.307133674564+2079.45484868333i</v>
      </c>
      <c r="BJ65" s="65">
        <f t="shared" si="97"/>
        <v>66.379854844507463</v>
      </c>
      <c r="BK65" s="62">
        <f t="shared" si="102"/>
        <v>86.030231173099025</v>
      </c>
      <c r="BL65" s="50">
        <f t="shared" si="99"/>
        <v>57.325275675690889</v>
      </c>
      <c r="BM65" s="62">
        <f t="shared" si="100"/>
        <v>85.921527016890693</v>
      </c>
    </row>
    <row r="66" spans="1:65" x14ac:dyDescent="0.3">
      <c r="N66" s="11">
        <v>48</v>
      </c>
      <c r="O66" s="51">
        <f t="shared" si="62"/>
        <v>30.199517204020164</v>
      </c>
      <c r="P66" s="49" t="str">
        <f t="shared" si="50"/>
        <v>27.9103246607183</v>
      </c>
      <c r="Q66" s="18" t="str">
        <f t="shared" si="63"/>
        <v>1+0.0932089089763979i</v>
      </c>
      <c r="R66" s="18">
        <f t="shared" si="64"/>
        <v>1.0043345561676997</v>
      </c>
      <c r="S66" s="18">
        <f t="shared" si="65"/>
        <v>9.2940377462193705E-2</v>
      </c>
      <c r="T66" s="18" t="str">
        <f t="shared" si="51"/>
        <v>1+0.0000834896316232956i</v>
      </c>
      <c r="U66" s="18">
        <f t="shared" si="66"/>
        <v>1.0000000034852592</v>
      </c>
      <c r="V66" s="18">
        <f t="shared" si="67"/>
        <v>8.3489631429306926E-5</v>
      </c>
      <c r="W66" s="32" t="str">
        <f t="shared" si="52"/>
        <v>1-0.00110101366057657i</v>
      </c>
      <c r="X66" s="18">
        <f t="shared" si="68"/>
        <v>1.0000006061153568</v>
      </c>
      <c r="Y66" s="18">
        <f t="shared" si="69"/>
        <v>-1.1010132156825672E-3</v>
      </c>
      <c r="Z66" s="32" t="str">
        <f t="shared" si="53"/>
        <v>0.999999981156801+0.000503482153513416i</v>
      </c>
      <c r="AA66" s="18">
        <f t="shared" si="70"/>
        <v>1.0000001079039347</v>
      </c>
      <c r="AB66" s="18">
        <f t="shared" si="71"/>
        <v>5.0348212045735294E-4</v>
      </c>
      <c r="AC66" s="67" t="str">
        <f t="shared" si="72"/>
        <v>27.6659901202818-2.62116852282205i</v>
      </c>
      <c r="AD66" s="65">
        <f t="shared" si="73"/>
        <v>28.877734010098926</v>
      </c>
      <c r="AE66" s="62">
        <f t="shared" si="74"/>
        <v>-5.4122385824317352</v>
      </c>
      <c r="AF66" s="50" t="str">
        <f t="shared" si="54"/>
        <v>79.1527877025864</v>
      </c>
      <c r="AG66" s="50" t="str">
        <f t="shared" si="55"/>
        <v>1+0.0924808227211887i</v>
      </c>
      <c r="AH66" s="50">
        <f t="shared" si="75"/>
        <v>1.0042672465888689</v>
      </c>
      <c r="AI66" s="50">
        <f t="shared" si="76"/>
        <v>9.2218513824418466E-2</v>
      </c>
      <c r="AJ66" s="50" t="str">
        <f t="shared" si="56"/>
        <v>1+0.0000834896316232956i</v>
      </c>
      <c r="AK66" s="50">
        <f t="shared" si="77"/>
        <v>1.0000000034852592</v>
      </c>
      <c r="AL66" s="50">
        <f t="shared" si="78"/>
        <v>8.3489631429306926E-5</v>
      </c>
      <c r="AM66" s="50" t="str">
        <f t="shared" si="57"/>
        <v>1-0.000385198831021649i</v>
      </c>
      <c r="AN66" s="50">
        <f t="shared" si="79"/>
        <v>1.0000000741890669</v>
      </c>
      <c r="AO66" s="50">
        <f t="shared" si="80"/>
        <v>-3.8519881196995542E-4</v>
      </c>
      <c r="AP66" s="59" t="str">
        <f t="shared" si="81"/>
        <v>78.4793709841331-7.28171791946191i</v>
      </c>
      <c r="AQ66" s="50">
        <f t="shared" si="82"/>
        <v>37.932338999831259</v>
      </c>
      <c r="AR66" s="62">
        <f t="shared" si="83"/>
        <v>-5.3010182977933447</v>
      </c>
      <c r="AS66" s="32" t="str">
        <f t="shared" si="58"/>
        <v>-0.0000166666666666667</v>
      </c>
      <c r="AT66" s="32" t="str">
        <f t="shared" si="59"/>
        <v>6.45147153452737E-07i</v>
      </c>
      <c r="AU66" s="32">
        <f t="shared" si="84"/>
        <v>6.4514715345273702E-7</v>
      </c>
      <c r="AV66" s="32">
        <f t="shared" si="85"/>
        <v>1.5707963267948966</v>
      </c>
      <c r="AW66" s="32" t="str">
        <f t="shared" si="60"/>
        <v>1+0.000655639165982938i</v>
      </c>
      <c r="AX66" s="32">
        <f t="shared" si="86"/>
        <v>1.0000002149313347</v>
      </c>
      <c r="AY66" s="32">
        <f t="shared" si="87"/>
        <v>6.5563907203801798E-4</v>
      </c>
      <c r="AZ66" s="32" t="str">
        <f t="shared" si="61"/>
        <v>1+0.0222917316434199i</v>
      </c>
      <c r="BA66" s="32">
        <f t="shared" si="88"/>
        <v>1.0002484297911505</v>
      </c>
      <c r="BB66" s="32">
        <f t="shared" si="89"/>
        <v>2.2288040331845563E-2</v>
      </c>
      <c r="BC66" s="59" t="str">
        <f t="shared" si="90"/>
        <v>-0.558944396408846+25.8342658754052i</v>
      </c>
      <c r="BD66" s="50">
        <f t="shared" si="91"/>
        <v>28.245954983208108</v>
      </c>
      <c r="BE66" s="62">
        <f t="shared" si="92"/>
        <v>91.23944529292045</v>
      </c>
      <c r="BF66" s="59" t="str">
        <f t="shared" si="93"/>
        <v>52.2522143739939+716.195631931568i</v>
      </c>
      <c r="BG66" s="65">
        <f t="shared" si="94"/>
        <v>57.123688993307027</v>
      </c>
      <c r="BH66" s="62">
        <f t="shared" si="95"/>
        <v>85.827206710488724</v>
      </c>
      <c r="BI66" s="59" t="str">
        <f t="shared" si="101"/>
        <v>144.252232115809+2031.52701116597i</v>
      </c>
      <c r="BJ66" s="65">
        <f t="shared" si="97"/>
        <v>66.178293983039381</v>
      </c>
      <c r="BK66" s="62">
        <f t="shared" si="102"/>
        <v>85.938426995127116</v>
      </c>
      <c r="BL66" s="50">
        <f t="shared" si="99"/>
        <v>57.123688993307027</v>
      </c>
      <c r="BM66" s="62">
        <f t="shared" si="100"/>
        <v>85.827206710488724</v>
      </c>
    </row>
    <row r="67" spans="1:65" x14ac:dyDescent="0.3">
      <c r="N67" s="11">
        <v>49</v>
      </c>
      <c r="O67" s="51">
        <f t="shared" si="62"/>
        <v>30.902954325135919</v>
      </c>
      <c r="P67" s="49" t="str">
        <f t="shared" si="50"/>
        <v>27.9103246607183</v>
      </c>
      <c r="Q67" s="18" t="str">
        <f t="shared" si="63"/>
        <v>1+0.0953800233736826i</v>
      </c>
      <c r="R67" s="18">
        <f t="shared" si="64"/>
        <v>1.0045383760010187</v>
      </c>
      <c r="S67" s="18">
        <f t="shared" si="65"/>
        <v>9.5092356834815386E-2</v>
      </c>
      <c r="T67" s="18" t="str">
        <f t="shared" si="51"/>
        <v>1+0.0000854343549682199i</v>
      </c>
      <c r="U67" s="18">
        <f t="shared" si="66"/>
        <v>1.0000000036495145</v>
      </c>
      <c r="V67" s="18">
        <f t="shared" si="67"/>
        <v>8.543435476035729E-5</v>
      </c>
      <c r="W67" s="32" t="str">
        <f t="shared" si="52"/>
        <v>1-0.00112665956327338i</v>
      </c>
      <c r="X67" s="18">
        <f t="shared" si="68"/>
        <v>1.0000006346806842</v>
      </c>
      <c r="Y67" s="18">
        <f t="shared" si="69"/>
        <v>-1.1266590865608834E-3</v>
      </c>
      <c r="Z67" s="32" t="str">
        <f t="shared" si="53"/>
        <v>0.999999980268748+0.000515209759428701i</v>
      </c>
      <c r="AA67" s="18">
        <f t="shared" si="70"/>
        <v>1.0000001129892899</v>
      </c>
      <c r="AB67" s="18">
        <f t="shared" si="71"/>
        <v>5.1520972400849159E-4</v>
      </c>
      <c r="AC67" s="67" t="str">
        <f t="shared" si="72"/>
        <v>27.6545788009441-2.68113496868021i</v>
      </c>
      <c r="AD67" s="65">
        <f t="shared" si="73"/>
        <v>28.875971678321854</v>
      </c>
      <c r="AE67" s="62">
        <f t="shared" si="74"/>
        <v>-5.5375678359935261</v>
      </c>
      <c r="AF67" s="50" t="str">
        <f t="shared" si="54"/>
        <v>79.1527877025864</v>
      </c>
      <c r="AG67" s="50" t="str">
        <f t="shared" si="55"/>
        <v>1+0.0946349778109511i</v>
      </c>
      <c r="AH67" s="50">
        <f t="shared" si="75"/>
        <v>1.0044679084098602</v>
      </c>
      <c r="AI67" s="50">
        <f t="shared" si="76"/>
        <v>9.4353976242183002E-2</v>
      </c>
      <c r="AJ67" s="50" t="str">
        <f t="shared" si="56"/>
        <v>1+0.0000854343549682199i</v>
      </c>
      <c r="AK67" s="50">
        <f t="shared" si="77"/>
        <v>1.0000000036495145</v>
      </c>
      <c r="AL67" s="50">
        <f t="shared" si="78"/>
        <v>8.543435476035729E-5</v>
      </c>
      <c r="AM67" s="50" t="str">
        <f t="shared" si="57"/>
        <v>1-0.000394171264419191i</v>
      </c>
      <c r="AN67" s="50">
        <f t="shared" si="79"/>
        <v>1.0000000776854898</v>
      </c>
      <c r="AO67" s="50">
        <f t="shared" si="80"/>
        <v>-3.9417124400493357E-4</v>
      </c>
      <c r="AP67" s="59" t="str">
        <f t="shared" si="81"/>
        <v>78.4479155399664-7.44835413348981i</v>
      </c>
      <c r="AQ67" s="50">
        <f t="shared" si="82"/>
        <v>37.930603684453288</v>
      </c>
      <c r="AR67" s="62">
        <f t="shared" si="83"/>
        <v>-5.4237739396884352</v>
      </c>
      <c r="AS67" s="32" t="str">
        <f t="shared" si="58"/>
        <v>-0.0000166666666666667</v>
      </c>
      <c r="AT67" s="32" t="str">
        <f t="shared" si="59"/>
        <v>6.60174561118062E-07i</v>
      </c>
      <c r="AU67" s="32">
        <f t="shared" si="84"/>
        <v>6.6017456111806198E-7</v>
      </c>
      <c r="AV67" s="32">
        <f t="shared" si="85"/>
        <v>1.5707963267948966</v>
      </c>
      <c r="AW67" s="32" t="str">
        <f t="shared" si="60"/>
        <v>1+0.000670910964015138i</v>
      </c>
      <c r="AX67" s="32">
        <f t="shared" si="86"/>
        <v>1.0000002250607354</v>
      </c>
      <c r="AY67" s="32">
        <f t="shared" si="87"/>
        <v>6.7091086335134391E-4</v>
      </c>
      <c r="AZ67" s="32" t="str">
        <f t="shared" si="61"/>
        <v>1+0.0228109727765147i</v>
      </c>
      <c r="BA67" s="32">
        <f t="shared" si="88"/>
        <v>1.0002601364040311</v>
      </c>
      <c r="BB67" s="32">
        <f t="shared" si="89"/>
        <v>2.2807017520455438E-2</v>
      </c>
      <c r="BC67" s="59" t="str">
        <f t="shared" si="90"/>
        <v>-0.558944385085304+25.2462230673737i</v>
      </c>
      <c r="BD67" s="50">
        <f t="shared" si="91"/>
        <v>28.046056551723243</v>
      </c>
      <c r="BE67" s="62">
        <f t="shared" si="92"/>
        <v>91.268305486303504</v>
      </c>
      <c r="BF67" s="59" t="str">
        <f t="shared" si="93"/>
        <v>52.2311599503498+699.672270579298i</v>
      </c>
      <c r="BG67" s="65">
        <f t="shared" si="94"/>
        <v>56.9220282300451</v>
      </c>
      <c r="BH67" s="62">
        <f t="shared" si="95"/>
        <v>85.73073765030999</v>
      </c>
      <c r="BI67" s="59" t="str">
        <f t="shared" si="101"/>
        <v>144.194788026168+1984.67679061352i</v>
      </c>
      <c r="BJ67" s="65">
        <f t="shared" si="97"/>
        <v>65.976660236176514</v>
      </c>
      <c r="BK67" s="62">
        <f t="shared" si="102"/>
        <v>85.844531546615087</v>
      </c>
      <c r="BL67" s="50">
        <f t="shared" si="99"/>
        <v>56.9220282300451</v>
      </c>
      <c r="BM67" s="62">
        <f t="shared" si="100"/>
        <v>85.73073765030999</v>
      </c>
    </row>
    <row r="68" spans="1:65" x14ac:dyDescent="0.3">
      <c r="N68" s="11">
        <v>50</v>
      </c>
      <c r="O68" s="51">
        <f t="shared" si="62"/>
        <v>31.622776601683803</v>
      </c>
      <c r="P68" s="49" t="str">
        <f t="shared" si="50"/>
        <v>27.9103246607183</v>
      </c>
      <c r="Q68" s="18" t="str">
        <f t="shared" si="63"/>
        <v>1+0.0976017095218638i</v>
      </c>
      <c r="R68" s="18">
        <f t="shared" si="64"/>
        <v>1.0047517572523026</v>
      </c>
      <c r="S68" s="18">
        <f t="shared" si="65"/>
        <v>9.7293547949070372E-2</v>
      </c>
      <c r="T68" s="18" t="str">
        <f t="shared" si="51"/>
        <v>1+0.0000874243767390058i</v>
      </c>
      <c r="U68" s="18">
        <f t="shared" si="66"/>
        <v>1.0000000038215107</v>
      </c>
      <c r="V68" s="18">
        <f t="shared" si="67"/>
        <v>8.7424376516277E-5</v>
      </c>
      <c r="W68" s="32" t="str">
        <f t="shared" si="52"/>
        <v>1-0.00115290283578374i</v>
      </c>
      <c r="X68" s="18">
        <f t="shared" si="68"/>
        <v>1.0000006645922535</v>
      </c>
      <c r="Y68" s="18">
        <f t="shared" si="69"/>
        <v>-1.1529023249771152E-3</v>
      </c>
      <c r="Z68" s="32" t="str">
        <f t="shared" si="53"/>
        <v>0.999999979338843+0.000527210536378042i</v>
      </c>
      <c r="AA68" s="18">
        <f t="shared" si="70"/>
        <v>1.000000118314311</v>
      </c>
      <c r="AB68" s="18">
        <f t="shared" si="71"/>
        <v>5.2721049842460385E-4</v>
      </c>
      <c r="AC68" s="67" t="str">
        <f t="shared" si="72"/>
        <v>27.6426396038557-2.74242133832886i</v>
      </c>
      <c r="AD68" s="65">
        <f t="shared" si="73"/>
        <v>28.874127056754229</v>
      </c>
      <c r="AE68" s="62">
        <f t="shared" si="74"/>
        <v>-5.6657639974212097</v>
      </c>
      <c r="AF68" s="50" t="str">
        <f t="shared" si="54"/>
        <v>79.1527877025864</v>
      </c>
      <c r="AG68" s="50" t="str">
        <f t="shared" si="55"/>
        <v>1+0.0968393096185908i</v>
      </c>
      <c r="AH68" s="50">
        <f t="shared" si="75"/>
        <v>1.0046779841757285</v>
      </c>
      <c r="AI68" s="50">
        <f t="shared" si="76"/>
        <v>9.6538286680226681E-2</v>
      </c>
      <c r="AJ68" s="50" t="str">
        <f t="shared" si="56"/>
        <v>1+0.0000874243767390058i</v>
      </c>
      <c r="AK68" s="50">
        <f t="shared" si="77"/>
        <v>1.0000000038215107</v>
      </c>
      <c r="AL68" s="50">
        <f t="shared" si="78"/>
        <v>8.7424376516277E-5</v>
      </c>
      <c r="AM68" s="50" t="str">
        <f t="shared" si="57"/>
        <v>1-0.000403352692638602i</v>
      </c>
      <c r="AN68" s="50">
        <f t="shared" si="79"/>
        <v>1.000000081346694</v>
      </c>
      <c r="AO68" s="50">
        <f t="shared" si="80"/>
        <v>-4.0335267076433123E-4</v>
      </c>
      <c r="AP68" s="59" t="str">
        <f t="shared" si="81"/>
        <v>78.4150045725584-7.61866151346284i</v>
      </c>
      <c r="AQ68" s="50">
        <f t="shared" si="82"/>
        <v>37.928787329071284</v>
      </c>
      <c r="AR68" s="62">
        <f t="shared" si="83"/>
        <v>-5.5493377460901856</v>
      </c>
      <c r="AS68" s="32" t="str">
        <f t="shared" si="58"/>
        <v>-0.0000166666666666667</v>
      </c>
      <c r="AT68" s="32" t="str">
        <f t="shared" si="59"/>
        <v>6.75552002074135E-07i</v>
      </c>
      <c r="AU68" s="32">
        <f t="shared" si="84"/>
        <v>6.7555200207413496E-7</v>
      </c>
      <c r="AV68" s="32">
        <f t="shared" si="85"/>
        <v>1.5707963267948966</v>
      </c>
      <c r="AW68" s="32" t="str">
        <f t="shared" si="60"/>
        <v>1+0.000686538487921015i</v>
      </c>
      <c r="AX68" s="32">
        <f t="shared" si="86"/>
        <v>1.0000002356675199</v>
      </c>
      <c r="AY68" s="32">
        <f t="shared" si="87"/>
        <v>6.8653838005781757E-4</v>
      </c>
      <c r="AZ68" s="32" t="str">
        <f t="shared" si="61"/>
        <v>1+0.0233423085893145i</v>
      </c>
      <c r="BA68" s="32">
        <f t="shared" si="88"/>
        <v>1.0002723945857341</v>
      </c>
      <c r="BB68" s="32">
        <f t="shared" si="89"/>
        <v>2.3338070518420649E-2</v>
      </c>
      <c r="BC68" s="59" t="str">
        <f t="shared" si="90"/>
        <v>-0.558944373228101+24.6715661409852i</v>
      </c>
      <c r="BD68" s="50">
        <f t="shared" si="91"/>
        <v>27.846162904464776</v>
      </c>
      <c r="BE68" s="62">
        <f t="shared" si="92"/>
        <v>91.297837191033125</v>
      </c>
      <c r="BF68" s="59" t="str">
        <f t="shared" si="93"/>
        <v>52.2091315672822+683.520072274022i</v>
      </c>
      <c r="BG68" s="65">
        <f t="shared" si="94"/>
        <v>56.720289961219009</v>
      </c>
      <c r="BH68" s="62">
        <f t="shared" si="95"/>
        <v>85.632073193611916</v>
      </c>
      <c r="BI68" s="59" t="str">
        <f t="shared" si="101"/>
        <v>144.13468585269+1938.87937974201i</v>
      </c>
      <c r="BJ68" s="65">
        <f t="shared" si="97"/>
        <v>65.77495023353606</v>
      </c>
      <c r="BK68" s="62">
        <f t="shared" si="102"/>
        <v>85.748499444942937</v>
      </c>
      <c r="BL68" s="50">
        <f t="shared" si="99"/>
        <v>56.720289961219009</v>
      </c>
      <c r="BM68" s="62">
        <f t="shared" si="100"/>
        <v>85.632073193611916</v>
      </c>
    </row>
    <row r="69" spans="1:65" x14ac:dyDescent="0.3">
      <c r="A69" s="69" t="s">
        <v>457</v>
      </c>
      <c r="N69" s="11">
        <v>51</v>
      </c>
      <c r="O69" s="51">
        <f t="shared" si="62"/>
        <v>32.359365692962832</v>
      </c>
      <c r="P69" s="49" t="str">
        <f t="shared" si="50"/>
        <v>27.9103246607183</v>
      </c>
      <c r="Q69" s="18" t="str">
        <f t="shared" si="63"/>
        <v>1+0.0998751453883449i</v>
      </c>
      <c r="R69" s="18">
        <f t="shared" si="64"/>
        <v>1.004975146292854</v>
      </c>
      <c r="S69" s="18">
        <f t="shared" si="65"/>
        <v>9.9545032536240002E-2</v>
      </c>
      <c r="T69" s="18" t="str">
        <f t="shared" si="51"/>
        <v>1+0.0000894607520715371i</v>
      </c>
      <c r="U69" s="18">
        <f t="shared" si="66"/>
        <v>1.000000004001613</v>
      </c>
      <c r="V69" s="18">
        <f t="shared" si="67"/>
        <v>8.9460751832878886E-5</v>
      </c>
      <c r="W69" s="32" t="str">
        <f t="shared" si="52"/>
        <v>1-0.00117975739263811i</v>
      </c>
      <c r="X69" s="18">
        <f t="shared" si="68"/>
        <v>1.0000006959135106</v>
      </c>
      <c r="Y69" s="18">
        <f t="shared" si="69"/>
        <v>-1.1797568452989707E-3</v>
      </c>
      <c r="Z69" s="32" t="str">
        <f t="shared" si="53"/>
        <v>0.999999978365113+0.000539490847332228i</v>
      </c>
      <c r="AA69" s="18">
        <f t="shared" si="70"/>
        <v>1.0000001238902927</v>
      </c>
      <c r="AB69" s="18">
        <f t="shared" si="71"/>
        <v>5.3949080666438655E-4</v>
      </c>
      <c r="AC69" s="67" t="str">
        <f t="shared" si="72"/>
        <v>27.6301485942166-2.805052995524i</v>
      </c>
      <c r="AD69" s="65">
        <f t="shared" si="73"/>
        <v>28.8721963404194</v>
      </c>
      <c r="AE69" s="62">
        <f t="shared" si="74"/>
        <v>-5.7968901467022089</v>
      </c>
      <c r="AF69" s="50" t="str">
        <f t="shared" si="54"/>
        <v>79.1527877025864</v>
      </c>
      <c r="AG69" s="50" t="str">
        <f t="shared" si="55"/>
        <v>1+0.0990949869100101i</v>
      </c>
      <c r="AH69" s="50">
        <f t="shared" si="75"/>
        <v>1.0048979134373277</v>
      </c>
      <c r="AI69" s="50">
        <f t="shared" si="76"/>
        <v>9.8772519868481595E-2</v>
      </c>
      <c r="AJ69" s="50" t="str">
        <f t="shared" si="56"/>
        <v>1+0.0000894607520715371i</v>
      </c>
      <c r="AK69" s="50">
        <f t="shared" si="77"/>
        <v>1.000000004001613</v>
      </c>
      <c r="AL69" s="50">
        <f t="shared" si="78"/>
        <v>8.9460751832878886E-5</v>
      </c>
      <c r="AM69" s="50" t="str">
        <f t="shared" si="57"/>
        <v>1-0.000412747983794654i</v>
      </c>
      <c r="AN69" s="50">
        <f t="shared" si="79"/>
        <v>1.0000000851804454</v>
      </c>
      <c r="AO69" s="50">
        <f t="shared" si="80"/>
        <v>-4.1274796035595067E-4</v>
      </c>
      <c r="AP69" s="59" t="str">
        <f t="shared" si="81"/>
        <v>78.3805720459543-7.79271084651248i</v>
      </c>
      <c r="AQ69" s="50">
        <f t="shared" si="82"/>
        <v>37.92688618537872</v>
      </c>
      <c r="AR69" s="62">
        <f t="shared" si="83"/>
        <v>-5.677771512955001</v>
      </c>
      <c r="AS69" s="32" t="str">
        <f t="shared" si="58"/>
        <v>-0.0000166666666666667</v>
      </c>
      <c r="AT69" s="32" t="str">
        <f t="shared" si="59"/>
        <v>6.91287629643696E-07i</v>
      </c>
      <c r="AU69" s="32">
        <f t="shared" si="84"/>
        <v>6.9128762964369598E-7</v>
      </c>
      <c r="AV69" s="32">
        <f t="shared" si="85"/>
        <v>1.5707963267948966</v>
      </c>
      <c r="AW69" s="32" t="str">
        <f t="shared" si="60"/>
        <v>1+0.000702530023620599i</v>
      </c>
      <c r="AX69" s="32">
        <f t="shared" si="86"/>
        <v>1.0000002467741866</v>
      </c>
      <c r="AY69" s="32">
        <f t="shared" si="87"/>
        <v>7.0252990804310221E-4</v>
      </c>
      <c r="AZ69" s="32" t="str">
        <f t="shared" si="61"/>
        <v>1+0.0238860208031004i</v>
      </c>
      <c r="BA69" s="32">
        <f t="shared" si="88"/>
        <v>1.0002852303167362</v>
      </c>
      <c r="BB69" s="32">
        <f t="shared" si="89"/>
        <v>2.3881479698254479E-2</v>
      </c>
      <c r="BC69" s="59" t="str">
        <f t="shared" si="90"/>
        <v>-0.558944360812088+24.1099904055306i</v>
      </c>
      <c r="BD69" s="50">
        <f t="shared" si="91"/>
        <v>27.64627426666037</v>
      </c>
      <c r="BE69" s="62">
        <f t="shared" si="92"/>
        <v>91.328055996524753</v>
      </c>
      <c r="BF69" s="59" t="str">
        <f t="shared" si="93"/>
        <v>52.1860850639511+667.730486063574i</v>
      </c>
      <c r="BG69" s="65">
        <f t="shared" si="94"/>
        <v>56.518470607079763</v>
      </c>
      <c r="BH69" s="62">
        <f t="shared" si="95"/>
        <v>85.531165849822543</v>
      </c>
      <c r="BI69" s="59" t="str">
        <f t="shared" si="101"/>
        <v>144.071805000178+1894.11053179106i</v>
      </c>
      <c r="BJ69" s="65">
        <f t="shared" si="97"/>
        <v>65.573160452039104</v>
      </c>
      <c r="BK69" s="62">
        <f t="shared" si="102"/>
        <v>85.650284483569791</v>
      </c>
      <c r="BL69" s="50">
        <f t="shared" si="99"/>
        <v>56.518470607079763</v>
      </c>
      <c r="BM69" s="62">
        <f t="shared" si="100"/>
        <v>85.531165849822543</v>
      </c>
    </row>
    <row r="70" spans="1:65" x14ac:dyDescent="0.3">
      <c r="A70" t="s">
        <v>480</v>
      </c>
      <c r="B70">
        <f>SQRT((2*IOUT*Lm*Fsw*(VOUT-VIN_var)/(VIN_var^2)))</f>
        <v>1.7864372434237252</v>
      </c>
      <c r="E70" s="47"/>
      <c r="N70" s="11">
        <v>52</v>
      </c>
      <c r="O70" s="51">
        <f t="shared" si="62"/>
        <v>33.113112148259127</v>
      </c>
      <c r="P70" s="49" t="str">
        <f t="shared" si="50"/>
        <v>27.9103246607183</v>
      </c>
      <c r="Q70" s="18" t="str">
        <f t="shared" si="63"/>
        <v>1+0.102201536378915i</v>
      </c>
      <c r="R70" s="18">
        <f t="shared" si="64"/>
        <v>1.0052090101258597</v>
      </c>
      <c r="S70" s="18">
        <f t="shared" si="65"/>
        <v>0.10184791300761921</v>
      </c>
      <c r="T70" s="18" t="str">
        <f t="shared" si="51"/>
        <v>1+0.0000915445606789702i</v>
      </c>
      <c r="U70" s="18">
        <f t="shared" si="66"/>
        <v>1.0000000041902033</v>
      </c>
      <c r="V70" s="18">
        <f t="shared" si="67"/>
        <v>9.1544560423243324E-5</v>
      </c>
      <c r="W70" s="32" t="str">
        <f t="shared" si="52"/>
        <v>1-0.001207237472478i</v>
      </c>
      <c r="X70" s="18">
        <f t="shared" si="68"/>
        <v>1.0000007287108921</v>
      </c>
      <c r="Y70" s="18">
        <f t="shared" si="69"/>
        <v>-1.2072368859935689E-3</v>
      </c>
      <c r="Z70" s="32" t="str">
        <f t="shared" si="53"/>
        <v>0.999999977345492+0.000552057203474677i</v>
      </c>
      <c r="AA70" s="18">
        <f t="shared" si="70"/>
        <v>1.0000001297290617</v>
      </c>
      <c r="AB70" s="18">
        <f t="shared" si="71"/>
        <v>5.5205715989830012E-4</v>
      </c>
      <c r="AC70" s="67" t="str">
        <f t="shared" si="72"/>
        <v>27.6170807981973-2.86905552396692i</v>
      </c>
      <c r="AD70" s="65">
        <f t="shared" si="73"/>
        <v>28.870175551977294</v>
      </c>
      <c r="AE70" s="62">
        <f t="shared" si="74"/>
        <v>-5.9310105743546071</v>
      </c>
      <c r="AF70" s="50" t="str">
        <f t="shared" si="54"/>
        <v>79.1527877025864</v>
      </c>
      <c r="AG70" s="50" t="str">
        <f t="shared" si="55"/>
        <v>1+0.101403205675167i</v>
      </c>
      <c r="AH70" s="50">
        <f t="shared" si="75"/>
        <v>1.0051281560682699</v>
      </c>
      <c r="AI70" s="50">
        <f t="shared" si="76"/>
        <v>0.10105777115520362</v>
      </c>
      <c r="AJ70" s="50" t="str">
        <f t="shared" si="56"/>
        <v>1+0.0000915445606789702i</v>
      </c>
      <c r="AK70" s="50">
        <f t="shared" si="77"/>
        <v>1.0000000041902033</v>
      </c>
      <c r="AL70" s="50">
        <f t="shared" si="78"/>
        <v>9.1544560423243324E-5</v>
      </c>
      <c r="AM70" s="50" t="str">
        <f t="shared" si="57"/>
        <v>1-0.000422362119395081i</v>
      </c>
      <c r="AN70" s="50">
        <f t="shared" si="79"/>
        <v>1.0000000891948759</v>
      </c>
      <c r="AO70" s="50">
        <f t="shared" si="80"/>
        <v>-4.2236209428005801E-4</v>
      </c>
      <c r="AP70" s="59" t="str">
        <f t="shared" si="81"/>
        <v>78.3445490536601-7.97057355320985i</v>
      </c>
      <c r="AQ70" s="50">
        <f t="shared" si="82"/>
        <v>37.924896335165876</v>
      </c>
      <c r="AR70" s="62">
        <f t="shared" si="83"/>
        <v>-5.8091382226709998</v>
      </c>
      <c r="AS70" s="32" t="str">
        <f t="shared" si="58"/>
        <v>-0.0000166666666666667</v>
      </c>
      <c r="AT70" s="32" t="str">
        <f t="shared" si="59"/>
        <v>7.07389787064768E-07i</v>
      </c>
      <c r="AU70" s="32">
        <f t="shared" si="84"/>
        <v>7.0738978706476796E-7</v>
      </c>
      <c r="AV70" s="32">
        <f t="shared" si="85"/>
        <v>1.5707963267948966</v>
      </c>
      <c r="AW70" s="32" t="str">
        <f t="shared" si="60"/>
        <v>1+0.000718894050037794i</v>
      </c>
      <c r="AX70" s="32">
        <f t="shared" si="86"/>
        <v>1.0000002584042942</v>
      </c>
      <c r="AY70" s="32">
        <f t="shared" si="87"/>
        <v>7.1889392619427662E-4</v>
      </c>
      <c r="AZ70" s="32" t="str">
        <f t="shared" si="61"/>
        <v>1+0.024442397701285i</v>
      </c>
      <c r="BA70" s="32">
        <f t="shared" si="88"/>
        <v>1.0002986708005703</v>
      </c>
      <c r="BB70" s="32">
        <f t="shared" si="89"/>
        <v>2.4437531898239565E-2</v>
      </c>
      <c r="BC70" s="59" t="str">
        <f t="shared" si="90"/>
        <v>-0.558944347810926+23.5611981061215i</v>
      </c>
      <c r="BD70" s="50">
        <f t="shared" si="91"/>
        <v>27.446390874128678</v>
      </c>
      <c r="BE70" s="62">
        <f t="shared" si="92"/>
        <v>91.358977851596933</v>
      </c>
      <c r="BF70" s="59" t="str">
        <f t="shared" si="93"/>
        <v>52.1619743624568+652.295154167768i</v>
      </c>
      <c r="BG70" s="65">
        <f t="shared" si="94"/>
        <v>56.316566426105979</v>
      </c>
      <c r="BH70" s="62">
        <f t="shared" si="95"/>
        <v>85.427967277242331</v>
      </c>
      <c r="BI70" s="59" t="str">
        <f t="shared" si="101"/>
        <v>144.006019631251+1850.34654782442i</v>
      </c>
      <c r="BJ70" s="65">
        <f t="shared" si="97"/>
        <v>65.371287209294564</v>
      </c>
      <c r="BK70" s="62">
        <f t="shared" si="102"/>
        <v>85.549839628925952</v>
      </c>
      <c r="BL70" s="50">
        <f t="shared" si="99"/>
        <v>56.316566426105979</v>
      </c>
      <c r="BM70" s="62">
        <f t="shared" si="100"/>
        <v>85.427967277242331</v>
      </c>
    </row>
    <row r="71" spans="1:65" x14ac:dyDescent="0.3">
      <c r="A71" s="32" t="s">
        <v>459</v>
      </c>
      <c r="B71" s="32">
        <f>(Fsw*Gcomp)/((R_cs*Acs*(VIN_var/Lm))+((R_sl+Rsl_int)*Isl))</f>
        <v>7.6592472597718864</v>
      </c>
      <c r="C71" s="32" t="s">
        <v>150</v>
      </c>
      <c r="E71" s="193"/>
      <c r="N71" s="11">
        <v>53</v>
      </c>
      <c r="O71" s="51">
        <f t="shared" si="62"/>
        <v>33.884415613920268</v>
      </c>
      <c r="P71" s="49" t="str">
        <f t="shared" si="50"/>
        <v>27.9103246607183</v>
      </c>
      <c r="Q71" s="18" t="str">
        <f t="shared" si="63"/>
        <v>1+0.10458211597687i</v>
      </c>
      <c r="R71" s="18">
        <f t="shared" si="64"/>
        <v>1.0054538373203414</v>
      </c>
      <c r="S71" s="18">
        <f t="shared" si="65"/>
        <v>0.10420331262521547</v>
      </c>
      <c r="T71" s="18" t="str">
        <f t="shared" si="51"/>
        <v>1+0.0000936769074242101i</v>
      </c>
      <c r="U71" s="18">
        <f t="shared" si="66"/>
        <v>1.0000000043876813</v>
      </c>
      <c r="V71" s="18">
        <f t="shared" si="67"/>
        <v>9.3676907150193819E-5</v>
      </c>
      <c r="W71" s="32" t="str">
        <f t="shared" si="52"/>
        <v>1-0.00123535764560546i</v>
      </c>
      <c r="X71" s="18">
        <f t="shared" si="68"/>
        <v>1.0000007630539651</v>
      </c>
      <c r="Y71" s="18">
        <f t="shared" si="69"/>
        <v>-1.2353570171760957E-3</v>
      </c>
      <c r="Z71" s="32" t="str">
        <f t="shared" si="53"/>
        <v>0.999999976277818+0.000564916267653745i</v>
      </c>
      <c r="AA71" s="18">
        <f t="shared" si="70"/>
        <v>1.0000001358430037</v>
      </c>
      <c r="AB71" s="18">
        <f t="shared" si="71"/>
        <v>5.6491622096081632E-4</v>
      </c>
      <c r="AC71" s="67" t="str">
        <f t="shared" si="72"/>
        <v>27.603410162261-2.93445470757244i</v>
      </c>
      <c r="AD71" s="65">
        <f t="shared" si="73"/>
        <v>28.868060534257328</v>
      </c>
      <c r="AE71" s="62">
        <f t="shared" si="74"/>
        <v>-6.0681907918052111</v>
      </c>
      <c r="AF71" s="50" t="str">
        <f t="shared" si="54"/>
        <v>79.1527877025864</v>
      </c>
      <c r="AG71" s="50" t="str">
        <f t="shared" si="55"/>
        <v>1+0.103765189762202i</v>
      </c>
      <c r="AH71" s="50">
        <f t="shared" si="75"/>
        <v>1.0053691931854614</v>
      </c>
      <c r="AI71" s="50">
        <f t="shared" si="76"/>
        <v>0.10339515668303156</v>
      </c>
      <c r="AJ71" s="50" t="str">
        <f t="shared" si="56"/>
        <v>1+0.0000936769074242101i</v>
      </c>
      <c r="AK71" s="50">
        <f t="shared" si="77"/>
        <v>1.0000000043876813</v>
      </c>
      <c r="AL71" s="50">
        <f t="shared" si="78"/>
        <v>9.3676907150193819E-5</v>
      </c>
      <c r="AM71" s="50" t="str">
        <f t="shared" si="57"/>
        <v>1-0.000432200196981832i</v>
      </c>
      <c r="AN71" s="50">
        <f t="shared" si="79"/>
        <v>1.0000000933985007</v>
      </c>
      <c r="AO71" s="50">
        <f t="shared" si="80"/>
        <v>-4.3220017007060012E-4</v>
      </c>
      <c r="AP71" s="59" t="str">
        <f t="shared" si="81"/>
        <v>78.3068637058847-8.15232163419475i</v>
      </c>
      <c r="AQ71" s="50">
        <f t="shared" si="82"/>
        <v>37.922813682949233</v>
      </c>
      <c r="AR71" s="62">
        <f t="shared" si="83"/>
        <v>-5.9435020542639139</v>
      </c>
      <c r="AS71" s="32" t="str">
        <f t="shared" si="58"/>
        <v>-0.0000166666666666667</v>
      </c>
      <c r="AT71" s="32" t="str">
        <f t="shared" si="59"/>
        <v>7.23867011914351E-07i</v>
      </c>
      <c r="AU71" s="32">
        <f t="shared" si="84"/>
        <v>7.2386701191435104E-7</v>
      </c>
      <c r="AV71" s="32">
        <f t="shared" si="85"/>
        <v>1.5707963267948966</v>
      </c>
      <c r="AW71" s="32" t="str">
        <f t="shared" si="60"/>
        <v>1+0.000735639243596002i</v>
      </c>
      <c r="AX71" s="32">
        <f t="shared" si="86"/>
        <v>1.0000002705825117</v>
      </c>
      <c r="AY71" s="32">
        <f t="shared" si="87"/>
        <v>7.3563911089528434E-4</v>
      </c>
      <c r="AZ71" s="32" t="str">
        <f t="shared" si="61"/>
        <v>1+0.0250117342822641i</v>
      </c>
      <c r="BA71" s="32">
        <f t="shared" si="88"/>
        <v>1.0003127445213356</v>
      </c>
      <c r="BB71" s="32">
        <f t="shared" si="89"/>
        <v>2.5006520568400116E-2</v>
      </c>
      <c r="BC71" s="59" t="str">
        <f t="shared" si="90"/>
        <v>-0.558944334197036+23.0248982658169i</v>
      </c>
      <c r="BD71" s="50">
        <f t="shared" si="91"/>
        <v>27.246512973776305</v>
      </c>
      <c r="BE71" s="62">
        <f t="shared" si="92"/>
        <v>91.390619072577351</v>
      </c>
      <c r="BF71" s="59" t="str">
        <f t="shared" si="93"/>
        <v>52.1367513927902+637.205907608431i</v>
      </c>
      <c r="BG71" s="65">
        <f t="shared" si="94"/>
        <v>56.114573508033629</v>
      </c>
      <c r="BH71" s="62">
        <f t="shared" si="95"/>
        <v>85.322428280772144</v>
      </c>
      <c r="BI71" s="59" t="str">
        <f t="shared" si="101"/>
        <v>143.937198460409+1807.56426433117i</v>
      </c>
      <c r="BJ71" s="65">
        <f t="shared" si="97"/>
        <v>65.169326656725545</v>
      </c>
      <c r="BK71" s="62">
        <f t="shared" si="102"/>
        <v>85.447117018313435</v>
      </c>
      <c r="BL71" s="50">
        <f t="shared" si="99"/>
        <v>56.114573508033629</v>
      </c>
      <c r="BM71" s="62">
        <f t="shared" si="100"/>
        <v>85.322428280772144</v>
      </c>
    </row>
    <row r="72" spans="1:65" x14ac:dyDescent="0.3">
      <c r="A72" s="32" t="s">
        <v>458</v>
      </c>
      <c r="B72" s="32">
        <f>(B71*2*VOUT/DC_VIN_var_DCM)*(((VOUT/VIN_var)-1)/((2*VOUT/VIN_var)-1))</f>
        <v>79.152787702586366</v>
      </c>
      <c r="C72" s="32" t="s">
        <v>150</v>
      </c>
      <c r="N72" s="11">
        <v>54</v>
      </c>
      <c r="O72" s="51">
        <f t="shared" si="62"/>
        <v>34.67368504525318</v>
      </c>
      <c r="P72" s="49" t="str">
        <f t="shared" si="50"/>
        <v>27.9103246607183</v>
      </c>
      <c r="Q72" s="18" t="str">
        <f t="shared" si="63"/>
        <v>1+0.107018146397024i</v>
      </c>
      <c r="R72" s="18">
        <f t="shared" si="64"/>
        <v>1.0057101389855105</v>
      </c>
      <c r="S72" s="18">
        <f t="shared" si="65"/>
        <v>0.1066123756556169</v>
      </c>
      <c r="T72" s="18" t="str">
        <f t="shared" si="51"/>
        <v>1+0.0000958589229057272i</v>
      </c>
      <c r="U72" s="18">
        <f t="shared" si="66"/>
        <v>1.0000000045944666</v>
      </c>
      <c r="V72" s="18">
        <f t="shared" si="67"/>
        <v>9.585892261211346E-5</v>
      </c>
      <c r="W72" s="32" t="str">
        <f t="shared" si="52"/>
        <v>1-0.00126413282170852i</v>
      </c>
      <c r="X72" s="18">
        <f t="shared" si="68"/>
        <v>1.0000007990155761</v>
      </c>
      <c r="Y72" s="18">
        <f t="shared" si="69"/>
        <v>-1.2641321483343533E-3</v>
      </c>
      <c r="Z72" s="32" t="str">
        <f t="shared" si="53"/>
        <v>0.999999975159826+0.000578074857915476i</v>
      </c>
      <c r="AA72" s="18">
        <f t="shared" si="70"/>
        <v>1.0000001422450868</v>
      </c>
      <c r="AB72" s="18">
        <f t="shared" si="71"/>
        <v>5.7807480788310182E-4</v>
      </c>
      <c r="AC72" s="67" t="str">
        <f t="shared" si="72"/>
        <v>27.589109511326-3.00127650869624i</v>
      </c>
      <c r="AD72" s="65">
        <f t="shared" si="73"/>
        <v>28.865846942500433</v>
      </c>
      <c r="AE72" s="62">
        <f t="shared" si="74"/>
        <v>-6.2084975408166754</v>
      </c>
      <c r="AF72" s="50" t="str">
        <f t="shared" si="54"/>
        <v>79.1527877025864</v>
      </c>
      <c r="AG72" s="50" t="str">
        <f t="shared" si="55"/>
        <v>1+0.106182191526344i</v>
      </c>
      <c r="AH72" s="50">
        <f t="shared" si="75"/>
        <v>1.0056215281095255</v>
      </c>
      <c r="AI72" s="50">
        <f t="shared" si="76"/>
        <v>0.10578581354877817</v>
      </c>
      <c r="AJ72" s="50" t="str">
        <f t="shared" si="56"/>
        <v>1+0.0000958589229057272i</v>
      </c>
      <c r="AK72" s="50">
        <f t="shared" si="77"/>
        <v>1.0000000045944666</v>
      </c>
      <c r="AL72" s="50">
        <f t="shared" si="78"/>
        <v>9.585892261211346E-5</v>
      </c>
      <c r="AM72" s="50" t="str">
        <f t="shared" si="57"/>
        <v>1-0.00044226743283387i</v>
      </c>
      <c r="AN72" s="50">
        <f t="shared" si="79"/>
        <v>1.0000000978002364</v>
      </c>
      <c r="AO72" s="50">
        <f t="shared" si="80"/>
        <v>-4.4226740399796571E-4</v>
      </c>
      <c r="AP72" s="59" t="str">
        <f t="shared" si="81"/>
        <v>78.2674410135245-8.33802761121961i</v>
      </c>
      <c r="AQ72" s="50">
        <f t="shared" si="82"/>
        <v>37.920633948312485</v>
      </c>
      <c r="AR72" s="62">
        <f t="shared" si="83"/>
        <v>-6.0809283926737816</v>
      </c>
      <c r="AS72" s="32" t="str">
        <f t="shared" si="58"/>
        <v>-0.0000166666666666667</v>
      </c>
      <c r="AT72" s="32" t="str">
        <f t="shared" si="59"/>
        <v>7.40728040635165E-07i</v>
      </c>
      <c r="AU72" s="32">
        <f t="shared" si="84"/>
        <v>7.4072804063516505E-7</v>
      </c>
      <c r="AV72" s="32">
        <f t="shared" si="85"/>
        <v>1.5707963267948966</v>
      </c>
      <c r="AW72" s="32" t="str">
        <f t="shared" si="60"/>
        <v>1+0.000752774482818504i</v>
      </c>
      <c r="AX72" s="32">
        <f t="shared" si="86"/>
        <v>1.0000002833346708</v>
      </c>
      <c r="AY72" s="32">
        <f t="shared" si="87"/>
        <v>7.5277434062712536E-4</v>
      </c>
      <c r="AZ72" s="32" t="str">
        <f t="shared" si="61"/>
        <v>1+0.0255943324158291i</v>
      </c>
      <c r="BA72" s="32">
        <f t="shared" si="88"/>
        <v>1.0003274813039038</v>
      </c>
      <c r="BB72" s="32">
        <f t="shared" si="89"/>
        <v>2.5588745919544329E-2</v>
      </c>
      <c r="BC72" s="59" t="str">
        <f t="shared" si="90"/>
        <v>-0.558944319941546+22.5008065313424i</v>
      </c>
      <c r="BD72" s="50">
        <f t="shared" si="91"/>
        <v>27.046640824117503</v>
      </c>
      <c r="BE72" s="62">
        <f t="shared" si="92"/>
        <v>91.422996351578817</v>
      </c>
      <c r="BF72" s="59" t="str">
        <f t="shared" si="93"/>
        <v>52.1103660156359+622.454761943475i</v>
      </c>
      <c r="BG72" s="65">
        <f t="shared" si="94"/>
        <v>55.912487766617943</v>
      </c>
      <c r="BH72" s="62">
        <f t="shared" si="95"/>
        <v>85.214498810762151</v>
      </c>
      <c r="BI72" s="59" t="str">
        <f t="shared" si="101"/>
        <v>143.865204542174+1765.74104112138i</v>
      </c>
      <c r="BJ72" s="65">
        <f t="shared" si="97"/>
        <v>64.967274772430017</v>
      </c>
      <c r="BK72" s="62">
        <f t="shared" si="102"/>
        <v>85.342067958905048</v>
      </c>
      <c r="BL72" s="50">
        <f t="shared" si="99"/>
        <v>55.912487766617943</v>
      </c>
      <c r="BM72" s="62">
        <f t="shared" si="100"/>
        <v>85.214498810762151</v>
      </c>
    </row>
    <row r="73" spans="1:65" x14ac:dyDescent="0.3">
      <c r="A73" s="32" t="s">
        <v>483</v>
      </c>
      <c r="B73" s="32">
        <f>(IOUT_VAR*((2*VOUT)-VIN_var))/(Cout*VOUT*(VOUT-VIN_var))</f>
        <v>2051.7676767676771</v>
      </c>
      <c r="C73" s="32" t="s">
        <v>385</v>
      </c>
      <c r="N73" s="11">
        <v>55</v>
      </c>
      <c r="O73" s="51">
        <f t="shared" si="62"/>
        <v>35.481338923357555</v>
      </c>
      <c r="P73" s="49" t="str">
        <f t="shared" si="50"/>
        <v>27.9103246607183</v>
      </c>
      <c r="Q73" s="18" t="str">
        <f t="shared" si="63"/>
        <v>1+0.109510919254951i</v>
      </c>
      <c r="R73" s="18">
        <f t="shared" si="64"/>
        <v>1.0059784497871038</v>
      </c>
      <c r="S73" s="18">
        <f t="shared" si="65"/>
        <v>0.1090762675053107</v>
      </c>
      <c r="T73" s="18" t="str">
        <f t="shared" si="51"/>
        <v>1+0.0000980917640570117i</v>
      </c>
      <c r="U73" s="18">
        <f t="shared" si="66"/>
        <v>1.0000000048109969</v>
      </c>
      <c r="V73" s="18">
        <f t="shared" si="67"/>
        <v>9.8091763742398907E-5</v>
      </c>
      <c r="W73" s="32" t="str">
        <f t="shared" si="52"/>
        <v>1-0.00129357825776643i</v>
      </c>
      <c r="X73" s="18">
        <f t="shared" si="68"/>
        <v>1.0000008366720046</v>
      </c>
      <c r="Y73" s="18">
        <f t="shared" si="69"/>
        <v>-1.2935775362330434E-3</v>
      </c>
      <c r="Z73" s="32" t="str">
        <f t="shared" si="53"/>
        <v>0.999999973989144+0.0005915399511186i</v>
      </c>
      <c r="AA73" s="18">
        <f t="shared" si="70"/>
        <v>1.0000001489488901</v>
      </c>
      <c r="AB73" s="18">
        <f t="shared" si="71"/>
        <v>5.9153989750794598E-4</v>
      </c>
      <c r="AC73" s="67" t="str">
        <f t="shared" si="72"/>
        <v>27.5741505057804-3.0695470441838i</v>
      </c>
      <c r="AD73" s="65">
        <f t="shared" si="73"/>
        <v>28.863530236302104</v>
      </c>
      <c r="AE73" s="62">
        <f t="shared" si="74"/>
        <v>-6.3519988018667375</v>
      </c>
      <c r="AF73" s="50" t="str">
        <f t="shared" si="54"/>
        <v>79.1527877025864</v>
      </c>
      <c r="AG73" s="50" t="str">
        <f t="shared" si="55"/>
        <v>1+0.10865549249392i</v>
      </c>
      <c r="AH73" s="50">
        <f t="shared" si="75"/>
        <v>1.0058856873666591</v>
      </c>
      <c r="AI73" s="50">
        <f t="shared" si="76"/>
        <v>0.10823089994525997</v>
      </c>
      <c r="AJ73" s="50" t="str">
        <f t="shared" si="56"/>
        <v>1+0.0000980917640570117i</v>
      </c>
      <c r="AK73" s="50">
        <f t="shared" si="77"/>
        <v>1.0000000048109969</v>
      </c>
      <c r="AL73" s="50">
        <f t="shared" si="78"/>
        <v>9.8091763742398907E-5</v>
      </c>
      <c r="AM73" s="50" t="str">
        <f t="shared" si="57"/>
        <v>1-0.000452569164732898i</v>
      </c>
      <c r="AN73" s="50">
        <f t="shared" si="79"/>
        <v>1.0000001024094192</v>
      </c>
      <c r="AO73" s="50">
        <f t="shared" si="80"/>
        <v>-4.5256913383467001E-4</v>
      </c>
      <c r="AP73" s="59" t="str">
        <f t="shared" si="81"/>
        <v>78.226202768925-8.52776446222786i</v>
      </c>
      <c r="AQ73" s="50">
        <f t="shared" si="82"/>
        <v>37.918352657951623</v>
      </c>
      <c r="AR73" s="62">
        <f t="shared" si="83"/>
        <v>-6.221483837005275</v>
      </c>
      <c r="AS73" s="32" t="str">
        <f t="shared" si="58"/>
        <v>-0.0000166666666666667</v>
      </c>
      <c r="AT73" s="32" t="str">
        <f t="shared" si="59"/>
        <v>7.57981813167818E-07i</v>
      </c>
      <c r="AU73" s="32">
        <f t="shared" si="84"/>
        <v>7.5798181316781795E-7</v>
      </c>
      <c r="AV73" s="32">
        <f t="shared" si="85"/>
        <v>1.5707963267948966</v>
      </c>
      <c r="AW73" s="32" t="str">
        <f t="shared" si="60"/>
        <v>1+0.000770308853035944i</v>
      </c>
      <c r="AX73" s="32">
        <f t="shared" si="86"/>
        <v>1.0000002966878205</v>
      </c>
      <c r="AY73" s="32">
        <f t="shared" si="87"/>
        <v>7.7030870067513915E-4</v>
      </c>
      <c r="AZ73" s="32" t="str">
        <f t="shared" si="61"/>
        <v>1+0.0261905010032221i</v>
      </c>
      <c r="BA73" s="32">
        <f t="shared" si="88"/>
        <v>1.0003429123769507</v>
      </c>
      <c r="BB73" s="32">
        <f t="shared" si="89"/>
        <v>2.6184515075424093E-2</v>
      </c>
      <c r="BC73" s="59" t="str">
        <f t="shared" si="90"/>
        <v>-0.558944305014216+21.9886450223232i</v>
      </c>
      <c r="BD73" s="50">
        <f t="shared" si="91"/>
        <v>26.846774695818809</v>
      </c>
      <c r="BE73" s="62">
        <f t="shared" si="92"/>
        <v>91.456126764947584</v>
      </c>
      <c r="BF73" s="59" t="str">
        <f t="shared" si="93"/>
        <v>52.0827659430682+608.033913103039i</v>
      </c>
      <c r="BG73" s="65">
        <f t="shared" si="94"/>
        <v>55.710304932120913</v>
      </c>
      <c r="BH73" s="62">
        <f t="shared" si="95"/>
        <v>85.104127963080842</v>
      </c>
      <c r="BI73" s="59" t="str">
        <f t="shared" si="101"/>
        <v>143.789895053333+1724.85474951083i</v>
      </c>
      <c r="BJ73" s="65">
        <f t="shared" si="97"/>
        <v>64.76512735377041</v>
      </c>
      <c r="BK73" s="62">
        <f t="shared" si="102"/>
        <v>85.234642927942318</v>
      </c>
      <c r="BL73" s="50">
        <f t="shared" si="99"/>
        <v>55.710304932120913</v>
      </c>
      <c r="BM73" s="62">
        <f t="shared" si="100"/>
        <v>85.104127963080842</v>
      </c>
    </row>
    <row r="74" spans="1:65" x14ac:dyDescent="0.3">
      <c r="A74" s="32"/>
      <c r="B74" s="32">
        <f>B73/(2*PI())</f>
        <v>326.54896783375</v>
      </c>
      <c r="C74" s="32" t="s">
        <v>65</v>
      </c>
      <c r="N74" s="11">
        <v>56</v>
      </c>
      <c r="O74" s="51">
        <f t="shared" si="62"/>
        <v>36.307805477010156</v>
      </c>
      <c r="P74" s="49" t="str">
        <f t="shared" si="50"/>
        <v>27.9103246607183</v>
      </c>
      <c r="Q74" s="18" t="str">
        <f t="shared" si="63"/>
        <v>1+0.112061756251815i</v>
      </c>
      <c r="R74" s="18">
        <f t="shared" si="64"/>
        <v>1.0062593290073096</v>
      </c>
      <c r="S74" s="18">
        <f t="shared" si="65"/>
        <v>0.11159617483562884</v>
      </c>
      <c r="T74" s="18" t="str">
        <f t="shared" si="51"/>
        <v>1+0.000100376614759998i</v>
      </c>
      <c r="U74" s="18">
        <f t="shared" si="66"/>
        <v>1.0000000050377322</v>
      </c>
      <c r="V74" s="18">
        <f t="shared" si="67"/>
        <v>1.0037661442288432E-4</v>
      </c>
      <c r="W74" s="32" t="str">
        <f t="shared" si="52"/>
        <v>1-0.00132370956613913i</v>
      </c>
      <c r="X74" s="18">
        <f t="shared" si="68"/>
        <v>1.000000876103124</v>
      </c>
      <c r="Y74" s="18">
        <f t="shared" si="69"/>
        <v>-1.3237087930022134E-3</v>
      </c>
      <c r="Z74" s="32" t="str">
        <f t="shared" si="53"/>
        <v>0.999999972763291+0.000605318686633765i</v>
      </c>
      <c r="AA74" s="18">
        <f t="shared" si="70"/>
        <v>1.0000001559686353</v>
      </c>
      <c r="AB74" s="18">
        <f t="shared" si="71"/>
        <v>6.0531862918891417E-4</v>
      </c>
      <c r="AC74" s="67" t="str">
        <f t="shared" si="72"/>
        <v>27.5585035973688-3.13929255909548i</v>
      </c>
      <c r="AD74" s="65">
        <f t="shared" si="73"/>
        <v>28.861105671248737</v>
      </c>
      <c r="AE74" s="62">
        <f t="shared" si="74"/>
        <v>-6.4987638013738573</v>
      </c>
      <c r="AF74" s="50" t="str">
        <f t="shared" si="54"/>
        <v>79.1527877025864</v>
      </c>
      <c r="AG74" s="50" t="str">
        <f t="shared" si="55"/>
        <v>1+0.111186404041843i</v>
      </c>
      <c r="AH74" s="50">
        <f t="shared" si="75"/>
        <v>1.0061622217335313</v>
      </c>
      <c r="AI74" s="50">
        <f t="shared" si="76"/>
        <v>0.11073159528340097</v>
      </c>
      <c r="AJ74" s="50" t="str">
        <f t="shared" si="56"/>
        <v>1+0.000100376614759998i</v>
      </c>
      <c r="AK74" s="50">
        <f t="shared" si="77"/>
        <v>1.0000000050377322</v>
      </c>
      <c r="AL74" s="50">
        <f t="shared" si="78"/>
        <v>1.0037661442288432E-4</v>
      </c>
      <c r="AM74" s="50" t="str">
        <f t="shared" si="57"/>
        <v>1-0.000463110854793531i</v>
      </c>
      <c r="AN74" s="50">
        <f t="shared" si="79"/>
        <v>1.0000001072358262</v>
      </c>
      <c r="AO74" s="50">
        <f t="shared" si="80"/>
        <v>-4.6311082168548341E-4</v>
      </c>
      <c r="AP74" s="59" t="str">
        <f t="shared" si="81"/>
        <v>78.1830674234597-8.72160555006928i</v>
      </c>
      <c r="AQ74" s="50">
        <f t="shared" si="82"/>
        <v>37.915965137415327</v>
      </c>
      <c r="AR74" s="62">
        <f t="shared" si="83"/>
        <v>-6.3652362076507796</v>
      </c>
      <c r="AS74" s="32" t="str">
        <f t="shared" si="58"/>
        <v>-0.0000166666666666667</v>
      </c>
      <c r="AT74" s="32" t="str">
        <f t="shared" si="59"/>
        <v>7.75637477690888E-07i</v>
      </c>
      <c r="AU74" s="32">
        <f t="shared" si="84"/>
        <v>7.7563747769088796E-7</v>
      </c>
      <c r="AV74" s="32">
        <f t="shared" si="85"/>
        <v>1.5707963267948966</v>
      </c>
      <c r="AW74" s="32" t="str">
        <f t="shared" si="60"/>
        <v>1+0.000788251651203509i</v>
      </c>
      <c r="AX74" s="32">
        <f t="shared" si="86"/>
        <v>1.0000003106702846</v>
      </c>
      <c r="AY74" s="32">
        <f t="shared" si="87"/>
        <v>7.8825148794596793E-4</v>
      </c>
      <c r="AZ74" s="32" t="str">
        <f t="shared" si="61"/>
        <v>1+0.0268005561409193i</v>
      </c>
      <c r="BA74" s="32">
        <f t="shared" si="88"/>
        <v>1.0003590704389411</v>
      </c>
      <c r="BB74" s="32">
        <f t="shared" si="89"/>
        <v>2.6794142228060185E-2</v>
      </c>
      <c r="BC74" s="59" t="str">
        <f t="shared" si="90"/>
        <v>-0.558944289383386+21.4881421839479i</v>
      </c>
      <c r="BD74" s="50">
        <f t="shared" si="91"/>
        <v>26.646914872268582</v>
      </c>
      <c r="BE74" s="62">
        <f t="shared" si="92"/>
        <v>91.490027781886894</v>
      </c>
      <c r="BF74" s="59" t="str">
        <f t="shared" si="93"/>
        <v>52.0538966571525+593.935733325711i</v>
      </c>
      <c r="BG74" s="65">
        <f t="shared" si="94"/>
        <v>55.508020543517318</v>
      </c>
      <c r="BH74" s="62">
        <f t="shared" si="95"/>
        <v>84.99126398051304</v>
      </c>
      <c r="BI74" s="59" t="str">
        <f t="shared" si="101"/>
        <v>143.711121069379+1684.88376078895i</v>
      </c>
      <c r="BJ74" s="65">
        <f t="shared" si="97"/>
        <v>64.562880009683894</v>
      </c>
      <c r="BK74" s="62">
        <f t="shared" si="102"/>
        <v>85.124791574236099</v>
      </c>
      <c r="BL74" s="50">
        <f t="shared" si="99"/>
        <v>55.508020543517318</v>
      </c>
      <c r="BM74" s="62">
        <f t="shared" si="100"/>
        <v>84.99126398051304</v>
      </c>
    </row>
    <row r="75" spans="1:65" x14ac:dyDescent="0.3">
      <c r="A75" s="32" t="s">
        <v>461</v>
      </c>
      <c r="B75" s="32">
        <f>1/(Cout*Resr)</f>
        <v>2272727.2727272729</v>
      </c>
      <c r="C75" s="32" t="s">
        <v>385</v>
      </c>
      <c r="N75" s="11">
        <v>57</v>
      </c>
      <c r="O75" s="51">
        <f t="shared" si="62"/>
        <v>37.15352290971726</v>
      </c>
      <c r="P75" s="49" t="str">
        <f t="shared" si="50"/>
        <v>27.9103246607183</v>
      </c>
      <c r="Q75" s="18" t="str">
        <f t="shared" si="63"/>
        <v>1+0.114672009875156i</v>
      </c>
      <c r="R75" s="18">
        <f t="shared" si="64"/>
        <v>1.0065533616499465</v>
      </c>
      <c r="S75" s="18">
        <f t="shared" si="65"/>
        <v>0.11417330565537787</v>
      </c>
      <c r="T75" s="18" t="str">
        <f t="shared" si="51"/>
        <v>1+0.00010271468647277i</v>
      </c>
      <c r="U75" s="18">
        <f t="shared" si="66"/>
        <v>1.0000000052751534</v>
      </c>
      <c r="V75" s="18">
        <f t="shared" si="67"/>
        <v>1.0271468611154619E-4</v>
      </c>
      <c r="W75" s="32" t="str">
        <f t="shared" si="52"/>
        <v>1-0.00135454272284517i</v>
      </c>
      <c r="X75" s="18">
        <f t="shared" si="68"/>
        <v>1.0000009173925732</v>
      </c>
      <c r="Y75" s="18">
        <f t="shared" si="69"/>
        <v>-1.3545418944140794E-3</v>
      </c>
      <c r="Z75" s="32" t="str">
        <f t="shared" si="53"/>
        <v>0.999999971479664+0.000619418370128921i</v>
      </c>
      <c r="AA75" s="18">
        <f t="shared" si="70"/>
        <v>1.0000001633192097</v>
      </c>
      <c r="AB75" s="18">
        <f t="shared" si="71"/>
        <v>6.1941830857565521E-4</v>
      </c>
      <c r="AC75" s="67" t="str">
        <f t="shared" si="72"/>
        <v>27.5421379839735-3.21053939795627i</v>
      </c>
      <c r="AD75" s="65">
        <f t="shared" si="73"/>
        <v>28.858568290238537</v>
      </c>
      <c r="AE75" s="62">
        <f t="shared" si="74"/>
        <v>-6.6488630176602062</v>
      </c>
      <c r="AF75" s="50" t="str">
        <f t="shared" si="54"/>
        <v>79.1527877025864</v>
      </c>
      <c r="AG75" s="50" t="str">
        <f t="shared" si="55"/>
        <v>1+0.113776268092915i</v>
      </c>
      <c r="AH75" s="50">
        <f t="shared" si="75"/>
        <v>1.0064517073268597</v>
      </c>
      <c r="AI75" s="50">
        <f t="shared" si="76"/>
        <v>0.11328910029268148</v>
      </c>
      <c r="AJ75" s="50" t="str">
        <f t="shared" si="56"/>
        <v>1+0.00010271468647277i</v>
      </c>
      <c r="AK75" s="50">
        <f t="shared" si="77"/>
        <v>1.0000000052751534</v>
      </c>
      <c r="AL75" s="50">
        <f t="shared" si="78"/>
        <v>1.0271468611154619E-4</v>
      </c>
      <c r="AM75" s="50" t="str">
        <f t="shared" si="57"/>
        <v>1-0.00047389809235937i</v>
      </c>
      <c r="AN75" s="50">
        <f t="shared" si="79"/>
        <v>1.0000001122896947</v>
      </c>
      <c r="AO75" s="50">
        <f t="shared" si="80"/>
        <v>-4.7389805688345806E-4</v>
      </c>
      <c r="AP75" s="59" t="str">
        <f t="shared" si="81"/>
        <v>78.1379499619954-8.91962454443163i</v>
      </c>
      <c r="AQ75" s="50">
        <f t="shared" si="82"/>
        <v>37.913466502533531</v>
      </c>
      <c r="AR75" s="62">
        <f t="shared" si="83"/>
        <v>-6.5122545521756168</v>
      </c>
      <c r="AS75" s="32" t="str">
        <f t="shared" si="58"/>
        <v>-0.0000166666666666667</v>
      </c>
      <c r="AT75" s="32" t="str">
        <f t="shared" si="59"/>
        <v>7.93704395471405E-07i</v>
      </c>
      <c r="AU75" s="32">
        <f t="shared" si="84"/>
        <v>7.9370439547140504E-7</v>
      </c>
      <c r="AV75" s="32">
        <f t="shared" si="85"/>
        <v>1.5707963267948966</v>
      </c>
      <c r="AW75" s="32" t="str">
        <f t="shared" si="60"/>
        <v>1+0.000806612390830284i</v>
      </c>
      <c r="AX75" s="32">
        <f t="shared" si="86"/>
        <v>1.0000003253117216</v>
      </c>
      <c r="AY75" s="32">
        <f t="shared" si="87"/>
        <v>8.0661221589668015E-4</v>
      </c>
      <c r="AZ75" s="32" t="str">
        <f t="shared" si="61"/>
        <v>1+0.0274248212882296i</v>
      </c>
      <c r="BA75" s="32">
        <f t="shared" si="88"/>
        <v>1.0003759897272082</v>
      </c>
      <c r="BB75" s="32">
        <f t="shared" si="89"/>
        <v>2.7417948796279876E-2</v>
      </c>
      <c r="BC75" s="59" t="str">
        <f t="shared" si="90"/>
        <v>-0.558944273015895+20.9990326429864i</v>
      </c>
      <c r="BD75" s="50">
        <f t="shared" si="91"/>
        <v>26.447061650173282</v>
      </c>
      <c r="BE75" s="62">
        <f t="shared" si="92"/>
        <v>91.524717273258062</v>
      </c>
      <c r="BF75" s="59" t="str">
        <f t="shared" si="93"/>
        <v>52.0237013265221+580.152767192875i</v>
      </c>
      <c r="BG75" s="65">
        <f t="shared" si="94"/>
        <v>55.305629940411826</v>
      </c>
      <c r="BH75" s="62">
        <f t="shared" si="95"/>
        <v>84.875854255597858</v>
      </c>
      <c r="BI75" s="59" t="str">
        <f t="shared" si="101"/>
        <v>143.628727335243+1645.80693496454i</v>
      </c>
      <c r="BJ75" s="65">
        <f t="shared" si="97"/>
        <v>64.360528152706806</v>
      </c>
      <c r="BK75" s="62">
        <f t="shared" si="102"/>
        <v>85.012462721082429</v>
      </c>
      <c r="BL75" s="50">
        <f t="shared" si="99"/>
        <v>55.305629940411826</v>
      </c>
      <c r="BM75" s="62">
        <f t="shared" si="100"/>
        <v>84.875854255597858</v>
      </c>
    </row>
    <row r="76" spans="1:65" x14ac:dyDescent="0.3">
      <c r="A76" s="32"/>
      <c r="B76" s="32">
        <f>B75/(2*PI())</f>
        <v>361715.77975430764</v>
      </c>
      <c r="C76" s="32" t="s">
        <v>65</v>
      </c>
      <c r="N76" s="11">
        <v>58</v>
      </c>
      <c r="O76" s="51">
        <f t="shared" si="62"/>
        <v>38.018939632056139</v>
      </c>
      <c r="P76" s="49" t="str">
        <f t="shared" si="50"/>
        <v>27.9103246607183</v>
      </c>
      <c r="Q76" s="18" t="str">
        <f t="shared" si="63"/>
        <v>1+0.117343064115997i</v>
      </c>
      <c r="R76" s="18">
        <f t="shared" si="64"/>
        <v>1.006861159592588</v>
      </c>
      <c r="S76" s="18">
        <f t="shared" si="65"/>
        <v>0.11680888938907269</v>
      </c>
      <c r="T76" s="18" t="str">
        <f t="shared" si="51"/>
        <v>1+0.000105107218871901i</v>
      </c>
      <c r="U76" s="18">
        <f t="shared" si="66"/>
        <v>1.0000000055237637</v>
      </c>
      <c r="V76" s="18">
        <f t="shared" si="67"/>
        <v>1.0510721848484271E-4</v>
      </c>
      <c r="W76" s="32" t="str">
        <f t="shared" si="52"/>
        <v>1-0.00138609407603236i</v>
      </c>
      <c r="X76" s="18">
        <f t="shared" si="68"/>
        <v>1.0000009606279325</v>
      </c>
      <c r="Y76" s="18">
        <f t="shared" si="69"/>
        <v>-1.3860931883524993E-3</v>
      </c>
      <c r="Z76" s="32" t="str">
        <f t="shared" si="53"/>
        <v>0.999999970135542+0.000633846477442891i</v>
      </c>
      <c r="AA76" s="18">
        <f t="shared" si="70"/>
        <v>1.0000001710162063</v>
      </c>
      <c r="AB76" s="18">
        <f t="shared" si="71"/>
        <v>6.3384641148737898E-4</v>
      </c>
      <c r="AC76" s="67" t="str">
        <f t="shared" si="72"/>
        <v>27.5250215633275-3.28331397336986i</v>
      </c>
      <c r="AD76" s="65">
        <f t="shared" si="73"/>
        <v>28.855912914480612</v>
      </c>
      <c r="AE76" s="62">
        <f t="shared" si="74"/>
        <v>-6.802368185530967</v>
      </c>
      <c r="AF76" s="50" t="str">
        <f t="shared" si="54"/>
        <v>79.1527877025864</v>
      </c>
      <c r="AG76" s="50" t="str">
        <f t="shared" si="55"/>
        <v>1+0.116426457827336i</v>
      </c>
      <c r="AH76" s="50">
        <f t="shared" si="75"/>
        <v>1.0067547467393538</v>
      </c>
      <c r="AI76" s="50">
        <f t="shared" si="76"/>
        <v>0.11590463709792444</v>
      </c>
      <c r="AJ76" s="50" t="str">
        <f t="shared" si="56"/>
        <v>1+0.000105107218871901i</v>
      </c>
      <c r="AK76" s="50">
        <f t="shared" si="77"/>
        <v>1.0000000055237637</v>
      </c>
      <c r="AL76" s="50">
        <f t="shared" si="78"/>
        <v>1.0510721848484271E-4</v>
      </c>
      <c r="AM76" s="50" t="str">
        <f t="shared" si="57"/>
        <v>1-0.000484936596966561i</v>
      </c>
      <c r="AN76" s="50">
        <f t="shared" si="79"/>
        <v>1.0000001175817446</v>
      </c>
      <c r="AO76" s="50">
        <f t="shared" si="80"/>
        <v>-4.849365589534367E-4</v>
      </c>
      <c r="AP76" s="59" t="str">
        <f t="shared" si="81"/>
        <v>78.0907617743244-9.12189533655046i</v>
      </c>
      <c r="AQ76" s="50">
        <f t="shared" si="82"/>
        <v>37.910851650525544</v>
      </c>
      <c r="AR76" s="62">
        <f t="shared" si="83"/>
        <v>-6.662609149850593</v>
      </c>
      <c r="AS76" s="32" t="str">
        <f t="shared" si="58"/>
        <v>-0.0000166666666666667</v>
      </c>
      <c r="AT76" s="32" t="str">
        <f t="shared" si="59"/>
        <v>8.12192145828322E-07i</v>
      </c>
      <c r="AU76" s="32">
        <f t="shared" si="84"/>
        <v>8.1219214582832201E-7</v>
      </c>
      <c r="AV76" s="32">
        <f t="shared" si="85"/>
        <v>1.5707963267948966</v>
      </c>
      <c r="AW76" s="32" t="str">
        <f t="shared" si="60"/>
        <v>1+0.000825400807023454i</v>
      </c>
      <c r="AX76" s="32">
        <f t="shared" si="86"/>
        <v>1.0000003406431881</v>
      </c>
      <c r="AY76" s="32">
        <f t="shared" si="87"/>
        <v>8.2540061957872383E-4</v>
      </c>
      <c r="AZ76" s="32" t="str">
        <f t="shared" si="61"/>
        <v>1+0.0280636274387974i</v>
      </c>
      <c r="BA76" s="32">
        <f t="shared" si="88"/>
        <v>1.000393706090269</v>
      </c>
      <c r="BB76" s="32">
        <f t="shared" si="89"/>
        <v>2.8056263587513057E-2</v>
      </c>
      <c r="BC76" s="59" t="str">
        <f t="shared" si="90"/>
        <v>-0.55894425587703+20.5210570670862i</v>
      </c>
      <c r="BD76" s="50">
        <f t="shared" si="91"/>
        <v>26.247215340181743</v>
      </c>
      <c r="BE76" s="62">
        <f t="shared" si="92"/>
        <v>91.560213520561717</v>
      </c>
      <c r="BF76" s="59" t="str">
        <f t="shared" si="93"/>
        <v>51.9921207209711+566.677727759478i</v>
      </c>
      <c r="BG76" s="65">
        <f t="shared" si="94"/>
        <v>55.103128254662359</v>
      </c>
      <c r="BH76" s="62">
        <f t="shared" si="95"/>
        <v>84.757845335030765</v>
      </c>
      <c r="BI76" s="59" t="str">
        <f t="shared" si="101"/>
        <v>143.542552030519+1607.60360978422i</v>
      </c>
      <c r="BJ76" s="65">
        <f t="shared" si="97"/>
        <v>64.158066990707283</v>
      </c>
      <c r="BK76" s="62">
        <f t="shared" si="102"/>
        <v>84.89760437071115</v>
      </c>
      <c r="BL76" s="50">
        <f t="shared" si="99"/>
        <v>55.103128254662359</v>
      </c>
      <c r="BM76" s="62">
        <f t="shared" si="100"/>
        <v>84.757845335030765</v>
      </c>
    </row>
    <row r="77" spans="1:65" x14ac:dyDescent="0.3">
      <c r="A77" s="32" t="s">
        <v>462</v>
      </c>
      <c r="B77" s="32">
        <f>2*Fsw/(DC_VIN_var_DCM)</f>
        <v>492600.5675483293</v>
      </c>
      <c r="C77" s="32" t="s">
        <v>385</v>
      </c>
      <c r="N77" s="11">
        <v>59</v>
      </c>
      <c r="O77" s="51">
        <f t="shared" si="62"/>
        <v>38.904514499428053</v>
      </c>
      <c r="P77" s="49" t="str">
        <f t="shared" si="50"/>
        <v>27.9103246607183</v>
      </c>
      <c r="Q77" s="18" t="str">
        <f t="shared" si="63"/>
        <v>1+0.120076335202651i</v>
      </c>
      <c r="R77" s="18">
        <f t="shared" si="64"/>
        <v>1.0071833627873821</v>
      </c>
      <c r="S77" s="18">
        <f t="shared" si="65"/>
        <v>0.11950417691856695</v>
      </c>
      <c r="T77" s="18" t="str">
        <f t="shared" si="51"/>
        <v>1+0.000107555480509735i</v>
      </c>
      <c r="U77" s="18">
        <f t="shared" si="66"/>
        <v>1.0000000057840905</v>
      </c>
      <c r="V77" s="18">
        <f t="shared" si="67"/>
        <v>1.0755548009499456E-4</v>
      </c>
      <c r="W77" s="32" t="str">
        <f t="shared" si="52"/>
        <v>1-0.00141838035464578i</v>
      </c>
      <c r="X77" s="18">
        <f t="shared" si="68"/>
        <v>1.0000010059009095</v>
      </c>
      <c r="Y77" s="18">
        <f t="shared" si="69"/>
        <v>-1.4183794034797242E-3</v>
      </c>
      <c r="Z77" s="32" t="str">
        <f t="shared" si="53"/>
        <v>0.999999968728073+0.000648610658549152i</v>
      </c>
      <c r="AA77" s="18">
        <f t="shared" si="70"/>
        <v>1.0000001790759505</v>
      </c>
      <c r="AB77" s="18">
        <f t="shared" si="71"/>
        <v>6.4861058787654864E-4</v>
      </c>
      <c r="AC77" s="67" t="str">
        <f t="shared" si="72"/>
        <v>27.5071208856963-3.35764273183051i</v>
      </c>
      <c r="AD77" s="65">
        <f t="shared" si="73"/>
        <v>28.85313413416344</v>
      </c>
      <c r="AE77" s="62">
        <f t="shared" si="74"/>
        <v>-6.9593522993461479</v>
      </c>
      <c r="AF77" s="50" t="str">
        <f t="shared" si="54"/>
        <v>79.1527877025864</v>
      </c>
      <c r="AG77" s="50" t="str">
        <f t="shared" si="55"/>
        <v>1+0.119138378410784i</v>
      </c>
      <c r="AH77" s="50">
        <f t="shared" si="75"/>
        <v>1.0070719702237527</v>
      </c>
      <c r="AI77" s="50">
        <f t="shared" si="76"/>
        <v>0.11857944927024611</v>
      </c>
      <c r="AJ77" s="50" t="str">
        <f t="shared" si="56"/>
        <v>1+0.000107555480509735i</v>
      </c>
      <c r="AK77" s="50">
        <f t="shared" si="77"/>
        <v>1.0000000057840905</v>
      </c>
      <c r="AL77" s="50">
        <f t="shared" si="78"/>
        <v>1.0755548009499456E-4</v>
      </c>
      <c r="AM77" s="50" t="str">
        <f t="shared" si="57"/>
        <v>1-0.000496232221376358i</v>
      </c>
      <c r="AN77" s="50">
        <f t="shared" si="79"/>
        <v>1.0000001231232012</v>
      </c>
      <c r="AO77" s="50">
        <f t="shared" si="80"/>
        <v>-4.962321806445618E-4</v>
      </c>
      <c r="AP77" s="59" t="str">
        <f t="shared" si="81"/>
        <v>78.0414105236756-9.32849194623575i</v>
      </c>
      <c r="AQ77" s="50">
        <f t="shared" si="82"/>
        <v>37.90811525078108</v>
      </c>
      <c r="AR77" s="62">
        <f t="shared" si="83"/>
        <v>-6.8163715147073098</v>
      </c>
      <c r="AS77" s="32" t="str">
        <f t="shared" si="58"/>
        <v>-0.0000166666666666667</v>
      </c>
      <c r="AT77" s="32" t="str">
        <f t="shared" si="59"/>
        <v>8.31110531211589E-07i</v>
      </c>
      <c r="AU77" s="32">
        <f t="shared" si="84"/>
        <v>8.3111053121158899E-7</v>
      </c>
      <c r="AV77" s="32">
        <f t="shared" si="85"/>
        <v>1.5707963267948966</v>
      </c>
      <c r="AW77" s="32" t="str">
        <f t="shared" si="60"/>
        <v>1+0.00084462686164998i</v>
      </c>
      <c r="AX77" s="32">
        <f t="shared" si="86"/>
        <v>1.000000356697204</v>
      </c>
      <c r="AY77" s="32">
        <f t="shared" si="87"/>
        <v>8.4462666079933681E-4</v>
      </c>
      <c r="AZ77" s="32" t="str">
        <f t="shared" si="61"/>
        <v>1+0.0287173132960993i</v>
      </c>
      <c r="BA77" s="32">
        <f t="shared" si="88"/>
        <v>1.0004122570635299</v>
      </c>
      <c r="BB77" s="32">
        <f t="shared" si="89"/>
        <v>2.8709422962890713E-2</v>
      </c>
      <c r="BC77" s="59" t="str">
        <f t="shared" si="90"/>
        <v>-0.558944237930438+20.0539620272699i</v>
      </c>
      <c r="BD77" s="50">
        <f t="shared" si="91"/>
        <v>26.047376267537871</v>
      </c>
      <c r="BE77" s="62">
        <f t="shared" si="92"/>
        <v>91.596535225101576</v>
      </c>
      <c r="BF77" s="59" t="str">
        <f t="shared" si="93"/>
        <v>51.9590931241519+553.503492779262i</v>
      </c>
      <c r="BG77" s="65">
        <f t="shared" si="94"/>
        <v>54.900510401701304</v>
      </c>
      <c r="BH77" s="62">
        <f t="shared" si="95"/>
        <v>84.637182925755425</v>
      </c>
      <c r="BI77" s="59" t="str">
        <f t="shared" si="101"/>
        <v>143.452426529333+1570.2535900183i</v>
      </c>
      <c r="BJ77" s="65">
        <f t="shared" si="97"/>
        <v>63.955491518318944</v>
      </c>
      <c r="BK77" s="62">
        <f t="shared" si="102"/>
        <v>84.780163710394248</v>
      </c>
      <c r="BL77" s="50">
        <f t="shared" si="99"/>
        <v>54.900510401701304</v>
      </c>
      <c r="BM77" s="62">
        <f t="shared" si="100"/>
        <v>84.637182925755425</v>
      </c>
    </row>
    <row r="78" spans="1:65" x14ac:dyDescent="0.3">
      <c r="A78" s="32"/>
      <c r="B78" s="32">
        <f>B77/(2*PI())</f>
        <v>78399.815295189692</v>
      </c>
      <c r="C78" s="32" t="s">
        <v>65</v>
      </c>
      <c r="N78" s="11">
        <v>60</v>
      </c>
      <c r="O78" s="51">
        <f t="shared" si="62"/>
        <v>39.810717055349755</v>
      </c>
      <c r="P78" s="49" t="str">
        <f t="shared" si="50"/>
        <v>27.9103246607183</v>
      </c>
      <c r="Q78" s="18" t="str">
        <f t="shared" si="63"/>
        <v>1+0.122873272351627i</v>
      </c>
      <c r="R78" s="18">
        <f t="shared" si="64"/>
        <v>1.0075206405123407</v>
      </c>
      <c r="S78" s="18">
        <f t="shared" si="65"/>
        <v>0.12226044059574465</v>
      </c>
      <c r="T78" s="18" t="str">
        <f t="shared" si="51"/>
        <v>1+0.000110060769487001i</v>
      </c>
      <c r="U78" s="18">
        <f t="shared" si="66"/>
        <v>1.0000000060566865</v>
      </c>
      <c r="V78" s="18">
        <f t="shared" si="67"/>
        <v>1.1006076904259862E-4</v>
      </c>
      <c r="W78" s="32" t="str">
        <f t="shared" si="52"/>
        <v>1-0.00145141867729771i</v>
      </c>
      <c r="X78" s="18">
        <f t="shared" si="68"/>
        <v>1.0000010533075336</v>
      </c>
      <c r="Y78" s="18">
        <f t="shared" si="69"/>
        <v>-1.4514176581049765E-3</v>
      </c>
      <c r="Z78" s="32" t="str">
        <f t="shared" si="53"/>
        <v>0.999999967254273+0.00066371874161195i</v>
      </c>
      <c r="AA78" s="18">
        <f t="shared" si="70"/>
        <v>1.00000018751554</v>
      </c>
      <c r="AB78" s="18">
        <f t="shared" si="71"/>
        <v>6.6371866588489149E-4</v>
      </c>
      <c r="AC78" s="67" t="str">
        <f t="shared" si="72"/>
        <v>27.4884011055827-3.43355211655769i</v>
      </c>
      <c r="AD78" s="65">
        <f t="shared" si="73"/>
        <v>28.850226298786676</v>
      </c>
      <c r="AE78" s="62">
        <f t="shared" si="74"/>
        <v>-7.1198896144493906</v>
      </c>
      <c r="AF78" s="50" t="str">
        <f t="shared" si="54"/>
        <v>79.1527877025864</v>
      </c>
      <c r="AG78" s="50" t="str">
        <f t="shared" si="55"/>
        <v>1+0.121913467739447i</v>
      </c>
      <c r="AH78" s="50">
        <f t="shared" si="75"/>
        <v>1.0074040369267225</v>
      </c>
      <c r="AI78" s="50">
        <f t="shared" si="76"/>
        <v>0.12131480184986952</v>
      </c>
      <c r="AJ78" s="50" t="str">
        <f t="shared" si="56"/>
        <v>1+0.000110060769487001i</v>
      </c>
      <c r="AK78" s="50">
        <f t="shared" si="77"/>
        <v>1.0000000060566865</v>
      </c>
      <c r="AL78" s="50">
        <f t="shared" si="78"/>
        <v>1.1006076904259862E-4</v>
      </c>
      <c r="AM78" s="50" t="str">
        <f t="shared" si="57"/>
        <v>1-0.000507790954678338i</v>
      </c>
      <c r="AN78" s="50">
        <f t="shared" si="79"/>
        <v>1.0000001289258185</v>
      </c>
      <c r="AO78" s="50">
        <f t="shared" si="80"/>
        <v>-5.0779091103343233E-4</v>
      </c>
      <c r="AP78" s="59" t="str">
        <f t="shared" si="81"/>
        <v>77.9898000124347-9.53948842073324i</v>
      </c>
      <c r="AQ78" s="50">
        <f t="shared" si="82"/>
        <v>37.905251735306294</v>
      </c>
      <c r="AR78" s="62">
        <f t="shared" si="83"/>
        <v>-6.9736143969846083</v>
      </c>
      <c r="AS78" s="32" t="str">
        <f t="shared" si="58"/>
        <v>-0.0000166666666666667</v>
      </c>
      <c r="AT78" s="32" t="str">
        <f t="shared" si="59"/>
        <v>8.50469582399555E-07i</v>
      </c>
      <c r="AU78" s="32">
        <f t="shared" si="84"/>
        <v>8.5046958239955501E-7</v>
      </c>
      <c r="AV78" s="32">
        <f t="shared" si="85"/>
        <v>1.5707963267948966</v>
      </c>
      <c r="AW78" s="32" t="str">
        <f t="shared" si="60"/>
        <v>1+0.000864300748618508i</v>
      </c>
      <c r="AX78" s="32">
        <f t="shared" si="86"/>
        <v>1.0000003735078222</v>
      </c>
      <c r="AY78" s="32">
        <f t="shared" si="87"/>
        <v>8.6430053340317073E-4</v>
      </c>
      <c r="AZ78" s="32" t="str">
        <f t="shared" si="61"/>
        <v>1+0.0293862254530293i</v>
      </c>
      <c r="BA78" s="32">
        <f t="shared" si="88"/>
        <v>1.0004316819485357</v>
      </c>
      <c r="BB78" s="32">
        <f t="shared" si="89"/>
        <v>2.9377771005691212E-2</v>
      </c>
      <c r="BC78" s="59" t="str">
        <f t="shared" si="90"/>
        <v>-0.558944219138048+19.5974998635645i</v>
      </c>
      <c r="BD78" s="50">
        <f t="shared" si="91"/>
        <v>25.84754477276444</v>
      </c>
      <c r="BE78" s="62">
        <f t="shared" si="92"/>
        <v>91.633701517332995</v>
      </c>
      <c r="BF78" s="59" t="str">
        <f t="shared" si="93"/>
        <v>51.9245542444676+540.623101022922i</v>
      </c>
      <c r="BG78" s="65">
        <f t="shared" si="94"/>
        <v>54.697771071551109</v>
      </c>
      <c r="BH78" s="62">
        <f t="shared" si="95"/>
        <v>84.513811902883603</v>
      </c>
      <c r="BI78" s="59" t="str">
        <f t="shared" si="101"/>
        <v>143.358175155112+1533.73713700941i</v>
      </c>
      <c r="BJ78" s="65">
        <f t="shared" si="97"/>
        <v>63.752796508070702</v>
      </c>
      <c r="BK78" s="62">
        <f t="shared" si="102"/>
        <v>84.660087120348379</v>
      </c>
      <c r="BL78" s="50">
        <f t="shared" si="99"/>
        <v>54.697771071551109</v>
      </c>
      <c r="BM78" s="62">
        <f t="shared" si="100"/>
        <v>84.513811902883603</v>
      </c>
    </row>
    <row r="79" spans="1:65" x14ac:dyDescent="0.3">
      <c r="N79" s="11">
        <v>61</v>
      </c>
      <c r="O79" s="51">
        <f t="shared" si="62"/>
        <v>40.738027780411279</v>
      </c>
      <c r="P79" s="49" t="str">
        <f t="shared" si="50"/>
        <v>27.9103246607183</v>
      </c>
      <c r="Q79" s="18" t="str">
        <f t="shared" si="63"/>
        <v>1+0.125735358536025i</v>
      </c>
      <c r="R79" s="18">
        <f t="shared" si="64"/>
        <v>1.0078736926749219</v>
      </c>
      <c r="S79" s="18">
        <f t="shared" si="65"/>
        <v>0.12507897422377512</v>
      </c>
      <c r="T79" s="18" t="str">
        <f t="shared" si="51"/>
        <v>1+0.000112624414141076i</v>
      </c>
      <c r="U79" s="18">
        <f t="shared" si="66"/>
        <v>1.0000000063421293</v>
      </c>
      <c r="V79" s="18">
        <f t="shared" si="67"/>
        <v>1.1262441366489028E-4</v>
      </c>
      <c r="W79" s="32" t="str">
        <f t="shared" si="52"/>
        <v>1-0.00148522656134415i</v>
      </c>
      <c r="X79" s="18">
        <f t="shared" si="68"/>
        <v>1.0000011029483611</v>
      </c>
      <c r="Y79" s="18">
        <f t="shared" si="69"/>
        <v>-1.4852254692595255E-3</v>
      </c>
      <c r="Z79" s="32" t="str">
        <f t="shared" si="53"/>
        <v>0.999999965711014+0.00067917873713691i</v>
      </c>
      <c r="AA79" s="18">
        <f t="shared" si="70"/>
        <v>1.000000196352874</v>
      </c>
      <c r="AB79" s="18">
        <f t="shared" si="71"/>
        <v>6.7917865599390591E-4</v>
      </c>
      <c r="AC79" s="67" t="str">
        <f t="shared" si="72"/>
        <v>27.4688259325151-3.51106852717164i</v>
      </c>
      <c r="AD79" s="65">
        <f t="shared" si="73"/>
        <v>28.847183507149353</v>
      </c>
      <c r="AE79" s="62">
        <f t="shared" si="74"/>
        <v>-7.2840556468125239</v>
      </c>
      <c r="AF79" s="50" t="str">
        <f t="shared" si="54"/>
        <v>79.1527877025864</v>
      </c>
      <c r="AG79" s="50" t="str">
        <f t="shared" si="55"/>
        <v>1+0.124753197202422i</v>
      </c>
      <c r="AH79" s="50">
        <f t="shared" si="75"/>
        <v>1.007751636174423</v>
      </c>
      <c r="AI79" s="50">
        <f t="shared" si="76"/>
        <v>0.12411198133838028</v>
      </c>
      <c r="AJ79" s="50" t="str">
        <f t="shared" si="56"/>
        <v>1+0.000112624414141076i</v>
      </c>
      <c r="AK79" s="50">
        <f t="shared" si="77"/>
        <v>1.0000000063421293</v>
      </c>
      <c r="AL79" s="50">
        <f t="shared" si="78"/>
        <v>1.1262441366489028E-4</v>
      </c>
      <c r="AM79" s="50" t="str">
        <f t="shared" si="57"/>
        <v>1-0.000519618925465898i</v>
      </c>
      <c r="AN79" s="50">
        <f t="shared" si="79"/>
        <v>1.0000001350019048</v>
      </c>
      <c r="AO79" s="50">
        <f t="shared" si="80"/>
        <v>-5.1961887869953936E-4</v>
      </c>
      <c r="AP79" s="59" t="str">
        <f t="shared" si="81"/>
        <v>77.9358300452369-9.7549587249189i</v>
      </c>
      <c r="AQ79" s="50">
        <f t="shared" si="82"/>
        <v>37.902255288828442</v>
      </c>
      <c r="AR79" s="62">
        <f t="shared" si="83"/>
        <v>-7.1344117828272982</v>
      </c>
      <c r="AS79" s="32" t="str">
        <f t="shared" si="58"/>
        <v>-0.0000166666666666667</v>
      </c>
      <c r="AT79" s="32" t="str">
        <f t="shared" si="59"/>
        <v>8.70279563817404E-07i</v>
      </c>
      <c r="AU79" s="32">
        <f t="shared" si="84"/>
        <v>8.7027956381740398E-7</v>
      </c>
      <c r="AV79" s="32">
        <f t="shared" si="85"/>
        <v>1.5707963267948966</v>
      </c>
      <c r="AW79" s="32" t="str">
        <f t="shared" si="60"/>
        <v>1+0.00088443289928433i</v>
      </c>
      <c r="AX79" s="32">
        <f t="shared" si="86"/>
        <v>1.0000003911107003</v>
      </c>
      <c r="AY79" s="32">
        <f t="shared" si="87"/>
        <v>8.8443266867694616E-4</v>
      </c>
      <c r="AZ79" s="32" t="str">
        <f t="shared" si="61"/>
        <v>1+0.0300707185756672i</v>
      </c>
      <c r="BA79" s="32">
        <f t="shared" si="88"/>
        <v>1.0004520218959312</v>
      </c>
      <c r="BB79" s="32">
        <f t="shared" si="89"/>
        <v>3.0061659693176472E-2</v>
      </c>
      <c r="BC79" s="59" t="str">
        <f t="shared" si="90"/>
        <v>-0.558944199460001+19.1514285536889i</v>
      </c>
      <c r="BD79" s="50">
        <f t="shared" si="91"/>
        <v>25.647721212378443</v>
      </c>
      <c r="BE79" s="62">
        <f t="shared" si="92"/>
        <v>91.671731966398866</v>
      </c>
      <c r="BF79" s="59" t="str">
        <f t="shared" si="93"/>
        <v>51.8884371242776+528.029748687449i</v>
      </c>
      <c r="BG79" s="65">
        <f t="shared" si="94"/>
        <v>54.494904719527796</v>
      </c>
      <c r="BH79" s="62">
        <f t="shared" si="95"/>
        <v>84.387676319586348</v>
      </c>
      <c r="BI79" s="59" t="str">
        <f t="shared" si="101"/>
        <v>143.259614930583+1498.03495847906i</v>
      </c>
      <c r="BJ79" s="65">
        <f t="shared" si="97"/>
        <v>63.549976501206878</v>
      </c>
      <c r="BK79" s="62">
        <f t="shared" si="102"/>
        <v>84.537320183571566</v>
      </c>
      <c r="BL79" s="50">
        <f t="shared" si="99"/>
        <v>54.494904719527796</v>
      </c>
      <c r="BM79" s="62">
        <f t="shared" si="100"/>
        <v>84.387676319586348</v>
      </c>
    </row>
    <row r="80" spans="1:65" x14ac:dyDescent="0.3">
      <c r="N80" s="11">
        <v>62</v>
      </c>
      <c r="O80" s="51">
        <f t="shared" si="62"/>
        <v>41.686938347033561</v>
      </c>
      <c r="P80" s="49" t="str">
        <f t="shared" si="50"/>
        <v>27.9103246607183</v>
      </c>
      <c r="Q80" s="18" t="str">
        <f t="shared" si="63"/>
        <v>1+0.128664111271822i</v>
      </c>
      <c r="R80" s="18">
        <f t="shared" si="64"/>
        <v>1.0082432511697601</v>
      </c>
      <c r="S80" s="18">
        <f t="shared" si="65"/>
        <v>0.12796109300428504</v>
      </c>
      <c r="T80" s="18" t="str">
        <f t="shared" si="51"/>
        <v>1+0.000115247773750289i</v>
      </c>
      <c r="U80" s="18">
        <f t="shared" si="66"/>
        <v>1.0000000066410246</v>
      </c>
      <c r="V80" s="18">
        <f t="shared" si="67"/>
        <v>1.152477732400468E-4</v>
      </c>
      <c r="W80" s="32" t="str">
        <f t="shared" si="52"/>
        <v>1-0.00151982193217272i</v>
      </c>
      <c r="X80" s="18">
        <f t="shared" si="68"/>
        <v>1.0000011549286858</v>
      </c>
      <c r="Y80" s="18">
        <f t="shared" si="69"/>
        <v>-1.5198207619830349E-3</v>
      </c>
      <c r="Z80" s="32" t="str">
        <f t="shared" si="53"/>
        <v>0.999999964095024+0.000694998842218294i</v>
      </c>
      <c r="AA80" s="18">
        <f t="shared" si="70"/>
        <v>1.0000002056066988</v>
      </c>
      <c r="AB80" s="18">
        <f t="shared" si="71"/>
        <v>6.9499875527199951E-4</v>
      </c>
      <c r="AC80" s="67" t="str">
        <f t="shared" si="72"/>
        <v>27.4483575809914-3.59021827601924i</v>
      </c>
      <c r="AD80" s="65">
        <f t="shared" si="73"/>
        <v>28.843999596987985</v>
      </c>
      <c r="AE80" s="62">
        <f t="shared" si="74"/>
        <v>-7.451927170743474</v>
      </c>
      <c r="AF80" s="50" t="str">
        <f t="shared" si="54"/>
        <v>79.1527877025864</v>
      </c>
      <c r="AG80" s="50" t="str">
        <f t="shared" si="55"/>
        <v>1+0.127659072461858i</v>
      </c>
      <c r="AH80" s="50">
        <f t="shared" si="75"/>
        <v>1.0081154888115855</v>
      </c>
      <c r="AI80" s="50">
        <f t="shared" si="76"/>
        <v>0.12697229565780918</v>
      </c>
      <c r="AJ80" s="50" t="str">
        <f t="shared" si="56"/>
        <v>1+0.000115247773750289i</v>
      </c>
      <c r="AK80" s="50">
        <f t="shared" si="77"/>
        <v>1.0000000066410246</v>
      </c>
      <c r="AL80" s="50">
        <f t="shared" si="78"/>
        <v>1.152477732400468E-4</v>
      </c>
      <c r="AM80" s="50" t="str">
        <f t="shared" si="57"/>
        <v>1-0.00053172240508571i</v>
      </c>
      <c r="AN80" s="50">
        <f t="shared" si="79"/>
        <v>1.000000141364348</v>
      </c>
      <c r="AO80" s="50">
        <f t="shared" si="80"/>
        <v>-5.3172235497465415E-4</v>
      </c>
      <c r="AP80" s="59" t="str">
        <f t="shared" si="81"/>
        <v>77.8793962896236-9.97497662230042i</v>
      </c>
      <c r="AQ80" s="50">
        <f t="shared" si="82"/>
        <v>37.899119838552586</v>
      </c>
      <c r="AR80" s="62">
        <f t="shared" si="83"/>
        <v>-7.2988388920876055</v>
      </c>
      <c r="AS80" s="32" t="str">
        <f t="shared" si="58"/>
        <v>-0.0000166666666666667</v>
      </c>
      <c r="AT80" s="32" t="str">
        <f t="shared" si="59"/>
        <v>8.90550978979501E-07i</v>
      </c>
      <c r="AU80" s="32">
        <f t="shared" si="84"/>
        <v>8.90550978979501E-7</v>
      </c>
      <c r="AV80" s="32">
        <f t="shared" si="85"/>
        <v>1.5707963267948966</v>
      </c>
      <c r="AW80" s="32" t="str">
        <f t="shared" si="60"/>
        <v>1+0.000905033987980207i</v>
      </c>
      <c r="AX80" s="32">
        <f t="shared" si="86"/>
        <v>1.0000004095431758</v>
      </c>
      <c r="AY80" s="32">
        <f t="shared" si="87"/>
        <v>9.0503374087994872E-4</v>
      </c>
      <c r="AZ80" s="32" t="str">
        <f t="shared" si="61"/>
        <v>1+0.030771155591327i</v>
      </c>
      <c r="BA80" s="32">
        <f t="shared" si="88"/>
        <v>1.0004733199923053</v>
      </c>
      <c r="BB80" s="32">
        <f t="shared" si="89"/>
        <v>3.0761449071858536E-2</v>
      </c>
      <c r="BC80" s="59" t="str">
        <f t="shared" si="90"/>
        <v>-0.558944178854559+18.7155115847299i</v>
      </c>
      <c r="BD80" s="50">
        <f t="shared" si="91"/>
        <v>25.447905959639399</v>
      </c>
      <c r="BE80" s="62">
        <f t="shared" si="92"/>
        <v>91.710646589854747</v>
      </c>
      <c r="BF80" s="59" t="str">
        <f t="shared" si="93"/>
        <v>51.8506720475335+515.716785895051i</v>
      </c>
      <c r="BG80" s="65">
        <f t="shared" si="94"/>
        <v>54.29190555662737</v>
      </c>
      <c r="BH80" s="62">
        <f t="shared" si="95"/>
        <v>84.258719419111287</v>
      </c>
      <c r="BI80" s="59" t="str">
        <f t="shared" si="101"/>
        <v>143.156555323281+1463.12819858747i</v>
      </c>
      <c r="BJ80" s="65">
        <f t="shared" si="97"/>
        <v>63.347025798192007</v>
      </c>
      <c r="BK80" s="62">
        <f t="shared" si="102"/>
        <v>84.411807697767173</v>
      </c>
      <c r="BL80" s="50">
        <f t="shared" si="99"/>
        <v>54.29190555662737</v>
      </c>
      <c r="BM80" s="62">
        <f t="shared" si="100"/>
        <v>84.258719419111287</v>
      </c>
    </row>
    <row r="81" spans="14:65" x14ac:dyDescent="0.3">
      <c r="N81" s="11">
        <v>63</v>
      </c>
      <c r="O81" s="51">
        <f t="shared" si="62"/>
        <v>42.657951880159267</v>
      </c>
      <c r="P81" s="49" t="str">
        <f t="shared" si="50"/>
        <v>27.9103246607183</v>
      </c>
      <c r="Q81" s="18" t="str">
        <f t="shared" si="63"/>
        <v>1+0.131661083422487i</v>
      </c>
      <c r="R81" s="18">
        <f t="shared" si="64"/>
        <v>1.0086300812924345</v>
      </c>
      <c r="S81" s="18">
        <f t="shared" si="65"/>
        <v>0.13090813344767041</v>
      </c>
      <c r="T81" s="18" t="str">
        <f t="shared" si="51"/>
        <v>1+0.000117932239254628i</v>
      </c>
      <c r="U81" s="18">
        <f t="shared" si="66"/>
        <v>1.0000000069540065</v>
      </c>
      <c r="V81" s="18">
        <f t="shared" si="67"/>
        <v>1.1793223870789363E-4</v>
      </c>
      <c r="W81" s="32" t="str">
        <f t="shared" si="52"/>
        <v>1-0.00155522313270693i</v>
      </c>
      <c r="X81" s="18">
        <f t="shared" si="68"/>
        <v>1.0000012093587649</v>
      </c>
      <c r="Y81" s="18">
        <f t="shared" si="69"/>
        <v>-1.5552218788261734E-3</v>
      </c>
      <c r="Z81" s="32" t="str">
        <f t="shared" si="53"/>
        <v>0.999999962402875+0.000711187444885217i</v>
      </c>
      <c r="AA81" s="18">
        <f t="shared" si="70"/>
        <v>1.0000002152966434</v>
      </c>
      <c r="AB81" s="18">
        <f t="shared" si="71"/>
        <v>7.111873517205849E-4</v>
      </c>
      <c r="AC81" s="67" t="str">
        <f t="shared" si="72"/>
        <v>27.4269567196634-3.67102754095405i</v>
      </c>
      <c r="AD81" s="65">
        <f t="shared" si="73"/>
        <v>28.840668134258998</v>
      </c>
      <c r="AE81" s="62">
        <f t="shared" si="74"/>
        <v>-7.6235822145002006</v>
      </c>
      <c r="AF81" s="50" t="str">
        <f t="shared" si="54"/>
        <v>79.1527877025864</v>
      </c>
      <c r="AG81" s="50" t="str">
        <f t="shared" si="55"/>
        <v>1+0.13063263425128i</v>
      </c>
      <c r="AH81" s="50">
        <f t="shared" si="75"/>
        <v>1.0084963485959821</v>
      </c>
      <c r="AI81" s="50">
        <f t="shared" si="76"/>
        <v>0.12989707407382073</v>
      </c>
      <c r="AJ81" s="50" t="str">
        <f t="shared" si="56"/>
        <v>1+0.000117932239254628i</v>
      </c>
      <c r="AK81" s="50">
        <f t="shared" si="77"/>
        <v>1.0000000069540065</v>
      </c>
      <c r="AL81" s="50">
        <f t="shared" si="78"/>
        <v>1.1793223870789363E-4</v>
      </c>
      <c r="AM81" s="50" t="str">
        <f t="shared" si="57"/>
        <v>1-0.000544107810962875i</v>
      </c>
      <c r="AN81" s="50">
        <f t="shared" si="79"/>
        <v>1.0000001480266441</v>
      </c>
      <c r="AO81" s="50">
        <f t="shared" si="80"/>
        <v>-5.4410775726791173E-4</v>
      </c>
      <c r="AP81" s="59" t="str">
        <f t="shared" si="81"/>
        <v>77.8203901344896-10.1996155462822i</v>
      </c>
      <c r="AQ81" s="50">
        <f t="shared" si="82"/>
        <v>37.895839043564571</v>
      </c>
      <c r="AR81" s="62">
        <f t="shared" si="83"/>
        <v>-7.4669721740734785</v>
      </c>
      <c r="AS81" s="32" t="str">
        <f t="shared" si="58"/>
        <v>-0.0000166666666666667</v>
      </c>
      <c r="AT81" s="32" t="str">
        <f t="shared" si="59"/>
        <v>9.11294576058488E-07i</v>
      </c>
      <c r="AU81" s="32">
        <f t="shared" si="84"/>
        <v>9.1129457605848803E-7</v>
      </c>
      <c r="AV81" s="32">
        <f t="shared" si="85"/>
        <v>1.5707963267948966</v>
      </c>
      <c r="AW81" s="32" t="str">
        <f t="shared" si="60"/>
        <v>1+0.000926114937676049i</v>
      </c>
      <c r="AX81" s="32">
        <f t="shared" si="86"/>
        <v>1.0000004288443469</v>
      </c>
      <c r="AY81" s="32">
        <f t="shared" si="87"/>
        <v>9.2611467290335805E-4</v>
      </c>
      <c r="AZ81" s="32" t="str">
        <f t="shared" si="61"/>
        <v>1+0.0314879078809857i</v>
      </c>
      <c r="BA81" s="32">
        <f t="shared" si="88"/>
        <v>1.0004956213510989</v>
      </c>
      <c r="BB81" s="32">
        <f t="shared" si="89"/>
        <v>3.1477507436236576E-2</v>
      </c>
      <c r="BC81" s="59" t="str">
        <f t="shared" si="90"/>
        <v>-0.558944157278016+18.2895178277404i</v>
      </c>
      <c r="BD81" s="50">
        <f t="shared" si="91"/>
        <v>25.24809940533288</v>
      </c>
      <c r="BE81" s="62">
        <f t="shared" si="92"/>
        <v>91.750465863585518</v>
      </c>
      <c r="BF81" s="59" t="str">
        <f t="shared" si="93"/>
        <v>51.8111864460322+503.677713280171i</v>
      </c>
      <c r="BG81" s="65">
        <f t="shared" si="94"/>
        <v>54.088767539591871</v>
      </c>
      <c r="BH81" s="62">
        <f t="shared" si="95"/>
        <v>84.126883649085315</v>
      </c>
      <c r="BI81" s="59" t="str">
        <f t="shared" si="101"/>
        <v>143.048797987058+1428.99842824254i</v>
      </c>
      <c r="BJ81" s="65">
        <f t="shared" si="97"/>
        <v>63.143938448897465</v>
      </c>
      <c r="BK81" s="62">
        <f t="shared" si="102"/>
        <v>84.283493689512042</v>
      </c>
      <c r="BL81" s="50">
        <f t="shared" si="99"/>
        <v>54.088767539591871</v>
      </c>
      <c r="BM81" s="62">
        <f t="shared" si="100"/>
        <v>84.126883649085315</v>
      </c>
    </row>
    <row r="82" spans="14:65" x14ac:dyDescent="0.3">
      <c r="N82" s="11">
        <v>64</v>
      </c>
      <c r="O82" s="51">
        <f t="shared" si="62"/>
        <v>43.651583224016633</v>
      </c>
      <c r="P82" s="49" t="str">
        <f t="shared" si="50"/>
        <v>27.9103246607183</v>
      </c>
      <c r="Q82" s="18" t="str">
        <f t="shared" si="63"/>
        <v>1+0.134727864022322i</v>
      </c>
      <c r="R82" s="18">
        <f t="shared" si="64"/>
        <v>1.0090349832111953</v>
      </c>
      <c r="S82" s="18">
        <f t="shared" si="65"/>
        <v>0.13392145324355798</v>
      </c>
      <c r="T82" s="18" t="str">
        <f t="shared" si="51"/>
        <v>1+0.000120679233993238i</v>
      </c>
      <c r="U82" s="18">
        <f t="shared" si="66"/>
        <v>1.0000000072817388</v>
      </c>
      <c r="V82" s="18">
        <f t="shared" si="67"/>
        <v>1.2067923340740156E-4</v>
      </c>
      <c r="W82" s="32" t="str">
        <f t="shared" si="52"/>
        <v>1-0.00159144893313192i</v>
      </c>
      <c r="X82" s="18">
        <f t="shared" si="68"/>
        <v>1.0000012663540516</v>
      </c>
      <c r="Y82" s="18">
        <f t="shared" si="69"/>
        <v>-1.5914475895745747E-3</v>
      </c>
      <c r="Z82" s="32" t="str">
        <f t="shared" si="53"/>
        <v>0.999999960630977+0.000727753128549097i</v>
      </c>
      <c r="AA82" s="18">
        <f t="shared" si="70"/>
        <v>1.0000002254432605</v>
      </c>
      <c r="AB82" s="18">
        <f t="shared" si="71"/>
        <v>7.2775302872139628E-4</v>
      </c>
      <c r="AC82" s="67" t="str">
        <f t="shared" si="72"/>
        <v>27.4045824198626-3.75352231436438i</v>
      </c>
      <c r="AD82" s="65">
        <f t="shared" si="73"/>
        <v>28.83718240206095</v>
      </c>
      <c r="AE82" s="62">
        <f t="shared" si="74"/>
        <v>-7.7991000536378507</v>
      </c>
      <c r="AF82" s="50" t="str">
        <f t="shared" si="54"/>
        <v>79.1527877025864</v>
      </c>
      <c r="AG82" s="50" t="str">
        <f t="shared" si="55"/>
        <v>1+0.13367545919251i</v>
      </c>
      <c r="AH82" s="50">
        <f t="shared" si="75"/>
        <v>1.0088950036501958</v>
      </c>
      <c r="AI82" s="50">
        <f t="shared" si="76"/>
        <v>0.13288766708009556</v>
      </c>
      <c r="AJ82" s="50" t="str">
        <f t="shared" si="56"/>
        <v>1+0.000120679233993238i</v>
      </c>
      <c r="AK82" s="50">
        <f t="shared" si="77"/>
        <v>1.0000000072817388</v>
      </c>
      <c r="AL82" s="50">
        <f t="shared" si="78"/>
        <v>1.2067923340740156E-4</v>
      </c>
      <c r="AM82" s="50" t="str">
        <f t="shared" si="57"/>
        <v>1-0.00055678171000353i</v>
      </c>
      <c r="AN82" s="50">
        <f t="shared" si="79"/>
        <v>1.0000001550029243</v>
      </c>
      <c r="AO82" s="50">
        <f t="shared" si="80"/>
        <v>-5.5678165246834076E-4</v>
      </c>
      <c r="AP82" s="59" t="str">
        <f t="shared" si="81"/>
        <v>77.7586985465836-10.4289484611267i</v>
      </c>
      <c r="AQ82" s="50">
        <f t="shared" si="82"/>
        <v>37.892406283874926</v>
      </c>
      <c r="AR82" s="62">
        <f t="shared" si="83"/>
        <v>-7.6388893010766541</v>
      </c>
      <c r="AS82" s="32" t="str">
        <f t="shared" si="58"/>
        <v>-0.0000166666666666667</v>
      </c>
      <c r="AT82" s="32" t="str">
        <f t="shared" si="59"/>
        <v>9.32521353584112E-07i</v>
      </c>
      <c r="AU82" s="32">
        <f t="shared" si="84"/>
        <v>9.3252135358411204E-7</v>
      </c>
      <c r="AV82" s="32">
        <f t="shared" si="85"/>
        <v>1.5707963267948966</v>
      </c>
      <c r="AW82" s="32" t="str">
        <f t="shared" si="60"/>
        <v>1+0.000947686925770427i</v>
      </c>
      <c r="AX82" s="32">
        <f t="shared" si="86"/>
        <v>1.0000004490551537</v>
      </c>
      <c r="AY82" s="32">
        <f t="shared" si="87"/>
        <v>9.4768664206138409E-4</v>
      </c>
      <c r="AZ82" s="32" t="str">
        <f t="shared" si="61"/>
        <v>1+0.0322213554761945i</v>
      </c>
      <c r="BA82" s="32">
        <f t="shared" si="88"/>
        <v>1.0005189732077664</v>
      </c>
      <c r="BB82" s="32">
        <f t="shared" si="89"/>
        <v>3.2210211511041802E-2</v>
      </c>
      <c r="BC82" s="59" t="str">
        <f t="shared" si="90"/>
        <v>-0.5589441346846+17.8732214151917i</v>
      </c>
      <c r="BD82" s="50">
        <f t="shared" si="91"/>
        <v>25.048301958590194</v>
      </c>
      <c r="BE82" s="62">
        <f t="shared" si="92"/>
        <v>91.791210731915371</v>
      </c>
      <c r="BF82" s="59" t="str">
        <f t="shared" si="93"/>
        <v>51.7699048044345+491.906178663096i</v>
      </c>
      <c r="BG82" s="65">
        <f t="shared" si="94"/>
        <v>53.885484360651148</v>
      </c>
      <c r="BH82" s="62">
        <f t="shared" si="95"/>
        <v>83.992110678277513</v>
      </c>
      <c r="BI82" s="59" t="str">
        <f t="shared" si="101"/>
        <v>142.936136500019+1395.62763565351i</v>
      </c>
      <c r="BJ82" s="65">
        <f t="shared" si="97"/>
        <v>62.940708242465135</v>
      </c>
      <c r="BK82" s="62">
        <f t="shared" si="102"/>
        <v>84.15232143083874</v>
      </c>
      <c r="BL82" s="50">
        <f t="shared" si="99"/>
        <v>53.885484360651148</v>
      </c>
      <c r="BM82" s="62">
        <f t="shared" si="100"/>
        <v>83.992110678277513</v>
      </c>
    </row>
    <row r="83" spans="14:65" x14ac:dyDescent="0.3">
      <c r="N83" s="11">
        <v>65</v>
      </c>
      <c r="O83" s="51">
        <f t="shared" si="62"/>
        <v>44.668359215096324</v>
      </c>
      <c r="P83" s="49" t="str">
        <f t="shared" ref="P83:P146" si="103">COMPLEX(Adc,0)</f>
        <v>27.9103246607183</v>
      </c>
      <c r="Q83" s="18" t="str">
        <f t="shared" ref="Q83:Q146" si="104">IMSUM(COMPLEX(1,0),IMDIV(COMPLEX(0,2*PI()*O83),COMPLEX(wp_lf,0)))</f>
        <v>1+0.137866079118997i</v>
      </c>
      <c r="R83" s="18">
        <f t="shared" si="64"/>
        <v>1.0094587934985981</v>
      </c>
      <c r="S83" s="18">
        <f t="shared" si="65"/>
        <v>0.13700243108831672</v>
      </c>
      <c r="T83" s="18" t="str">
        <f t="shared" ref="T83:T146" si="105">IMSUM(COMPLEX(1,0),IMDIV(COMPLEX(0,2*PI()*O83),COMPLEX(wz_esr,0)))</f>
        <v>1+0.00012349021445909i</v>
      </c>
      <c r="U83" s="18">
        <f t="shared" si="66"/>
        <v>1.0000000076249165</v>
      </c>
      <c r="V83" s="18">
        <f t="shared" si="67"/>
        <v>1.2349021383135496E-4</v>
      </c>
      <c r="W83" s="32" t="str">
        <f t="shared" ref="W83:W146" si="106">IMSUB(COMPLEX(1,0),IMDIV(COMPLEX(0,2*PI()*O83),COMPLEX(wz_rhp,0)))</f>
        <v>1-0.00162851854084658i</v>
      </c>
      <c r="X83" s="18">
        <f t="shared" si="68"/>
        <v>1.0000013260354399</v>
      </c>
      <c r="Y83" s="18">
        <f t="shared" si="69"/>
        <v>-1.6285171011990499E-3</v>
      </c>
      <c r="Z83" s="32" t="str">
        <f t="shared" ref="Z83:Z146" si="107">IMSUM(COMPLEX(1,0),IMDIV(COMPLEX(0,2*PI()*O83),COMPLEX(Q*(wsl/2),0)),IMDIV(IMPOWER(COMPLEX(0,2*PI()*O83),2),IMPOWER(COMPLEX(wsl/2,0),2)))</f>
        <v>0.999999958775572+0.000744704676554685i</v>
      </c>
      <c r="AA83" s="18">
        <f t="shared" si="70"/>
        <v>1.0000002360680726</v>
      </c>
      <c r="AB83" s="18">
        <f t="shared" si="71"/>
        <v>7.4470456958737792E-4</v>
      </c>
      <c r="AC83" s="67" t="str">
        <f t="shared" si="72"/>
        <v>27.3811921035787-3.83772834823901i</v>
      </c>
      <c r="AD83" s="65">
        <f t="shared" si="73"/>
        <v>28.833535389191624</v>
      </c>
      <c r="AE83" s="62">
        <f t="shared" si="74"/>
        <v>-7.9785612019137861</v>
      </c>
      <c r="AF83" s="50" t="str">
        <f t="shared" ref="AF83:AF146" si="108">COMPLEX($B$72,0)</f>
        <v>79.1527877025864</v>
      </c>
      <c r="AG83" s="50" t="str">
        <f t="shared" ref="AG83:AG146" si="109">IMSUM(COMPLEX(1,0),IMDIV(COMPLEX(0,2*PI()*O83),COMPLEX(wp_lf_DCM,0)))</f>
        <v>1+0.136789160631607i</v>
      </c>
      <c r="AH83" s="50">
        <f t="shared" si="75"/>
        <v>1.00931227797263</v>
      </c>
      <c r="AI83" s="50">
        <f t="shared" si="76"/>
        <v>0.13594544624082353</v>
      </c>
      <c r="AJ83" s="50" t="str">
        <f t="shared" ref="AJ83:AJ146" si="110">IMSUM(COMPLEX(1,0),IMDIV(COMPLEX(0,2*PI()*O83),COMPLEX(wz1_dcm,0)))</f>
        <v>1+0.00012349021445909i</v>
      </c>
      <c r="AK83" s="50">
        <f t="shared" si="77"/>
        <v>1.0000000076249165</v>
      </c>
      <c r="AL83" s="50">
        <f t="shared" si="78"/>
        <v>1.2349021383135496E-4</v>
      </c>
      <c r="AM83" s="50" t="str">
        <f t="shared" ref="AM83:AM146" si="111">IMSUB(COMPLEX(1,0),IMDIV(COMPLEX(0,2*PI()*O83),COMPLEX(wz2_dcm,0)))</f>
        <v>1-0.000569750822076707i</v>
      </c>
      <c r="AN83" s="50">
        <f t="shared" si="79"/>
        <v>1.0000001623079864</v>
      </c>
      <c r="AO83" s="50">
        <f t="shared" si="80"/>
        <v>-5.6975076042664152E-4</v>
      </c>
      <c r="AP83" s="59" t="str">
        <f t="shared" si="81"/>
        <v>77.6942039253669-10.6630477120266i</v>
      </c>
      <c r="AQ83" s="50">
        <f t="shared" si="82"/>
        <v>37.888814649099274</v>
      </c>
      <c r="AR83" s="62">
        <f t="shared" si="83"/>
        <v>-7.8146691595048985</v>
      </c>
      <c r="AS83" s="32" t="str">
        <f t="shared" ref="AS83:AS146" si="112">COMPLEX(Adc_ea,0)</f>
        <v>-0.0000166666666666667</v>
      </c>
      <c r="AT83" s="32" t="str">
        <f t="shared" ref="AT83:AT146" si="113">COMPLEX(0,2*PI()*O83*wp0_ea)</f>
        <v>9.54242566274785E-07i</v>
      </c>
      <c r="AU83" s="32">
        <f t="shared" si="84"/>
        <v>9.5424256627478505E-7</v>
      </c>
      <c r="AV83" s="32">
        <f t="shared" si="85"/>
        <v>1.5707963267948966</v>
      </c>
      <c r="AW83" s="32" t="str">
        <f t="shared" ref="AW83:AW146" si="114">IMSUM(COMPLEX(1,0),IMDIV(COMPLEX(0,2*PI()*O83),COMPLEX(wp1_ea,0)))</f>
        <v>1+0.000969761390016969i</v>
      </c>
      <c r="AX83" s="32">
        <f t="shared" si="86"/>
        <v>1.0000004702184662</v>
      </c>
      <c r="AY83" s="32">
        <f t="shared" si="87"/>
        <v>9.6976108601726013E-4</v>
      </c>
      <c r="AZ83" s="32" t="str">
        <f t="shared" ref="AZ83:AZ146" si="115">IMSUM(COMPLEX(1,0),IMDIV(COMPLEX(0,2*PI()*O83),COMPLEX(wz_ea,0)))</f>
        <v>1+0.0329718872605769i</v>
      </c>
      <c r="BA83" s="32">
        <f t="shared" si="88"/>
        <v>1.0005434250193863</v>
      </c>
      <c r="BB83" s="32">
        <f t="shared" si="89"/>
        <v>3.2959946637025617E-2</v>
      </c>
      <c r="BC83" s="59" t="str">
        <f t="shared" si="90"/>
        <v>-0.558944111026391+17.4664016212155i</v>
      </c>
      <c r="BD83" s="50">
        <f t="shared" si="91"/>
        <v>24.848514047746097</v>
      </c>
      <c r="BE83" s="62">
        <f t="shared" si="92"/>
        <v>91.832902617913163</v>
      </c>
      <c r="BF83" s="59" t="str">
        <f t="shared" si="93"/>
        <v>51.7267485642889+480.395973808727i</v>
      </c>
      <c r="BG83" s="65">
        <f t="shared" si="94"/>
        <v>53.682049436937717</v>
      </c>
      <c r="BH83" s="62">
        <f t="shared" si="95"/>
        <v>83.854341415999386</v>
      </c>
      <c r="BI83" s="59" t="str">
        <f t="shared" si="101"/>
        <v>142.818356099472+1362.99821712531i</v>
      </c>
      <c r="BJ83" s="65">
        <f t="shared" si="97"/>
        <v>62.737328696845395</v>
      </c>
      <c r="BK83" s="62">
        <f t="shared" si="102"/>
        <v>84.018233458408289</v>
      </c>
      <c r="BL83" s="50">
        <f t="shared" si="99"/>
        <v>53.682049436937717</v>
      </c>
      <c r="BM83" s="62">
        <f t="shared" si="100"/>
        <v>83.854341415999386</v>
      </c>
    </row>
    <row r="84" spans="14:65" x14ac:dyDescent="0.3">
      <c r="N84" s="11">
        <v>66</v>
      </c>
      <c r="O84" s="51">
        <f t="shared" ref="O84:O118" si="116">10^(1+(N84/100))</f>
        <v>45.70881896148753</v>
      </c>
      <c r="P84" s="49" t="str">
        <f t="shared" si="103"/>
        <v>27.9103246607183</v>
      </c>
      <c r="Q84" s="18" t="str">
        <f t="shared" si="104"/>
        <v>1+0.141077392635693i</v>
      </c>
      <c r="R84" s="18">
        <f t="shared" ref="R84:R147" si="117">IMABS(Q84)</f>
        <v>1.0099023867250168</v>
      </c>
      <c r="S84" s="18">
        <f t="shared" ref="S84:S147" si="118">IMARGUMENT(Q84)</f>
        <v>0.14015246646628246</v>
      </c>
      <c r="T84" s="18" t="str">
        <f t="shared" si="105"/>
        <v>1+0.000126366671071234i</v>
      </c>
      <c r="U84" s="18">
        <f t="shared" ref="U84:U147" si="119">IMABS(T84)</f>
        <v>1.0000000079842677</v>
      </c>
      <c r="V84" s="18">
        <f t="shared" ref="V84:V147" si="120">IMARGUMENT(T84)</f>
        <v>1.2636667039860378E-4</v>
      </c>
      <c r="W84" s="32" t="str">
        <f t="shared" si="106"/>
        <v>1-0.00166645161064759i</v>
      </c>
      <c r="X84" s="18">
        <f t="shared" ref="X84:X147" si="121">IMABS(W84)</f>
        <v>1.0000013885295214</v>
      </c>
      <c r="Y84" s="18">
        <f t="shared" ref="Y84:Y147" si="122">IMARGUMENT(W84)</f>
        <v>-1.6664500680375846E-3</v>
      </c>
      <c r="Z84" s="32" t="str">
        <f t="shared" si="107"/>
        <v>0.999999956832725+0.000762051076837115i</v>
      </c>
      <c r="AA84" s="18">
        <f t="shared" ref="AA84:AA147" si="123">IMABS(Z84)</f>
        <v>1.0000002471936174</v>
      </c>
      <c r="AB84" s="18">
        <f t="shared" ref="AB84:AB147" si="124">IMARGUMENT(Z84)</f>
        <v>7.6205096221958169E-4</v>
      </c>
      <c r="AC84" s="67" t="str">
        <f t="shared" ref="AC84:AC147" si="125">(IMDIV(IMPRODUCT(P84,T84,W84),IMPRODUCT(Q84,Z84)))</f>
        <v>27.3567414910228-3.9236710950508i</v>
      </c>
      <c r="AD84" s="65">
        <f t="shared" ref="AD84:AD147" si="126">20*LOG(IMABS(AC84))</f>
        <v>28.829719778337033</v>
      </c>
      <c r="AE84" s="62">
        <f t="shared" ref="AE84:AE147" si="127">(180/PI())*IMARGUMENT(AC84)</f>
        <v>-8.1620473995587464</v>
      </c>
      <c r="AF84" s="50" t="str">
        <f t="shared" si="108"/>
        <v>79.1527877025864</v>
      </c>
      <c r="AG84" s="50" t="str">
        <f t="shared" si="109"/>
        <v>1+0.13997538949429i</v>
      </c>
      <c r="AH84" s="50">
        <f t="shared" ref="AH84:AH147" si="128">IMABS(AG84)</f>
        <v>1.0097490330097267</v>
      </c>
      <c r="AI84" s="50">
        <f t="shared" ref="AI84:AI147" si="129">IMARGUMENT(AG84)</f>
        <v>0.13907180398808325</v>
      </c>
      <c r="AJ84" s="50" t="str">
        <f t="shared" si="110"/>
        <v>1+0.000126366671071234i</v>
      </c>
      <c r="AK84" s="50">
        <f t="shared" ref="AK84:AK147" si="130">IMABS(AJ84)</f>
        <v>1.0000000079842677</v>
      </c>
      <c r="AL84" s="50">
        <f t="shared" ref="AL84:AL147" si="131">IMARGUMENT(AJ84)</f>
        <v>1.2636667039860378E-4</v>
      </c>
      <c r="AM84" s="50" t="str">
        <f t="shared" si="111"/>
        <v>1-0.000583022023577293i</v>
      </c>
      <c r="AN84" s="50">
        <f t="shared" ref="AN84:AN147" si="132">IMABS(AM84)</f>
        <v>1.0000001699573255</v>
      </c>
      <c r="AO84" s="50">
        <f t="shared" ref="AO84:AO147" si="133">IMARGUMENT(AM84)</f>
        <v>-5.830219575180583E-4</v>
      </c>
      <c r="AP84" s="59" t="str">
        <f t="shared" ref="AP84:AP147" si="134">(IMDIV(IMPRODUCT(AF84,AJ84,AM84),IMPRODUCT(AG84)))</f>
        <v>77.626783956578-10.9019848636813i</v>
      </c>
      <c r="AQ84" s="50">
        <f t="shared" ref="AQ84:AQ147" si="135">20*LOG(IMABS(AP84))</f>
        <v>37.885056926771519</v>
      </c>
      <c r="AR84" s="62">
        <f t="shared" ref="AR84:AR147" si="136">(180/PI())*IMARGUMENT(AP84)</f>
        <v>-7.9943918384321213</v>
      </c>
      <c r="AS84" s="32" t="str">
        <f t="shared" si="112"/>
        <v>-0.0000166666666666667</v>
      </c>
      <c r="AT84" s="32" t="str">
        <f t="shared" si="113"/>
        <v>9.76469731004991E-07i</v>
      </c>
      <c r="AU84" s="32">
        <f t="shared" ref="AU84:AU147" si="137">IMABS(AT84)</f>
        <v>9.7646973100499102E-7</v>
      </c>
      <c r="AV84" s="32">
        <f t="shared" ref="AV84:AV147" si="138">IMARGUMENT(AT84)</f>
        <v>1.5707963267948966</v>
      </c>
      <c r="AW84" s="32" t="str">
        <f t="shared" si="114"/>
        <v>1+0.000992350034588808i</v>
      </c>
      <c r="AX84" s="32">
        <f t="shared" ref="AX84:AX147" si="139">IMABS(AW84)</f>
        <v>1.0000004923791743</v>
      </c>
      <c r="AY84" s="32">
        <f t="shared" ref="AY84:AY147" si="140">IMARGUMENT(AW84)</f>
        <v>9.9234970884725998E-4</v>
      </c>
      <c r="AZ84" s="32" t="str">
        <f t="shared" si="115"/>
        <v>1+0.0337399011760195i</v>
      </c>
      <c r="BA84" s="32">
        <f t="shared" ref="BA84:BA147" si="141">IMABS(AZ84)</f>
        <v>1.0005690285689277</v>
      </c>
      <c r="BB84" s="32">
        <f t="shared" ref="BB84:BB147" si="142">IMARGUMENT(AZ84)</f>
        <v>3.3727106960322939E-2</v>
      </c>
      <c r="BC84" s="59" t="str">
        <f t="shared" ref="BC84:BC147" si="143">IMPRODUCT(AS84,IMDIV(AZ84,IMPRODUCT(AT84,AW84)))</f>
        <v>-0.558944086253211+17.0688427445717i</v>
      </c>
      <c r="BD84" s="50">
        <f t="shared" ref="BD84:BD147" si="144">20*LOG(IMABS(BC84))</f>
        <v>24.64873612123607</v>
      </c>
      <c r="BE84" s="62">
        <f t="shared" ref="BE84:BE147" si="145">(180/PI())*IMARGUMENT(BC84)</f>
        <v>91.875563433894825</v>
      </c>
      <c r="BF84" s="59" t="str">
        <f t="shared" ref="BF84:BF147" si="146">IMPRODUCT(AC84,BC84)</f>
        <v>51.6816360272785+469.141031269149i</v>
      </c>
      <c r="BG84" s="65">
        <f t="shared" ref="BG84:BG147" si="147">20*LOG(IMABS(BF84))</f>
        <v>53.478455899573092</v>
      </c>
      <c r="BH84" s="62">
        <f t="shared" ref="BH84:BH147" si="148">(180/PI())*IMARGUMENT(BF84)</f>
        <v>83.713516034336081</v>
      </c>
      <c r="BI84" s="59" t="str">
        <f t="shared" si="101"/>
        <v>142.695233414492+1331.09296808965i</v>
      </c>
      <c r="BJ84" s="65">
        <f t="shared" ref="BJ84:BJ147" si="149">20*LOG(IMABS(BI84))</f>
        <v>62.533793048007603</v>
      </c>
      <c r="BK84" s="62">
        <f t="shared" si="102"/>
        <v>83.881171595462718</v>
      </c>
      <c r="BL84" s="50">
        <f t="shared" ref="BL84:BL147" si="150">IF($B$31=0,BJ84,BG84)</f>
        <v>53.478455899573092</v>
      </c>
      <c r="BM84" s="62">
        <f t="shared" ref="BM84:BM147" si="151">IF($B$31=0,BK84,BH84)</f>
        <v>83.713516034336081</v>
      </c>
    </row>
    <row r="85" spans="14:65" x14ac:dyDescent="0.3">
      <c r="N85" s="11">
        <v>67</v>
      </c>
      <c r="O85" s="51">
        <f t="shared" si="116"/>
        <v>46.773514128719818</v>
      </c>
      <c r="P85" s="49" t="str">
        <f t="shared" si="103"/>
        <v>27.9103246607183</v>
      </c>
      <c r="Q85" s="18" t="str">
        <f t="shared" si="104"/>
        <v>1+0.144363507253345i</v>
      </c>
      <c r="R85" s="18">
        <f t="shared" si="117"/>
        <v>1.0103666771160293</v>
      </c>
      <c r="S85" s="18">
        <f t="shared" si="118"/>
        <v>0.14337297938124458</v>
      </c>
      <c r="T85" s="18" t="str">
        <f t="shared" si="105"/>
        <v>1+0.000129310128965041i</v>
      </c>
      <c r="U85" s="18">
        <f t="shared" si="119"/>
        <v>1.0000000083605547</v>
      </c>
      <c r="V85" s="18">
        <f t="shared" si="120"/>
        <v>1.2931012824430474E-4</v>
      </c>
      <c r="W85" s="32" t="str">
        <f t="shared" si="106"/>
        <v>1-0.00170526825515065i</v>
      </c>
      <c r="X85" s="18">
        <f t="shared" si="121"/>
        <v>1.000001453968854</v>
      </c>
      <c r="Y85" s="18">
        <f t="shared" si="122"/>
        <v>-1.7052666022143784E-3</v>
      </c>
      <c r="Z85" s="32" t="str">
        <f t="shared" si="107"/>
        <v>0.999999954798314+0.000779801526687422i</v>
      </c>
      <c r="AA85" s="18">
        <f t="shared" si="123"/>
        <v>1.000000258843492</v>
      </c>
      <c r="AB85" s="18">
        <f t="shared" si="124"/>
        <v>7.7980140387252385E-4</v>
      </c>
      <c r="AC85" s="67" t="str">
        <f t="shared" si="125"/>
        <v>27.3311845479214-4.01137564423381i</v>
      </c>
      <c r="AD85" s="65">
        <f t="shared" si="126"/>
        <v>28.825727933889635</v>
      </c>
      <c r="AE85" s="62">
        <f t="shared" si="127"/>
        <v>-8.3496415987165964</v>
      </c>
      <c r="AF85" s="50" t="str">
        <f t="shared" si="108"/>
        <v>79.1527877025864</v>
      </c>
      <c r="AG85" s="50" t="str">
        <f t="shared" si="109"/>
        <v>1+0.143235835161276i</v>
      </c>
      <c r="AH85" s="50">
        <f t="shared" si="128"/>
        <v>1.010206169291372</v>
      </c>
      <c r="AI85" s="50">
        <f t="shared" si="129"/>
        <v>0.14226815337066373</v>
      </c>
      <c r="AJ85" s="50" t="str">
        <f t="shared" si="110"/>
        <v>1+0.000129310128965041i</v>
      </c>
      <c r="AK85" s="50">
        <f t="shared" si="130"/>
        <v>1.0000000083605547</v>
      </c>
      <c r="AL85" s="50">
        <f t="shared" si="131"/>
        <v>1.2931012824430474E-4</v>
      </c>
      <c r="AM85" s="50" t="str">
        <f t="shared" si="111"/>
        <v>1-0.000596602351071989i</v>
      </c>
      <c r="AN85" s="50">
        <f t="shared" si="132"/>
        <v>1.0000001779671668</v>
      </c>
      <c r="AO85" s="50">
        <f t="shared" si="133"/>
        <v>-5.9660228028824433E-4</v>
      </c>
      <c r="AP85" s="59" t="str">
        <f t="shared" si="134"/>
        <v>77.5563114648992-11.1458305267544i</v>
      </c>
      <c r="AQ85" s="50">
        <f t="shared" si="135"/>
        <v>37.881125590286985</v>
      </c>
      <c r="AR85" s="62">
        <f t="shared" si="136"/>
        <v>-8.1781386153706457</v>
      </c>
      <c r="AS85" s="32" t="str">
        <f t="shared" si="112"/>
        <v>-0.0000166666666666667</v>
      </c>
      <c r="AT85" s="32" t="str">
        <f t="shared" si="113"/>
        <v>9.99214632911679E-07i</v>
      </c>
      <c r="AU85" s="32">
        <f t="shared" si="137"/>
        <v>9.9921463291167896E-7</v>
      </c>
      <c r="AV85" s="32">
        <f t="shared" si="138"/>
        <v>1.5707963267948966</v>
      </c>
      <c r="AW85" s="32" t="str">
        <f t="shared" si="114"/>
        <v>1+0.00101546483628429i</v>
      </c>
      <c r="AX85" s="32">
        <f t="shared" si="139"/>
        <v>1.0000005155842839</v>
      </c>
      <c r="AY85" s="32">
        <f t="shared" si="140"/>
        <v>1.0154644872459424E-3</v>
      </c>
      <c r="AZ85" s="32" t="str">
        <f t="shared" si="115"/>
        <v>1+0.0345258044336659i</v>
      </c>
      <c r="BA85" s="32">
        <f t="shared" si="141"/>
        <v>1.0005958380743905</v>
      </c>
      <c r="BB85" s="32">
        <f t="shared" si="142"/>
        <v>3.4512095625421665E-2</v>
      </c>
      <c r="BC85" s="59" t="str">
        <f t="shared" si="143"/>
        <v>-0.558944060312508+16.6803339942817i</v>
      </c>
      <c r="BD85" s="50">
        <f t="shared" si="144"/>
        <v>24.448968648535839</v>
      </c>
      <c r="BE85" s="62">
        <f t="shared" si="145"/>
        <v>91.919215592123962</v>
      </c>
      <c r="BF85" s="59" t="str">
        <f t="shared" si="146"/>
        <v>51.6344822579812+458.135421308707i</v>
      </c>
      <c r="BG85" s="65">
        <f t="shared" si="147"/>
        <v>53.274696582425477</v>
      </c>
      <c r="BH85" s="62">
        <f t="shared" si="148"/>
        <v>83.569573993407388</v>
      </c>
      <c r="BI85" s="59" t="str">
        <f t="shared" si="101"/>
        <v>142.566536196872+1299.89507436924i</v>
      </c>
      <c r="BJ85" s="65">
        <f t="shared" si="149"/>
        <v>62.330094238822838</v>
      </c>
      <c r="BK85" s="62">
        <f t="shared" si="102"/>
        <v>83.741076976753348</v>
      </c>
      <c r="BL85" s="50">
        <f t="shared" si="150"/>
        <v>53.274696582425477</v>
      </c>
      <c r="BM85" s="62">
        <f t="shared" si="151"/>
        <v>83.569573993407388</v>
      </c>
    </row>
    <row r="86" spans="14:65" x14ac:dyDescent="0.3">
      <c r="N86" s="11">
        <v>68</v>
      </c>
      <c r="O86" s="51">
        <f t="shared" si="116"/>
        <v>47.863009232263877</v>
      </c>
      <c r="P86" s="49" t="str">
        <f t="shared" si="103"/>
        <v>27.9103246607183</v>
      </c>
      <c r="Q86" s="18" t="str">
        <f t="shared" si="104"/>
        <v>1+0.14772616531342i</v>
      </c>
      <c r="R86" s="18">
        <f t="shared" si="117"/>
        <v>1.0108526202756798</v>
      </c>
      <c r="S86" s="18">
        <f t="shared" si="118"/>
        <v>0.14666541003449257</v>
      </c>
      <c r="T86" s="18" t="str">
        <f t="shared" si="105"/>
        <v>1+0.000132322148800847i</v>
      </c>
      <c r="U86" s="18">
        <f t="shared" si="119"/>
        <v>1.0000000087545755</v>
      </c>
      <c r="V86" s="18">
        <f t="shared" si="120"/>
        <v>1.3232214802856419E-4</v>
      </c>
      <c r="W86" s="32" t="str">
        <f t="shared" si="106"/>
        <v>1-0.00174498905545449i</v>
      </c>
      <c r="X86" s="18">
        <f t="shared" si="121"/>
        <v>1.0000015224922427</v>
      </c>
      <c r="Y86" s="18">
        <f t="shared" si="122"/>
        <v>-1.7449872843015104E-3</v>
      </c>
      <c r="Z86" s="32" t="str">
        <f t="shared" si="107"/>
        <v>0.999999952668024+0.000797965437629073i</v>
      </c>
      <c r="AA86" s="18">
        <f t="shared" si="123"/>
        <v>1.0000002710424083</v>
      </c>
      <c r="AB86" s="18">
        <f t="shared" si="124"/>
        <v>7.9796530603054095E-4</v>
      </c>
      <c r="AC86" s="67" t="str">
        <f t="shared" si="125"/>
        <v>27.3044734327101-4.10086665402278i</v>
      </c>
      <c r="AD86" s="65">
        <f t="shared" si="126"/>
        <v>28.82155188939479</v>
      </c>
      <c r="AE86" s="62">
        <f t="shared" si="127"/>
        <v>-8.5414279458418498</v>
      </c>
      <c r="AF86" s="50" t="str">
        <f t="shared" si="108"/>
        <v>79.1527877025864</v>
      </c>
      <c r="AG86" s="50" t="str">
        <f t="shared" si="109"/>
        <v>1+0.146572226364015i</v>
      </c>
      <c r="AH86" s="50">
        <f t="shared" si="128"/>
        <v>1.0106846281314978</v>
      </c>
      <c r="AI86" s="50">
        <f t="shared" si="129"/>
        <v>0.14553592775073881</v>
      </c>
      <c r="AJ86" s="50" t="str">
        <f t="shared" si="110"/>
        <v>1+0.000132322148800847i</v>
      </c>
      <c r="AK86" s="50">
        <f t="shared" si="130"/>
        <v>1.0000000087545755</v>
      </c>
      <c r="AL86" s="50">
        <f t="shared" si="131"/>
        <v>1.3232214802856419E-4</v>
      </c>
      <c r="AM86" s="50" t="str">
        <f t="shared" si="111"/>
        <v>1-0.000610499005030189i</v>
      </c>
      <c r="AN86" s="50">
        <f t="shared" si="132"/>
        <v>1.0000001863545003</v>
      </c>
      <c r="AO86" s="50">
        <f t="shared" si="133"/>
        <v>-6.1049892918404092E-4</v>
      </c>
      <c r="AP86" s="59" t="str">
        <f t="shared" si="134"/>
        <v>77.4826542661743-11.3946541715718i</v>
      </c>
      <c r="AQ86" s="50">
        <f t="shared" si="135"/>
        <v>37.877012786473855</v>
      </c>
      <c r="AR86" s="62">
        <f t="shared" si="136"/>
        <v>-8.3659919390595512</v>
      </c>
      <c r="AS86" s="32" t="str">
        <f t="shared" si="112"/>
        <v>-0.0000166666666666667</v>
      </c>
      <c r="AT86" s="32" t="str">
        <f t="shared" si="113"/>
        <v>1.02248933164291E-06i</v>
      </c>
      <c r="AU86" s="32">
        <f t="shared" si="137"/>
        <v>1.02248933164291E-6</v>
      </c>
      <c r="AV86" s="32">
        <f t="shared" si="138"/>
        <v>1.5707963267948966</v>
      </c>
      <c r="AW86" s="32" t="str">
        <f t="shared" si="114"/>
        <v>1+0.00103911805087724i</v>
      </c>
      <c r="AX86" s="32">
        <f t="shared" si="139"/>
        <v>1.0000005398830161</v>
      </c>
      <c r="AY86" s="32">
        <f t="shared" si="140"/>
        <v>1.0391176768759231E-3</v>
      </c>
      <c r="AZ86" s="32" t="str">
        <f t="shared" si="115"/>
        <v>1+0.0353300137298261i</v>
      </c>
      <c r="BA86" s="32">
        <f t="shared" si="141"/>
        <v>1.0006239103030417</v>
      </c>
      <c r="BB86" s="32">
        <f t="shared" si="142"/>
        <v>3.5315324971766121E-2</v>
      </c>
      <c r="BC86" s="59" t="str">
        <f t="shared" si="143"/>
        <v>-0.558944033149256+16.3006693778633i</v>
      </c>
      <c r="BD86" s="50">
        <f t="shared" si="144"/>
        <v>24.249212121143454</v>
      </c>
      <c r="BE86" s="62">
        <f t="shared" si="145"/>
        <v>91.963882015712727</v>
      </c>
      <c r="BF86" s="59" t="str">
        <f t="shared" si="146"/>
        <v>51.5851989864342+447.373348910266i</v>
      </c>
      <c r="BG86" s="65">
        <f t="shared" si="147"/>
        <v>53.070764010538241</v>
      </c>
      <c r="BH86" s="62">
        <f t="shared" si="148"/>
        <v>83.422454069870867</v>
      </c>
      <c r="BI86" s="59" t="str">
        <f t="shared" si="101"/>
        <v>142.432023051238+1269.3881036712i</v>
      </c>
      <c r="BJ86" s="65">
        <f t="shared" si="149"/>
        <v>62.126224907617342</v>
      </c>
      <c r="BK86" s="62">
        <f t="shared" si="102"/>
        <v>83.597890076653186</v>
      </c>
      <c r="BL86" s="50">
        <f t="shared" si="150"/>
        <v>53.070764010538241</v>
      </c>
      <c r="BM86" s="62">
        <f t="shared" si="151"/>
        <v>83.422454069870867</v>
      </c>
    </row>
    <row r="87" spans="14:65" x14ac:dyDescent="0.3">
      <c r="N87" s="11">
        <v>69</v>
      </c>
      <c r="O87" s="51">
        <f t="shared" si="116"/>
        <v>48.977881936844632</v>
      </c>
      <c r="P87" s="49" t="str">
        <f t="shared" si="103"/>
        <v>27.9103246607183</v>
      </c>
      <c r="Q87" s="18" t="str">
        <f t="shared" si="104"/>
        <v>1+0.151167149741731i</v>
      </c>
      <c r="R87" s="18">
        <f t="shared" si="117"/>
        <v>1.0113612149776354</v>
      </c>
      <c r="S87" s="18">
        <f t="shared" si="118"/>
        <v>0.15003121844558484</v>
      </c>
      <c r="T87" s="18" t="str">
        <f t="shared" si="105"/>
        <v>1+0.000135404327591438i</v>
      </c>
      <c r="U87" s="18">
        <f t="shared" si="119"/>
        <v>1.0000000091671659</v>
      </c>
      <c r="V87" s="18">
        <f t="shared" si="120"/>
        <v>1.3540432676392204E-4</v>
      </c>
      <c r="W87" s="32" t="str">
        <f t="shared" si="106"/>
        <v>1-0.00178563507205319i</v>
      </c>
      <c r="X87" s="18">
        <f t="shared" si="121"/>
        <v>1.0000015942450344</v>
      </c>
      <c r="Y87" s="18">
        <f t="shared" si="122"/>
        <v>-1.7856331742287434E-3</v>
      </c>
      <c r="Z87" s="32" t="str">
        <f t="shared" si="107"/>
        <v>0.999999950437336+0.000816552440408077i</v>
      </c>
      <c r="AA87" s="18">
        <f t="shared" si="123"/>
        <v>1.000000283816241</v>
      </c>
      <c r="AB87" s="18">
        <f t="shared" si="124"/>
        <v>8.1655229939771204E-4</v>
      </c>
      <c r="AC87" s="67" t="str">
        <f t="shared" si="125"/>
        <v>27.2765584438131-4.19216827841902i</v>
      </c>
      <c r="AD87" s="65">
        <f t="shared" si="126"/>
        <v>28.817183334625142</v>
      </c>
      <c r="AE87" s="62">
        <f t="shared" si="127"/>
        <v>-8.7374917608349367</v>
      </c>
      <c r="AF87" s="50" t="str">
        <f t="shared" si="108"/>
        <v>79.1527877025864</v>
      </c>
      <c r="AG87" s="50" t="str">
        <f t="shared" si="109"/>
        <v>1+0.149986332101285i</v>
      </c>
      <c r="AH87" s="50">
        <f t="shared" si="128"/>
        <v>1.0111853933958881</v>
      </c>
      <c r="AI87" s="50">
        <f t="shared" si="129"/>
        <v>0.14887658044458837</v>
      </c>
      <c r="AJ87" s="50" t="str">
        <f t="shared" si="110"/>
        <v>1+0.000135404327591438i</v>
      </c>
      <c r="AK87" s="50">
        <f t="shared" si="130"/>
        <v>1.0000000091671659</v>
      </c>
      <c r="AL87" s="50">
        <f t="shared" si="131"/>
        <v>1.3540432676392204E-4</v>
      </c>
      <c r="AM87" s="50" t="str">
        <f t="shared" si="111"/>
        <v>1-0.000624719353641766i</v>
      </c>
      <c r="AN87" s="50">
        <f t="shared" si="132"/>
        <v>1.0000001951371165</v>
      </c>
      <c r="AO87" s="50">
        <f t="shared" si="133"/>
        <v>-6.2471927237115496E-4</v>
      </c>
      <c r="AP87" s="59" t="str">
        <f t="shared" si="134"/>
        <v>77.4056750196821-11.6485239284028i</v>
      </c>
      <c r="AQ87" s="50">
        <f t="shared" si="135"/>
        <v>37.872710322792422</v>
      </c>
      <c r="AR87" s="62">
        <f t="shared" si="136"/>
        <v>-8.5580354090507456</v>
      </c>
      <c r="AS87" s="32" t="str">
        <f t="shared" si="112"/>
        <v>-0.0000166666666666667</v>
      </c>
      <c r="AT87" s="32" t="str">
        <f t="shared" si="113"/>
        <v>1.04630616775202E-06i</v>
      </c>
      <c r="AU87" s="32">
        <f t="shared" si="137"/>
        <v>1.0463061677520201E-6</v>
      </c>
      <c r="AV87" s="32">
        <f t="shared" si="138"/>
        <v>1.5707963267948966</v>
      </c>
      <c r="AW87" s="32" t="str">
        <f t="shared" si="114"/>
        <v>1+0.00106332221961512i</v>
      </c>
      <c r="AX87" s="32">
        <f t="shared" si="139"/>
        <v>1.0000005653269115</v>
      </c>
      <c r="AY87" s="32">
        <f t="shared" si="140"/>
        <v>1.0633218188655009E-3</v>
      </c>
      <c r="AZ87" s="32" t="str">
        <f t="shared" si="115"/>
        <v>1+0.0361529554669139i</v>
      </c>
      <c r="BA87" s="32">
        <f t="shared" si="141"/>
        <v>1.0006533046909867</v>
      </c>
      <c r="BB87" s="32">
        <f t="shared" si="142"/>
        <v>3.6137216734016084E-2</v>
      </c>
      <c r="BC87" s="59" t="str">
        <f t="shared" si="143"/>
        <v>-0.558944004705846+15.9296475921112i</v>
      </c>
      <c r="BD87" s="50">
        <f t="shared" si="144"/>
        <v>24.049467053607465</v>
      </c>
      <c r="BE87" s="62">
        <f t="shared" si="145"/>
        <v>92.009586149723489</v>
      </c>
      <c r="BF87" s="59" t="str">
        <f t="shared" si="146"/>
        <v>51.5336945108645+436.849150861508i</v>
      </c>
      <c r="BG87" s="65">
        <f t="shared" si="147"/>
        <v>52.8666503882326</v>
      </c>
      <c r="BH87" s="62">
        <f t="shared" si="148"/>
        <v>83.272094388888547</v>
      </c>
      <c r="BI87" s="59" t="str">
        <f t="shared" si="101"/>
        <v>142.291443165271+1239.55599730647i</v>
      </c>
      <c r="BJ87" s="65">
        <f t="shared" si="149"/>
        <v>61.922177376399858</v>
      </c>
      <c r="BK87" s="62">
        <f t="shared" si="102"/>
        <v>83.451550740672729</v>
      </c>
      <c r="BL87" s="50">
        <f t="shared" si="150"/>
        <v>52.8666503882326</v>
      </c>
      <c r="BM87" s="62">
        <f t="shared" si="151"/>
        <v>83.272094388888547</v>
      </c>
    </row>
    <row r="88" spans="14:65" x14ac:dyDescent="0.3">
      <c r="N88" s="11">
        <v>70</v>
      </c>
      <c r="O88" s="51">
        <f t="shared" si="116"/>
        <v>50.118723362727238</v>
      </c>
      <c r="P88" s="49" t="str">
        <f t="shared" si="103"/>
        <v>27.9103246607183</v>
      </c>
      <c r="Q88" s="18" t="str">
        <f t="shared" si="104"/>
        <v>1+0.154688284993769i</v>
      </c>
      <c r="R88" s="18">
        <f t="shared" si="117"/>
        <v>1.0118935050262521</v>
      </c>
      <c r="S88" s="18">
        <f t="shared" si="118"/>
        <v>0.15347188401177839</v>
      </c>
      <c r="T88" s="18" t="str">
        <f t="shared" si="105"/>
        <v>1+0.000138558299548806i</v>
      </c>
      <c r="U88" s="18">
        <f t="shared" si="119"/>
        <v>1.0000000095992012</v>
      </c>
      <c r="V88" s="18">
        <f t="shared" si="120"/>
        <v>1.3855829866210668E-4</v>
      </c>
      <c r="W88" s="32" t="str">
        <f t="shared" si="106"/>
        <v>1-0.00182722785600277i</v>
      </c>
      <c r="X88" s="18">
        <f t="shared" si="121"/>
        <v>1.0000016693794256</v>
      </c>
      <c r="Y88" s="18">
        <f t="shared" si="122"/>
        <v>-1.8272258224474207E-3</v>
      </c>
      <c r="Z88" s="32" t="str">
        <f t="shared" si="107"/>
        <v>0.99999994810152+0.000835572390099332i</v>
      </c>
      <c r="AA88" s="18">
        <f t="shared" si="123"/>
        <v>1.0000002971920867</v>
      </c>
      <c r="AB88" s="18">
        <f t="shared" si="124"/>
        <v>8.3557223900400574E-4</v>
      </c>
      <c r="AC88" s="67" t="str">
        <f t="shared" si="125"/>
        <v>27.2473879672186-4.28530408904196i</v>
      </c>
      <c r="AD88" s="65">
        <f t="shared" si="126"/>
        <v>28.812613602284124</v>
      </c>
      <c r="AE88" s="62">
        <f t="shared" si="127"/>
        <v>-8.9379195126831252</v>
      </c>
      <c r="AF88" s="50" t="str">
        <f t="shared" si="108"/>
        <v>79.1527877025864</v>
      </c>
      <c r="AG88" s="50" t="str">
        <f t="shared" si="109"/>
        <v>1+0.153479962577139i</v>
      </c>
      <c r="AH88" s="50">
        <f t="shared" si="128"/>
        <v>1.0117094933392095</v>
      </c>
      <c r="AI88" s="50">
        <f t="shared" si="129"/>
        <v>0.15229158430338505</v>
      </c>
      <c r="AJ88" s="50" t="str">
        <f t="shared" si="110"/>
        <v>1+0.000138558299548806i</v>
      </c>
      <c r="AK88" s="50">
        <f t="shared" si="130"/>
        <v>1.0000000095992012</v>
      </c>
      <c r="AL88" s="50">
        <f t="shared" si="131"/>
        <v>1.3855829866210668E-4</v>
      </c>
      <c r="AM88" s="50" t="str">
        <f t="shared" si="111"/>
        <v>1-0.00063927093672378i</v>
      </c>
      <c r="AN88" s="50">
        <f t="shared" si="132"/>
        <v>1.0000002043336444</v>
      </c>
      <c r="AO88" s="50">
        <f t="shared" si="133"/>
        <v>-6.3927084964075223E-4</v>
      </c>
      <c r="AP88" s="59" t="str">
        <f t="shared" si="134"/>
        <v>77.3252310810313-11.9075063736556i</v>
      </c>
      <c r="AQ88" s="50">
        <f t="shared" si="135"/>
        <v>37.868209654162818</v>
      </c>
      <c r="AR88" s="62">
        <f t="shared" si="136"/>
        <v>-8.754353751865029</v>
      </c>
      <c r="AS88" s="32" t="str">
        <f t="shared" si="112"/>
        <v>-0.0000166666666666667</v>
      </c>
      <c r="AT88" s="32" t="str">
        <f t="shared" si="113"/>
        <v>1.07067776924077E-06i</v>
      </c>
      <c r="AU88" s="32">
        <f t="shared" si="137"/>
        <v>1.0706777692407701E-6</v>
      </c>
      <c r="AV88" s="32">
        <f t="shared" si="138"/>
        <v>1.5707963267948966</v>
      </c>
      <c r="AW88" s="32" t="str">
        <f t="shared" si="114"/>
        <v>1+0.00108809017586856i</v>
      </c>
      <c r="AX88" s="32">
        <f t="shared" si="139"/>
        <v>1.0000005919699402</v>
      </c>
      <c r="AY88" s="32">
        <f t="shared" si="140"/>
        <v>1.0880897464576205E-3</v>
      </c>
      <c r="AZ88" s="32" t="str">
        <f t="shared" si="115"/>
        <v>1+0.0369950659795312i</v>
      </c>
      <c r="BA88" s="32">
        <f t="shared" si="141"/>
        <v>1.0006840834683191</v>
      </c>
      <c r="BB88" s="32">
        <f t="shared" si="142"/>
        <v>3.6978202245983263E-2</v>
      </c>
      <c r="BC88" s="59" t="str">
        <f t="shared" si="143"/>
        <v>-0.558943974921944+15.5670719163635i</v>
      </c>
      <c r="BD88" s="50">
        <f t="shared" si="144"/>
        <v>23.849733984602434</v>
      </c>
      <c r="BE88" s="62">
        <f t="shared" si="145"/>
        <v>92.056351972472527</v>
      </c>
      <c r="BF88" s="59" t="str">
        <f t="shared" si="146"/>
        <v>51.4798736009652+426.557292920028i</v>
      </c>
      <c r="BG88" s="65">
        <f t="shared" si="147"/>
        <v>52.662347586886568</v>
      </c>
      <c r="BH88" s="62">
        <f t="shared" si="148"/>
        <v>83.118432459789418</v>
      </c>
      <c r="BI88" s="59" t="str">
        <f t="shared" si="101"/>
        <v>142.144536041064+1210.38306213174i</v>
      </c>
      <c r="BJ88" s="65">
        <f t="shared" si="149"/>
        <v>61.717943638765256</v>
      </c>
      <c r="BK88" s="62">
        <f t="shared" si="102"/>
        <v>83.301998220607516</v>
      </c>
      <c r="BL88" s="50">
        <f t="shared" si="150"/>
        <v>52.662347586886568</v>
      </c>
      <c r="BM88" s="62">
        <f t="shared" si="151"/>
        <v>83.118432459789418</v>
      </c>
    </row>
    <row r="89" spans="14:65" x14ac:dyDescent="0.3">
      <c r="N89" s="11">
        <v>71</v>
      </c>
      <c r="O89" s="51">
        <f t="shared" si="116"/>
        <v>51.28613839913649</v>
      </c>
      <c r="P89" s="49" t="str">
        <f t="shared" si="103"/>
        <v>27.9103246607183</v>
      </c>
      <c r="Q89" s="18" t="str">
        <f t="shared" si="104"/>
        <v>1+0.158291438022052i</v>
      </c>
      <c r="R89" s="18">
        <f t="shared" si="117"/>
        <v>1.0124505811895657</v>
      </c>
      <c r="S89" s="18">
        <f t="shared" si="118"/>
        <v>0.15698890500186777</v>
      </c>
      <c r="T89" s="18" t="str">
        <f t="shared" si="105"/>
        <v>1+0.000141785736950631i</v>
      </c>
      <c r="U89" s="18">
        <f t="shared" si="119"/>
        <v>1.0000000100515976</v>
      </c>
      <c r="V89" s="18">
        <f t="shared" si="120"/>
        <v>1.4178573600051556E-4</v>
      </c>
      <c r="W89" s="32" t="str">
        <f t="shared" si="106"/>
        <v>1-0.00186978946034782i</v>
      </c>
      <c r="X89" s="18">
        <f t="shared" si="121"/>
        <v>1.0000017480547851</v>
      </c>
      <c r="Y89" s="18">
        <f t="shared" si="122"/>
        <v>-1.8697872813542107E-3</v>
      </c>
      <c r="Z89" s="32" t="str">
        <f t="shared" si="107"/>
        <v>0.99999994565562+0.000855035371331926i</v>
      </c>
      <c r="AA89" s="18">
        <f t="shared" si="123"/>
        <v>1.0000003111983162</v>
      </c>
      <c r="AB89" s="18">
        <f t="shared" si="124"/>
        <v>8.5503520943036972E-4</v>
      </c>
      <c r="AC89" s="67" t="str">
        <f t="shared" si="125"/>
        <v>27.2169084245858-4.38029699162238i</v>
      </c>
      <c r="AD89" s="65">
        <f t="shared" si="126"/>
        <v>28.807833654342083</v>
      </c>
      <c r="AE89" s="62">
        <f t="shared" si="127"/>
        <v>-9.1427987913635569</v>
      </c>
      <c r="AF89" s="50" t="str">
        <f t="shared" si="108"/>
        <v>79.1527877025864</v>
      </c>
      <c r="AG89" s="50" t="str">
        <f t="shared" si="109"/>
        <v>1+0.157054970160698i</v>
      </c>
      <c r="AH89" s="50">
        <f t="shared" si="128"/>
        <v>1.012258002513281</v>
      </c>
      <c r="AI89" s="50">
        <f t="shared" si="129"/>
        <v>0.15578243122986077</v>
      </c>
      <c r="AJ89" s="50" t="str">
        <f t="shared" si="110"/>
        <v>1+0.000141785736950631i</v>
      </c>
      <c r="AK89" s="50">
        <f t="shared" si="130"/>
        <v>1.0000000100515976</v>
      </c>
      <c r="AL89" s="50">
        <f t="shared" si="131"/>
        <v>1.4178573600051556E-4</v>
      </c>
      <c r="AM89" s="50" t="str">
        <f t="shared" si="111"/>
        <v>1-0.000654161469718197i</v>
      </c>
      <c r="AN89" s="50">
        <f t="shared" si="132"/>
        <v>1.0000002139635913</v>
      </c>
      <c r="AO89" s="50">
        <f t="shared" si="133"/>
        <v>-6.5416137640705266E-4</v>
      </c>
      <c r="AP89" s="59" t="str">
        <f t="shared" si="134"/>
        <v>77.2411743563103-12.1716663013073i</v>
      </c>
      <c r="AQ89" s="50">
        <f t="shared" si="135"/>
        <v>37.863501869423899</v>
      </c>
      <c r="AR89" s="62">
        <f t="shared" si="136"/>
        <v>-8.9550327934786225</v>
      </c>
      <c r="AS89" s="32" t="str">
        <f t="shared" si="112"/>
        <v>-0.0000166666666666667</v>
      </c>
      <c r="AT89" s="32" t="str">
        <f t="shared" si="113"/>
        <v>1.09561705825487E-06i</v>
      </c>
      <c r="AU89" s="32">
        <f t="shared" si="137"/>
        <v>1.0956170582548701E-6</v>
      </c>
      <c r="AV89" s="32">
        <f t="shared" si="138"/>
        <v>1.5707963267948966</v>
      </c>
      <c r="AW89" s="32" t="str">
        <f t="shared" si="114"/>
        <v>1+0.00111343505193583i</v>
      </c>
      <c r="AX89" s="32">
        <f t="shared" si="139"/>
        <v>1.0000006198686153</v>
      </c>
      <c r="AY89" s="32">
        <f t="shared" si="140"/>
        <v>1.1134345918137338E-3</v>
      </c>
      <c r="AZ89" s="32" t="str">
        <f t="shared" si="115"/>
        <v>1+0.0378567917658183i</v>
      </c>
      <c r="BA89" s="32">
        <f t="shared" si="141"/>
        <v>1.0007163117901099</v>
      </c>
      <c r="BB89" s="32">
        <f t="shared" si="142"/>
        <v>3.7838722648260222E-2</v>
      </c>
      <c r="BC89" s="59" t="str">
        <f t="shared" si="143"/>
        <v>-0.558943943734371+15.2127501081973i</v>
      </c>
      <c r="BD89" s="50">
        <f t="shared" si="144"/>
        <v>23.650013478053772</v>
      </c>
      <c r="BE89" s="62">
        <f t="shared" si="145"/>
        <v>92.104204007036586</v>
      </c>
      <c r="BF89" s="59" t="str">
        <f t="shared" si="146"/>
        <v>51.4236374021445+416.492367056139i</v>
      </c>
      <c r="BG89" s="65">
        <f t="shared" si="147"/>
        <v>52.457847132395862</v>
      </c>
      <c r="BH89" s="62">
        <f t="shared" si="148"/>
        <v>82.961405215673025</v>
      </c>
      <c r="BI89" s="59" t="str">
        <f t="shared" si="101"/>
        <v>141.991031228764+1181.85396271052i</v>
      </c>
      <c r="BJ89" s="65">
        <f t="shared" si="149"/>
        <v>61.513515347477686</v>
      </c>
      <c r="BK89" s="62">
        <f t="shared" si="102"/>
        <v>83.149171213557977</v>
      </c>
      <c r="BL89" s="50">
        <f t="shared" si="150"/>
        <v>52.457847132395862</v>
      </c>
      <c r="BM89" s="62">
        <f t="shared" si="151"/>
        <v>82.961405215673025</v>
      </c>
    </row>
    <row r="90" spans="14:65" x14ac:dyDescent="0.3">
      <c r="N90" s="11">
        <v>72</v>
      </c>
      <c r="O90" s="51">
        <f t="shared" si="116"/>
        <v>52.480746024977286</v>
      </c>
      <c r="P90" s="49" t="str">
        <f t="shared" si="103"/>
        <v>27.9103246607183</v>
      </c>
      <c r="Q90" s="18" t="str">
        <f t="shared" si="104"/>
        <v>1+0.161978519266009i</v>
      </c>
      <c r="R90" s="18">
        <f t="shared" si="117"/>
        <v>1.0130335832062078</v>
      </c>
      <c r="S90" s="18">
        <f t="shared" si="118"/>
        <v>0.16058379797998884</v>
      </c>
      <c r="T90" s="18" t="str">
        <f t="shared" si="105"/>
        <v>1+0.000145088351026943i</v>
      </c>
      <c r="U90" s="18">
        <f t="shared" si="119"/>
        <v>1.0000000105253148</v>
      </c>
      <c r="V90" s="18">
        <f t="shared" si="120"/>
        <v>1.4508835000887597E-4</v>
      </c>
      <c r="W90" s="32" t="str">
        <f t="shared" si="106"/>
        <v>1-0.00191334245181434i</v>
      </c>
      <c r="X90" s="18">
        <f t="shared" si="121"/>
        <v>1.0000018304379936</v>
      </c>
      <c r="Y90" s="18">
        <f t="shared" si="122"/>
        <v>-1.9133401169808524E-3</v>
      </c>
      <c r="Z90" s="32" t="str">
        <f t="shared" si="107"/>
        <v>0.999999943094448+0.000874951703636134i</v>
      </c>
      <c r="AA90" s="18">
        <f t="shared" si="123"/>
        <v>1.0000003258646384</v>
      </c>
      <c r="AB90" s="18">
        <f t="shared" si="124"/>
        <v>8.7495153015549416E-4</v>
      </c>
      <c r="AC90" s="67" t="str">
        <f t="shared" si="125"/>
        <v>27.1850642221408-4.47716913689115i</v>
      </c>
      <c r="AD90" s="65">
        <f t="shared" si="126"/>
        <v>28.802834068008799</v>
      </c>
      <c r="AE90" s="62">
        <f t="shared" si="127"/>
        <v>-9.3522182757552574</v>
      </c>
      <c r="AF90" s="50" t="str">
        <f t="shared" si="108"/>
        <v>79.1527877025864</v>
      </c>
      <c r="AG90" s="50" t="str">
        <f t="shared" si="109"/>
        <v>1+0.160713250368306i</v>
      </c>
      <c r="AH90" s="50">
        <f t="shared" si="128"/>
        <v>1.01283204374859</v>
      </c>
      <c r="AI90" s="50">
        <f t="shared" si="129"/>
        <v>0.15935063162647856</v>
      </c>
      <c r="AJ90" s="50" t="str">
        <f t="shared" si="110"/>
        <v>1+0.000145088351026943i</v>
      </c>
      <c r="AK90" s="50">
        <f t="shared" si="130"/>
        <v>1.0000000105253148</v>
      </c>
      <c r="AL90" s="50">
        <f t="shared" si="131"/>
        <v>1.4508835000887597E-4</v>
      </c>
      <c r="AM90" s="50" t="str">
        <f t="shared" si="111"/>
        <v>1-0.000669398847782711i</v>
      </c>
      <c r="AN90" s="50">
        <f t="shared" si="132"/>
        <v>1.0000002240473835</v>
      </c>
      <c r="AO90" s="50">
        <f t="shared" si="133"/>
        <v>-6.6939874779801966E-4</v>
      </c>
      <c r="AP90" s="59" t="str">
        <f t="shared" si="134"/>
        <v>77.1533511581925-12.4410664788804i</v>
      </c>
      <c r="AQ90" s="50">
        <f t="shared" si="135"/>
        <v>37.858577677427007</v>
      </c>
      <c r="AR90" s="62">
        <f t="shared" si="136"/>
        <v>-9.1601594278892833</v>
      </c>
      <c r="AS90" s="32" t="str">
        <f t="shared" si="112"/>
        <v>-0.0000166666666666667</v>
      </c>
      <c r="AT90" s="32" t="str">
        <f t="shared" si="113"/>
        <v>1.12113725793547E-06i</v>
      </c>
      <c r="AU90" s="32">
        <f t="shared" si="137"/>
        <v>1.1211372579354701E-6</v>
      </c>
      <c r="AV90" s="32">
        <f t="shared" si="138"/>
        <v>1.5707963267948966</v>
      </c>
      <c r="AW90" s="32" t="str">
        <f t="shared" si="114"/>
        <v>1+0.0011393702860057i</v>
      </c>
      <c r="AX90" s="32">
        <f t="shared" si="139"/>
        <v>1.0000006490821136</v>
      </c>
      <c r="AY90" s="32">
        <f t="shared" si="140"/>
        <v>1.1393697929760083E-3</v>
      </c>
      <c r="AZ90" s="32" t="str">
        <f t="shared" si="115"/>
        <v>1+0.0387385897241937i</v>
      </c>
      <c r="BA90" s="32">
        <f t="shared" si="141"/>
        <v>1.0007500578735029</v>
      </c>
      <c r="BB90" s="32">
        <f t="shared" si="142"/>
        <v>3.8719229099554241E-2</v>
      </c>
      <c r="BC90" s="59" t="str">
        <f t="shared" si="143"/>
        <v>-0.558943911076974+14.8664943014996i</v>
      </c>
      <c r="BD90" s="50">
        <f t="shared" si="144"/>
        <v>23.450306124314896</v>
      </c>
      <c r="BE90" s="62">
        <f t="shared" si="145"/>
        <v>92.153167332962354</v>
      </c>
      <c r="BF90" s="59" t="str">
        <f t="shared" si="146"/>
        <v>51.3648833412401+406.649088772284i</v>
      </c>
      <c r="BG90" s="65">
        <f t="shared" si="147"/>
        <v>52.253140192323698</v>
      </c>
      <c r="BH90" s="62">
        <f t="shared" si="148"/>
        <v>82.800949057207106</v>
      </c>
      <c r="BI90" s="59" t="str">
        <f t="shared" si="101"/>
        <v>141.830648063798+1153.95371369054i</v>
      </c>
      <c r="BJ90" s="65">
        <f t="shared" si="149"/>
        <v>61.308883801741899</v>
      </c>
      <c r="BK90" s="62">
        <f t="shared" si="102"/>
        <v>82.993007905073071</v>
      </c>
      <c r="BL90" s="50">
        <f t="shared" si="150"/>
        <v>52.253140192323698</v>
      </c>
      <c r="BM90" s="62">
        <f t="shared" si="151"/>
        <v>82.800949057207106</v>
      </c>
    </row>
    <row r="91" spans="14:65" x14ac:dyDescent="0.3">
      <c r="N91" s="11">
        <v>73</v>
      </c>
      <c r="O91" s="51">
        <f t="shared" si="116"/>
        <v>53.703179637025293</v>
      </c>
      <c r="P91" s="49" t="str">
        <f t="shared" si="103"/>
        <v>27.9103246607183</v>
      </c>
      <c r="Q91" s="18" t="str">
        <f t="shared" si="104"/>
        <v>1+0.16575148366492i</v>
      </c>
      <c r="R91" s="18">
        <f t="shared" si="117"/>
        <v>1.0136437018682267</v>
      </c>
      <c r="S91" s="18">
        <f t="shared" si="118"/>
        <v>0.16425809715473419</v>
      </c>
      <c r="T91" s="18" t="str">
        <f t="shared" si="105"/>
        <v>1+0.000148467892867441i</v>
      </c>
      <c r="U91" s="18">
        <f t="shared" si="119"/>
        <v>1.0000000110213576</v>
      </c>
      <c r="V91" s="18">
        <f t="shared" si="120"/>
        <v>1.4846789177656253E-4</v>
      </c>
      <c r="W91" s="32" t="str">
        <f t="shared" si="106"/>
        <v>1-0.00195790992277489i</v>
      </c>
      <c r="X91" s="18">
        <f t="shared" si="121"/>
        <v>1.0000019167037959</v>
      </c>
      <c r="Y91" s="18">
        <f t="shared" si="122"/>
        <v>-1.9579074209559923E-3</v>
      </c>
      <c r="Z91" s="32" t="str">
        <f t="shared" si="107"/>
        <v>0.999999940412572+0.000895331946914962i</v>
      </c>
      <c r="AA91" s="18">
        <f t="shared" si="123"/>
        <v>1.0000003412221632</v>
      </c>
      <c r="AB91" s="18">
        <f t="shared" si="124"/>
        <v>8.9533176102711066E-4</v>
      </c>
      <c r="AC91" s="67" t="str">
        <f t="shared" si="125"/>
        <v>27.151797700652-4.57594182561602i</v>
      </c>
      <c r="AD91" s="65">
        <f t="shared" si="126"/>
        <v>28.797605021349924</v>
      </c>
      <c r="AE91" s="62">
        <f t="shared" si="127"/>
        <v>-9.56626769729308</v>
      </c>
      <c r="AF91" s="50" t="str">
        <f t="shared" si="108"/>
        <v>79.1527877025864</v>
      </c>
      <c r="AG91" s="50" t="str">
        <f t="shared" si="109"/>
        <v>1+0.164456742868549i</v>
      </c>
      <c r="AH91" s="50">
        <f t="shared" si="128"/>
        <v>1.0134327902110392</v>
      </c>
      <c r="AI91" s="50">
        <f t="shared" si="129"/>
        <v>0.16299771377051089</v>
      </c>
      <c r="AJ91" s="50" t="str">
        <f t="shared" si="110"/>
        <v>1+0.000148467892867441i</v>
      </c>
      <c r="AK91" s="50">
        <f t="shared" si="130"/>
        <v>1.0000000110213576</v>
      </c>
      <c r="AL91" s="50">
        <f t="shared" si="131"/>
        <v>1.4846789177656253E-4</v>
      </c>
      <c r="AM91" s="50" t="str">
        <f t="shared" si="111"/>
        <v>1-0.000684991149976858i</v>
      </c>
      <c r="AN91" s="50">
        <f t="shared" si="132"/>
        <v>1.0000002346064103</v>
      </c>
      <c r="AO91" s="50">
        <f t="shared" si="133"/>
        <v>-6.849910428413324E-4</v>
      </c>
      <c r="AP91" s="59" t="str">
        <f t="shared" si="134"/>
        <v>77.061602064776-12.7157673872728i</v>
      </c>
      <c r="AQ91" s="50">
        <f t="shared" si="135"/>
        <v>37.853427392770598</v>
      </c>
      <c r="AR91" s="62">
        <f t="shared" si="136"/>
        <v>-9.3698215814987691</v>
      </c>
      <c r="AS91" s="32" t="str">
        <f t="shared" si="112"/>
        <v>-0.0000166666666666667</v>
      </c>
      <c r="AT91" s="32" t="str">
        <f t="shared" si="113"/>
        <v>1.14725189943022E-06i</v>
      </c>
      <c r="AU91" s="32">
        <f t="shared" si="137"/>
        <v>1.14725189943022E-6</v>
      </c>
      <c r="AV91" s="32">
        <f t="shared" si="138"/>
        <v>1.5707963267948966</v>
      </c>
      <c r="AW91" s="32" t="str">
        <f t="shared" si="114"/>
        <v>1+0.00116590962928255i</v>
      </c>
      <c r="AX91" s="32">
        <f t="shared" si="139"/>
        <v>1.0000006796724008</v>
      </c>
      <c r="AY91" s="32">
        <f t="shared" si="140"/>
        <v>1.1659091009917368E-3</v>
      </c>
      <c r="AZ91" s="32" t="str">
        <f t="shared" si="115"/>
        <v>1+0.0396409273956066i</v>
      </c>
      <c r="BA91" s="32">
        <f t="shared" si="141"/>
        <v>1.0007853931411987</v>
      </c>
      <c r="BB91" s="32">
        <f t="shared" si="142"/>
        <v>3.9620182991729945E-2</v>
      </c>
      <c r="BC91" s="59" t="str">
        <f t="shared" si="143"/>
        <v>-0.558943876880491+14.5281209068586i</v>
      </c>
      <c r="BD91" s="50">
        <f t="shared" si="144"/>
        <v>23.250612541398649</v>
      </c>
      <c r="BE91" s="62">
        <f t="shared" si="145"/>
        <v>92.203267598179409</v>
      </c>
      <c r="BF91" s="59" t="str">
        <f t="shared" si="146"/>
        <v>51.3035050342236+397.022294498027i</v>
      </c>
      <c r="BG91" s="65">
        <f t="shared" si="147"/>
        <v>52.048217562748576</v>
      </c>
      <c r="BH91" s="62">
        <f t="shared" si="148"/>
        <v>82.636999900886337</v>
      </c>
      <c r="BI91" s="59" t="str">
        <f t="shared" si="101"/>
        <v>141.663095409081+1126.66767239424i</v>
      </c>
      <c r="BJ91" s="65">
        <f t="shared" si="149"/>
        <v>61.104039934169229</v>
      </c>
      <c r="BK91" s="62">
        <f t="shared" si="102"/>
        <v>82.833446016680639</v>
      </c>
      <c r="BL91" s="50">
        <f t="shared" si="150"/>
        <v>52.048217562748576</v>
      </c>
      <c r="BM91" s="62">
        <f t="shared" si="151"/>
        <v>82.636999900886337</v>
      </c>
    </row>
    <row r="92" spans="14:65" x14ac:dyDescent="0.3">
      <c r="N92" s="11">
        <v>74</v>
      </c>
      <c r="O92" s="51">
        <f t="shared" si="116"/>
        <v>54.95408738576247</v>
      </c>
      <c r="P92" s="49" t="str">
        <f t="shared" si="103"/>
        <v>27.9103246607183</v>
      </c>
      <c r="Q92" s="18" t="str">
        <f t="shared" si="104"/>
        <v>1+0.169612331694451i</v>
      </c>
      <c r="R92" s="18">
        <f t="shared" si="117"/>
        <v>1.0142821811817599</v>
      </c>
      <c r="S92" s="18">
        <f t="shared" si="118"/>
        <v>0.16801335364873177</v>
      </c>
      <c r="T92" s="18" t="str">
        <f t="shared" si="105"/>
        <v>1+0.000151926154349942i</v>
      </c>
      <c r="U92" s="18">
        <f t="shared" si="119"/>
        <v>1.0000000115407781</v>
      </c>
      <c r="V92" s="18">
        <f t="shared" si="120"/>
        <v>1.5192615318104463E-4</v>
      </c>
      <c r="W92" s="32" t="str">
        <f t="shared" si="106"/>
        <v>1-0.0020035155034925i</v>
      </c>
      <c r="X92" s="18">
        <f t="shared" si="121"/>
        <v>1.0000020070351723</v>
      </c>
      <c r="Y92" s="18">
        <f t="shared" si="122"/>
        <v>-2.0035128227455438E-3</v>
      </c>
      <c r="Z92" s="32" t="str">
        <f t="shared" si="107"/>
        <v>0.999999937604303+0.000916186907043166i</v>
      </c>
      <c r="AA92" s="18">
        <f t="shared" si="123"/>
        <v>1.0000003573034653</v>
      </c>
      <c r="AB92" s="18">
        <f t="shared" si="124"/>
        <v>9.1618670786074857E-4</v>
      </c>
      <c r="AC92" s="67" t="str">
        <f t="shared" si="125"/>
        <v>27.1170490867994-4.67663540753926i</v>
      </c>
      <c r="AD92" s="65">
        <f t="shared" si="126"/>
        <v>28.792136278555152</v>
      </c>
      <c r="AE92" s="62">
        <f t="shared" si="127"/>
        <v>-9.785037799086421</v>
      </c>
      <c r="AF92" s="50" t="str">
        <f t="shared" si="108"/>
        <v>79.1527877025864</v>
      </c>
      <c r="AG92" s="50" t="str">
        <f t="shared" si="109"/>
        <v>1+0.168287432510705i</v>
      </c>
      <c r="AH92" s="50">
        <f t="shared" si="128"/>
        <v>1.014061467535891</v>
      </c>
      <c r="AI92" s="50">
        <f t="shared" si="129"/>
        <v>0.16672522311127497</v>
      </c>
      <c r="AJ92" s="50" t="str">
        <f t="shared" si="110"/>
        <v>1+0.000151926154349942i</v>
      </c>
      <c r="AK92" s="50">
        <f t="shared" si="130"/>
        <v>1.0000000115407781</v>
      </c>
      <c r="AL92" s="50">
        <f t="shared" si="131"/>
        <v>1.5192615318104463E-4</v>
      </c>
      <c r="AM92" s="50" t="str">
        <f t="shared" si="111"/>
        <v>1-0.000700946643545655i</v>
      </c>
      <c r="AN92" s="50">
        <f t="shared" si="132"/>
        <v>1.0000002456630683</v>
      </c>
      <c r="AO92" s="50">
        <f t="shared" si="133"/>
        <v>-7.0094652874787256E-4</v>
      </c>
      <c r="AP92" s="59" t="str">
        <f t="shared" si="134"/>
        <v>76.9657617820177-12.995826943752i</v>
      </c>
      <c r="AQ92" s="50">
        <f t="shared" si="135"/>
        <v>37.848040921183816</v>
      </c>
      <c r="AR92" s="62">
        <f t="shared" si="136"/>
        <v>-9.5841081730397502</v>
      </c>
      <c r="AS92" s="32" t="str">
        <f t="shared" si="112"/>
        <v>-0.0000166666666666667</v>
      </c>
      <c r="AT92" s="32" t="str">
        <f t="shared" si="113"/>
        <v>1.17397482906773E-06i</v>
      </c>
      <c r="AU92" s="32">
        <f t="shared" si="137"/>
        <v>1.17397482906773E-6</v>
      </c>
      <c r="AV92" s="32">
        <f t="shared" si="138"/>
        <v>1.5707963267948966</v>
      </c>
      <c r="AW92" s="32" t="str">
        <f t="shared" si="114"/>
        <v>1+0.00119306715327748i</v>
      </c>
      <c r="AX92" s="32">
        <f t="shared" si="139"/>
        <v>1.0000007117043628</v>
      </c>
      <c r="AY92" s="32">
        <f t="shared" si="140"/>
        <v>1.1930665872036967E-3</v>
      </c>
      <c r="AZ92" s="32" t="str">
        <f t="shared" si="115"/>
        <v>1+0.0405642832114345i</v>
      </c>
      <c r="BA92" s="32">
        <f t="shared" si="141"/>
        <v>1.0008223923716222</v>
      </c>
      <c r="BB92" s="32">
        <f t="shared" si="142"/>
        <v>4.0542056168566057E-2</v>
      </c>
      <c r="BC92" s="59" t="str">
        <f t="shared" si="143"/>
        <v>-0.558943841072379+14.1974505142209i</v>
      </c>
      <c r="BD92" s="50">
        <f t="shared" si="144"/>
        <v>23.050933376264421</v>
      </c>
      <c r="BE92" s="62">
        <f t="shared" si="145"/>
        <v>92.254531031116315</v>
      </c>
      <c r="BF92" s="59" t="str">
        <f t="shared" si="146"/>
        <v>51.239392196468+387.606939059519i</v>
      </c>
      <c r="BG92" s="65">
        <f t="shared" si="147"/>
        <v>51.843069654819587</v>
      </c>
      <c r="BH92" s="62">
        <f t="shared" si="148"/>
        <v>82.469493232029905</v>
      </c>
      <c r="BI92" s="59" t="str">
        <f t="shared" si="101"/>
        <v>141.488071403795+1099.98153161936i</v>
      </c>
      <c r="BJ92" s="65">
        <f t="shared" si="149"/>
        <v>60.89897429744822</v>
      </c>
      <c r="BK92" s="62">
        <f t="shared" si="102"/>
        <v>82.670422858076549</v>
      </c>
      <c r="BL92" s="50">
        <f t="shared" si="150"/>
        <v>51.843069654819587</v>
      </c>
      <c r="BM92" s="62">
        <f t="shared" si="151"/>
        <v>82.469493232029905</v>
      </c>
    </row>
    <row r="93" spans="14:65" x14ac:dyDescent="0.3">
      <c r="N93" s="11">
        <v>75</v>
      </c>
      <c r="O93" s="51">
        <f t="shared" si="116"/>
        <v>56.234132519034915</v>
      </c>
      <c r="P93" s="49" t="str">
        <f t="shared" si="103"/>
        <v>27.9103246607183</v>
      </c>
      <c r="Q93" s="18" t="str">
        <f t="shared" si="104"/>
        <v>1+0.17356311042733i</v>
      </c>
      <c r="R93" s="18">
        <f t="shared" si="117"/>
        <v>1.0149503206074717</v>
      </c>
      <c r="S93" s="18">
        <f t="shared" si="118"/>
        <v>0.17185113468363369</v>
      </c>
      <c r="T93" s="18" t="str">
        <f t="shared" si="105"/>
        <v>1+0.00015546496909046i</v>
      </c>
      <c r="U93" s="18">
        <f t="shared" si="119"/>
        <v>1.0000000120846781</v>
      </c>
      <c r="V93" s="18">
        <f t="shared" si="120"/>
        <v>1.5546496783796392E-4</v>
      </c>
      <c r="W93" s="32" t="str">
        <f t="shared" si="106"/>
        <v>1-0.00205018337464972i</v>
      </c>
      <c r="X93" s="18">
        <f t="shared" si="121"/>
        <v>1.0000021016237264</v>
      </c>
      <c r="Y93" s="18">
        <f t="shared" si="122"/>
        <v>-2.0501805021779299E-3</v>
      </c>
      <c r="Z93" s="32" t="str">
        <f t="shared" si="107"/>
        <v>0.999999934663685+0.00093752764159665i</v>
      </c>
      <c r="AA93" s="18">
        <f t="shared" si="123"/>
        <v>1.0000003741426566</v>
      </c>
      <c r="AB93" s="18">
        <f t="shared" si="124"/>
        <v>9.375274281688481E-4</v>
      </c>
      <c r="AC93" s="67" t="str">
        <f t="shared" si="125"/>
        <v>27.0807564462888-4.77926917397194i</v>
      </c>
      <c r="AD93" s="65">
        <f t="shared" si="126"/>
        <v>28.786417174869939</v>
      </c>
      <c r="AE93" s="62">
        <f t="shared" si="127"/>
        <v>-10.008620290213893</v>
      </c>
      <c r="AF93" s="50" t="str">
        <f t="shared" si="108"/>
        <v>79.1527877025864</v>
      </c>
      <c r="AG93" s="50" t="str">
        <f t="shared" si="109"/>
        <v>1+0.172207350377124i</v>
      </c>
      <c r="AH93" s="50">
        <f t="shared" si="128"/>
        <v>1.0147193560408265</v>
      </c>
      <c r="AI93" s="50">
        <f t="shared" si="129"/>
        <v>0.17053472148449875</v>
      </c>
      <c r="AJ93" s="50" t="str">
        <f t="shared" si="110"/>
        <v>1+0.00015546496909046i</v>
      </c>
      <c r="AK93" s="50">
        <f t="shared" si="130"/>
        <v>1.0000000120846781</v>
      </c>
      <c r="AL93" s="50">
        <f t="shared" si="131"/>
        <v>1.5546496783796392E-4</v>
      </c>
      <c r="AM93" s="50" t="str">
        <f t="shared" si="111"/>
        <v>1-0.000717273788302984i</v>
      </c>
      <c r="AN93" s="50">
        <f t="shared" si="132"/>
        <v>1.0000002572408107</v>
      </c>
      <c r="AO93" s="50">
        <f t="shared" si="133"/>
        <v>-7.172736652949457E-4</v>
      </c>
      <c r="AP93" s="59" t="str">
        <f t="shared" si="134"/>
        <v>76.8656590107055-13.2813002074217i</v>
      </c>
      <c r="AQ93" s="50">
        <f t="shared" si="135"/>
        <v>37.842407744569016</v>
      </c>
      <c r="AR93" s="62">
        <f t="shared" si="136"/>
        <v>-9.8031090687587916</v>
      </c>
      <c r="AS93" s="32" t="str">
        <f t="shared" si="112"/>
        <v>-0.0000166666666666667</v>
      </c>
      <c r="AT93" s="32" t="str">
        <f t="shared" si="113"/>
        <v>1.20132021569901E-06i</v>
      </c>
      <c r="AU93" s="32">
        <f t="shared" si="137"/>
        <v>1.2013202156990099E-6</v>
      </c>
      <c r="AV93" s="32">
        <f t="shared" si="138"/>
        <v>1.5707963267948966</v>
      </c>
      <c r="AW93" s="32" t="str">
        <f t="shared" si="114"/>
        <v>1+0.0012208572572692i</v>
      </c>
      <c r="AX93" s="32">
        <f t="shared" si="139"/>
        <v>1.0000007452459436</v>
      </c>
      <c r="AY93" s="32">
        <f t="shared" si="140"/>
        <v>1.2208566507102372E-3</v>
      </c>
      <c r="AZ93" s="32" t="str">
        <f t="shared" si="115"/>
        <v>1+0.0415091467471527i</v>
      </c>
      <c r="BA93" s="32">
        <f t="shared" si="141"/>
        <v>1.0008611338560793</v>
      </c>
      <c r="BB93" s="32">
        <f t="shared" si="142"/>
        <v>4.1485331148216432E-2</v>
      </c>
      <c r="BC93" s="59" t="str">
        <f t="shared" si="143"/>
        <v>-0.558943803576684+13.8743077977673i</v>
      </c>
      <c r="BD93" s="50">
        <f t="shared" si="144"/>
        <v>22.85126930616595</v>
      </c>
      <c r="BE93" s="62">
        <f t="shared" si="145"/>
        <v>92.306984453019226</v>
      </c>
      <c r="BF93" s="59" t="str">
        <f t="shared" si="146"/>
        <v>51.1724305562453+378.398093222598i</v>
      </c>
      <c r="BG93" s="65">
        <f t="shared" si="147"/>
        <v>51.637686481035878</v>
      </c>
      <c r="BH93" s="62">
        <f t="shared" si="148"/>
        <v>82.298364162805342</v>
      </c>
      <c r="BI93" s="59" t="str">
        <f t="shared" si="101"/>
        <v>141.305263220447+1073.88131264713i</v>
      </c>
      <c r="BJ93" s="65">
        <f t="shared" si="149"/>
        <v>60.693677050734934</v>
      </c>
      <c r="BK93" s="62">
        <f t="shared" si="102"/>
        <v>82.503875384260439</v>
      </c>
      <c r="BL93" s="50">
        <f t="shared" si="150"/>
        <v>51.637686481035878</v>
      </c>
      <c r="BM93" s="62">
        <f t="shared" si="151"/>
        <v>82.298364162805342</v>
      </c>
    </row>
    <row r="94" spans="14:65" x14ac:dyDescent="0.3">
      <c r="N94" s="11">
        <v>76</v>
      </c>
      <c r="O94" s="51">
        <f t="shared" si="116"/>
        <v>57.543993733715695</v>
      </c>
      <c r="P94" s="49" t="str">
        <f t="shared" si="103"/>
        <v>27.9103246607183</v>
      </c>
      <c r="Q94" s="18" t="str">
        <f t="shared" si="104"/>
        <v>1+0.177605914618738i</v>
      </c>
      <c r="R94" s="18">
        <f t="shared" si="117"/>
        <v>1.0156494773826048</v>
      </c>
      <c r="S94" s="18">
        <f t="shared" si="118"/>
        <v>0.17577302267527928</v>
      </c>
      <c r="T94" s="18" t="str">
        <f t="shared" si="105"/>
        <v>1+0.000159086213415412i</v>
      </c>
      <c r="U94" s="18">
        <f t="shared" si="119"/>
        <v>1.0000000126542117</v>
      </c>
      <c r="V94" s="18">
        <f t="shared" si="120"/>
        <v>1.5908621207333829E-4</v>
      </c>
      <c r="W94" s="32" t="str">
        <f t="shared" si="106"/>
        <v>1-0.00209793828016957i</v>
      </c>
      <c r="X94" s="18">
        <f t="shared" si="121"/>
        <v>1.0000022006700922</v>
      </c>
      <c r="Y94" s="18">
        <f t="shared" si="122"/>
        <v>-2.0979352022609593E-3</v>
      </c>
      <c r="Z94" s="32" t="str">
        <f t="shared" si="107"/>
        <v>0.999999931584479+0.000959365465715355i</v>
      </c>
      <c r="AA94" s="18">
        <f t="shared" si="123"/>
        <v>1.000000391775453</v>
      </c>
      <c r="AB94" s="18">
        <f t="shared" si="124"/>
        <v>9.5936523702335017E-4</v>
      </c>
      <c r="AC94" s="67" t="str">
        <f t="shared" si="125"/>
        <v>27.0428556390912-4.88386124380475i</v>
      </c>
      <c r="AD94" s="65">
        <f t="shared" si="126"/>
        <v>28.780436601203835</v>
      </c>
      <c r="AE94" s="62">
        <f t="shared" si="127"/>
        <v>-10.237107794894776</v>
      </c>
      <c r="AF94" s="50" t="str">
        <f t="shared" si="108"/>
        <v>79.1527877025864</v>
      </c>
      <c r="AG94" s="50" t="str">
        <f t="shared" si="109"/>
        <v>1+0.176218574860148i</v>
      </c>
      <c r="AH94" s="50">
        <f t="shared" si="128"/>
        <v>1.0154077930199972</v>
      </c>
      <c r="AI94" s="50">
        <f t="shared" si="129"/>
        <v>0.17442778623868735</v>
      </c>
      <c r="AJ94" s="50" t="str">
        <f t="shared" si="110"/>
        <v>1+0.000159086213415412i</v>
      </c>
      <c r="AK94" s="50">
        <f t="shared" si="130"/>
        <v>1.0000000126542117</v>
      </c>
      <c r="AL94" s="50">
        <f t="shared" si="131"/>
        <v>1.5908621207333829E-4</v>
      </c>
      <c r="AM94" s="50" t="str">
        <f t="shared" si="111"/>
        <v>1-0.000733981241117113i</v>
      </c>
      <c r="AN94" s="50">
        <f t="shared" si="132"/>
        <v>1.0000002693641949</v>
      </c>
      <c r="AO94" s="50">
        <f t="shared" si="133"/>
        <v>-7.3398110931162711E-4</v>
      </c>
      <c r="AP94" s="59" t="str">
        <f t="shared" si="134"/>
        <v>76.7611163190065-13.5722390664883i</v>
      </c>
      <c r="AQ94" s="50">
        <f t="shared" si="135"/>
        <v>37.836516905716074</v>
      </c>
      <c r="AR94" s="62">
        <f t="shared" si="136"/>
        <v>-10.026915032562233</v>
      </c>
      <c r="AS94" s="32" t="str">
        <f t="shared" si="112"/>
        <v>-0.0000166666666666667</v>
      </c>
      <c r="AT94" s="32" t="str">
        <f t="shared" si="113"/>
        <v>0.00000122930255821i</v>
      </c>
      <c r="AU94" s="32">
        <f t="shared" si="137"/>
        <v>1.22930255821E-6</v>
      </c>
      <c r="AV94" s="32">
        <f t="shared" si="138"/>
        <v>1.5707963267948966</v>
      </c>
      <c r="AW94" s="32" t="str">
        <f t="shared" si="114"/>
        <v>1+0.00124929467593867i</v>
      </c>
      <c r="AX94" s="32">
        <f t="shared" si="139"/>
        <v>1.0000007803682891</v>
      </c>
      <c r="AY94" s="32">
        <f t="shared" si="140"/>
        <v>1.249294025999059E-3</v>
      </c>
      <c r="AZ94" s="32" t="str">
        <f t="shared" si="115"/>
        <v>1+0.0424760189819149i</v>
      </c>
      <c r="BA94" s="32">
        <f t="shared" si="141"/>
        <v>1.0009016995632247</v>
      </c>
      <c r="BB94" s="32">
        <f t="shared" si="142"/>
        <v>4.2450501349369042E-2</v>
      </c>
      <c r="BC94" s="59" t="str">
        <f t="shared" si="143"/>
        <v>-0.558943764313883+13.558521422952i</v>
      </c>
      <c r="BD94" s="50">
        <f t="shared" si="144"/>
        <v>22.651621040059755</v>
      </c>
      <c r="BE94" s="62">
        <f t="shared" si="145"/>
        <v>92.360655290472593</v>
      </c>
      <c r="BF94" s="59" t="str">
        <f t="shared" si="146"/>
        <v>51.1025017721411+369.390941308415i</v>
      </c>
      <c r="BG94" s="65">
        <f t="shared" si="147"/>
        <v>51.432057641263583</v>
      </c>
      <c r="BH94" s="62">
        <f t="shared" si="148"/>
        <v>82.123547495577839</v>
      </c>
      <c r="BI94" s="59" t="str">
        <f t="shared" si="101"/>
        <v>141.114346832126+1048.35335845495i</v>
      </c>
      <c r="BJ94" s="65">
        <f t="shared" si="149"/>
        <v>60.488137945775826</v>
      </c>
      <c r="BK94" s="62">
        <f t="shared" si="102"/>
        <v>82.333740257910392</v>
      </c>
      <c r="BL94" s="50">
        <f t="shared" si="150"/>
        <v>51.432057641263583</v>
      </c>
      <c r="BM94" s="62">
        <f t="shared" si="151"/>
        <v>82.123547495577839</v>
      </c>
    </row>
    <row r="95" spans="14:65" x14ac:dyDescent="0.3">
      <c r="N95" s="11">
        <v>77</v>
      </c>
      <c r="O95" s="51">
        <f t="shared" si="116"/>
        <v>58.884365535558949</v>
      </c>
      <c r="P95" s="49" t="str">
        <f t="shared" si="103"/>
        <v>27.9103246607183</v>
      </c>
      <c r="Q95" s="18" t="str">
        <f t="shared" si="104"/>
        <v>1+0.181742887816968i</v>
      </c>
      <c r="R95" s="18">
        <f t="shared" si="117"/>
        <v>1.0163810689264392</v>
      </c>
      <c r="S95" s="18">
        <f t="shared" si="118"/>
        <v>0.17978061423357158</v>
      </c>
      <c r="T95" s="18" t="str">
        <f t="shared" si="105"/>
        <v>1+0.000162791807356471i</v>
      </c>
      <c r="U95" s="18">
        <f t="shared" si="119"/>
        <v>1.0000000132505862</v>
      </c>
      <c r="V95" s="18">
        <f t="shared" si="120"/>
        <v>1.6279180591841311E-4</v>
      </c>
      <c r="W95" s="32" t="str">
        <f t="shared" si="106"/>
        <v>1-0.00214680554033505i</v>
      </c>
      <c r="X95" s="18">
        <f t="shared" si="121"/>
        <v>1.0000023043843589</v>
      </c>
      <c r="Y95" s="18">
        <f t="shared" si="122"/>
        <v>-2.1468022422969643E-3</v>
      </c>
      <c r="Z95" s="32" t="str">
        <f t="shared" si="107"/>
        <v>0.999999928360155+0.000981711958102685i</v>
      </c>
      <c r="AA95" s="18">
        <f t="shared" si="123"/>
        <v>1.0000004102392579</v>
      </c>
      <c r="AB95" s="18">
        <f t="shared" si="124"/>
        <v>9.8171171305479199E-4</v>
      </c>
      <c r="AC95" s="67" t="str">
        <f t="shared" si="125"/>
        <v>27.0032802772256-4.99042844270087i</v>
      </c>
      <c r="AD95" s="65">
        <f t="shared" si="126"/>
        <v>28.77418298843217</v>
      </c>
      <c r="AE95" s="62">
        <f t="shared" si="127"/>
        <v>-10.470593796224207</v>
      </c>
      <c r="AF95" s="50" t="str">
        <f t="shared" si="108"/>
        <v>79.1527877025864</v>
      </c>
      <c r="AG95" s="50" t="str">
        <f t="shared" si="109"/>
        <v>1+0.180323232764091i</v>
      </c>
      <c r="AH95" s="50">
        <f t="shared" si="128"/>
        <v>1.0161281751208813</v>
      </c>
      <c r="AI95" s="50">
        <f t="shared" si="129"/>
        <v>0.17840600926806663</v>
      </c>
      <c r="AJ95" s="50" t="str">
        <f t="shared" si="110"/>
        <v>1+0.000162791807356471i</v>
      </c>
      <c r="AK95" s="50">
        <f t="shared" si="130"/>
        <v>1.0000000132505862</v>
      </c>
      <c r="AL95" s="50">
        <f t="shared" si="131"/>
        <v>1.6279180591841311E-4</v>
      </c>
      <c r="AM95" s="50" t="str">
        <f t="shared" si="111"/>
        <v>1-0.000751077860500673i</v>
      </c>
      <c r="AN95" s="50">
        <f t="shared" si="132"/>
        <v>1.0000002820589364</v>
      </c>
      <c r="AO95" s="50">
        <f t="shared" si="133"/>
        <v>-7.5107771926855244E-4</v>
      </c>
      <c r="AP95" s="59" t="str">
        <f t="shared" si="134"/>
        <v>76.6519500217256-13.868691906662i</v>
      </c>
      <c r="AQ95" s="50">
        <f t="shared" si="135"/>
        <v>37.830356992704012</v>
      </c>
      <c r="AR95" s="62">
        <f t="shared" si="136"/>
        <v>-10.25561767081402</v>
      </c>
      <c r="AS95" s="32" t="str">
        <f t="shared" si="112"/>
        <v>-0.0000166666666666667</v>
      </c>
      <c r="AT95" s="32" t="str">
        <f t="shared" si="113"/>
        <v>1.25793669320909E-06i</v>
      </c>
      <c r="AU95" s="32">
        <f t="shared" si="137"/>
        <v>1.2579366932090899E-6</v>
      </c>
      <c r="AV95" s="32">
        <f t="shared" si="138"/>
        <v>1.5707963267948966</v>
      </c>
      <c r="AW95" s="32" t="str">
        <f t="shared" si="114"/>
        <v>1+0.0012783944871817i</v>
      </c>
      <c r="AX95" s="32">
        <f t="shared" si="139"/>
        <v>1.0000008171458985</v>
      </c>
      <c r="AY95" s="32">
        <f t="shared" si="140"/>
        <v>1.2783937907588903E-3</v>
      </c>
      <c r="AZ95" s="32" t="str">
        <f t="shared" si="115"/>
        <v>1+0.0434654125641778i</v>
      </c>
      <c r="BA95" s="32">
        <f t="shared" si="141"/>
        <v>1.0009441753111779</v>
      </c>
      <c r="BB95" s="32">
        <f t="shared" si="142"/>
        <v>4.343807132107947E-2</v>
      </c>
      <c r="BC95" s="59" t="str">
        <f t="shared" si="143"/>
        <v>-0.55894372320069+13.2499239556588i</v>
      </c>
      <c r="BD95" s="50">
        <f t="shared" si="144"/>
        <v>22.451989320078614</v>
      </c>
      <c r="BE95" s="62">
        <f t="shared" si="145"/>
        <v>92.415571588119903</v>
      </c>
      <c r="BF95" s="59" t="str">
        <f t="shared" si="146"/>
        <v>51.0294833551591+360.58077888071i</v>
      </c>
      <c r="BG95" s="65">
        <f t="shared" si="147"/>
        <v>51.226172308510776</v>
      </c>
      <c r="BH95" s="62">
        <f t="shared" si="148"/>
        <v>81.944977791895695</v>
      </c>
      <c r="BI95" s="59" t="str">
        <f t="shared" si="101"/>
        <v>140.914986791996+1023.38432713106i</v>
      </c>
      <c r="BJ95" s="65">
        <f t="shared" si="149"/>
        <v>60.282346312782664</v>
      </c>
      <c r="BK95" s="62">
        <f t="shared" si="102"/>
        <v>82.159953917305899</v>
      </c>
      <c r="BL95" s="50">
        <f t="shared" si="150"/>
        <v>51.226172308510776</v>
      </c>
      <c r="BM95" s="62">
        <f t="shared" si="151"/>
        <v>81.944977791895695</v>
      </c>
    </row>
    <row r="96" spans="14:65" x14ac:dyDescent="0.3">
      <c r="N96" s="11">
        <v>78</v>
      </c>
      <c r="O96" s="51">
        <f t="shared" si="116"/>
        <v>60.255958607435822</v>
      </c>
      <c r="P96" s="49" t="str">
        <f t="shared" si="103"/>
        <v>27.9103246607183</v>
      </c>
      <c r="Q96" s="18" t="str">
        <f t="shared" si="104"/>
        <v>1+0.185976223499971i</v>
      </c>
      <c r="R96" s="18">
        <f t="shared" si="117"/>
        <v>1.0171465753308671</v>
      </c>
      <c r="S96" s="18">
        <f t="shared" si="118"/>
        <v>0.18387551906147115</v>
      </c>
      <c r="T96" s="18" t="str">
        <f t="shared" si="105"/>
        <v>1+0.000166583715668595i</v>
      </c>
      <c r="U96" s="18">
        <f t="shared" si="119"/>
        <v>1.0000000138750671</v>
      </c>
      <c r="V96" s="18">
        <f t="shared" si="120"/>
        <v>1.665837141276882E-4</v>
      </c>
      <c r="W96" s="32" t="str">
        <f t="shared" si="106"/>
        <v>1-0.00219681106521436i</v>
      </c>
      <c r="X96" s="18">
        <f t="shared" si="121"/>
        <v>1.0000024129865168</v>
      </c>
      <c r="Y96" s="18">
        <f t="shared" si="122"/>
        <v>-2.1968075313033419E-3</v>
      </c>
      <c r="Z96" s="32" t="str">
        <f t="shared" si="107"/>
        <v>0.999999924983873+0.00100457896716469i</v>
      </c>
      <c r="AA96" s="18">
        <f t="shared" si="123"/>
        <v>1.0000004295732343</v>
      </c>
      <c r="AB96" s="18">
        <f t="shared" si="124"/>
        <v>1.0045787045911481E-3</v>
      </c>
      <c r="AC96" s="67" t="str">
        <f t="shared" si="125"/>
        <v>26.9619616855396-5.09898617524752i</v>
      </c>
      <c r="AD96" s="65">
        <f t="shared" si="126"/>
        <v>28.767644291410498</v>
      </c>
      <c r="AE96" s="62">
        <f t="shared" si="127"/>
        <v>-10.709172574152552</v>
      </c>
      <c r="AF96" s="50" t="str">
        <f t="shared" si="108"/>
        <v>79.1527877025864</v>
      </c>
      <c r="AG96" s="50" t="str">
        <f t="shared" si="109"/>
        <v>1+0.184523500432905i</v>
      </c>
      <c r="AH96" s="50">
        <f t="shared" si="128"/>
        <v>1.0168819608056838</v>
      </c>
      <c r="AI96" s="50">
        <f t="shared" si="129"/>
        <v>0.18247099594658109</v>
      </c>
      <c r="AJ96" s="50" t="str">
        <f t="shared" si="110"/>
        <v>1+0.000166583715668595i</v>
      </c>
      <c r="AK96" s="50">
        <f t="shared" si="130"/>
        <v>1.0000000138750671</v>
      </c>
      <c r="AL96" s="50">
        <f t="shared" si="131"/>
        <v>1.665837141276882E-4</v>
      </c>
      <c r="AM96" s="50" t="str">
        <f t="shared" si="111"/>
        <v>1-0.00076857271130756i</v>
      </c>
      <c r="AN96" s="50">
        <f t="shared" si="132"/>
        <v>1.0000002953519627</v>
      </c>
      <c r="AO96" s="50">
        <f t="shared" si="133"/>
        <v>-7.6857255997461878E-4</v>
      </c>
      <c r="AP96" s="59" t="str">
        <f t="shared" si="134"/>
        <v>76.5379700675105-14.170703260057i</v>
      </c>
      <c r="AQ96" s="50">
        <f t="shared" si="135"/>
        <v>37.823916123008246</v>
      </c>
      <c r="AR96" s="62">
        <f t="shared" si="136"/>
        <v>-10.489309371468794</v>
      </c>
      <c r="AS96" s="32" t="str">
        <f t="shared" si="112"/>
        <v>-0.0000166666666666667</v>
      </c>
      <c r="AT96" s="32" t="str">
        <f t="shared" si="113"/>
        <v>1.28723780289369E-06i</v>
      </c>
      <c r="AU96" s="32">
        <f t="shared" si="137"/>
        <v>1.2872378028936899E-6</v>
      </c>
      <c r="AV96" s="32">
        <f t="shared" si="138"/>
        <v>1.5707963267948966</v>
      </c>
      <c r="AW96" s="32" t="str">
        <f t="shared" si="114"/>
        <v>1+0.00130817212010338i</v>
      </c>
      <c r="AX96" s="32">
        <f t="shared" si="139"/>
        <v>1.0000008556567819</v>
      </c>
      <c r="AY96" s="32">
        <f t="shared" si="140"/>
        <v>1.3081713738729293E-3</v>
      </c>
      <c r="AZ96" s="32" t="str">
        <f t="shared" si="115"/>
        <v>1+0.0444778520835149i</v>
      </c>
      <c r="BA96" s="32">
        <f t="shared" si="141"/>
        <v>1.0009886509476333</v>
      </c>
      <c r="BB96" s="32">
        <f t="shared" si="142"/>
        <v>4.4448556976257533E-2</v>
      </c>
      <c r="BC96" s="59" t="str">
        <f t="shared" si="143"/>
        <v>-0.558943680149891+12.9483517734254i</v>
      </c>
      <c r="BD96" s="50">
        <f t="shared" si="144"/>
        <v>22.25237492307247</v>
      </c>
      <c r="BE96" s="62">
        <f t="shared" si="145"/>
        <v>92.471762021583572</v>
      </c>
      <c r="BF96" s="59" t="str">
        <f t="shared" si="146"/>
        <v>50.953248596362+351.963010503811i</v>
      </c>
      <c r="BG96" s="65">
        <f t="shared" si="147"/>
        <v>51.020019214482978</v>
      </c>
      <c r="BH96" s="62">
        <f t="shared" si="148"/>
        <v>81.762589447431012</v>
      </c>
      <c r="BI96" s="59" t="str">
        <f t="shared" si="101"/>
        <v>140.706836027308+998.961185488518i</v>
      </c>
      <c r="BJ96" s="65">
        <f t="shared" si="149"/>
        <v>60.076291046080712</v>
      </c>
      <c r="BK96" s="62">
        <f t="shared" si="102"/>
        <v>81.982452650114752</v>
      </c>
      <c r="BL96" s="50">
        <f t="shared" si="150"/>
        <v>51.020019214482978</v>
      </c>
      <c r="BM96" s="62">
        <f t="shared" si="151"/>
        <v>81.762589447431012</v>
      </c>
    </row>
    <row r="97" spans="14:65" x14ac:dyDescent="0.3">
      <c r="N97" s="11">
        <v>79</v>
      </c>
      <c r="O97" s="51">
        <f t="shared" si="116"/>
        <v>61.659500186148257</v>
      </c>
      <c r="P97" s="49" t="str">
        <f t="shared" si="103"/>
        <v>27.9103246607183</v>
      </c>
      <c r="Q97" s="18" t="str">
        <f t="shared" si="104"/>
        <v>1+0.19030816623836i</v>
      </c>
      <c r="R97" s="18">
        <f t="shared" si="117"/>
        <v>1.0179475419377009</v>
      </c>
      <c r="S97" s="18">
        <f t="shared" si="118"/>
        <v>0.18805935874727361</v>
      </c>
      <c r="T97" s="18" t="str">
        <f t="shared" si="105"/>
        <v>1+0.000170463948871764i</v>
      </c>
      <c r="U97" s="18">
        <f t="shared" si="119"/>
        <v>1.0000000145289789</v>
      </c>
      <c r="V97" s="18">
        <f t="shared" si="120"/>
        <v>1.7046394722065262E-4</v>
      </c>
      <c r="W97" s="32" t="str">
        <f t="shared" si="106"/>
        <v>1-0.00224798136839867i</v>
      </c>
      <c r="X97" s="18">
        <f t="shared" si="121"/>
        <v>1.0000025267069241</v>
      </c>
      <c r="Y97" s="18">
        <f t="shared" si="122"/>
        <v>-2.2479775817453081E-3</v>
      </c>
      <c r="Z97" s="32" t="str">
        <f t="shared" si="107"/>
        <v>0.999999921448472+0.00102797861729227i</v>
      </c>
      <c r="AA97" s="18">
        <f t="shared" si="123"/>
        <v>1.0000004498183928</v>
      </c>
      <c r="AB97" s="18">
        <f t="shared" si="124"/>
        <v>1.0279783359396575E-3</v>
      </c>
      <c r="AC97" s="67" t="str">
        <f t="shared" si="125"/>
        <v>26.9188288659822-5.20954828985288i</v>
      </c>
      <c r="AD97" s="65">
        <f t="shared" si="126"/>
        <v>28.760807972724884</v>
      </c>
      <c r="AE97" s="62">
        <f t="shared" si="127"/>
        <v>-10.95293913737479</v>
      </c>
      <c r="AF97" s="50" t="str">
        <f t="shared" si="108"/>
        <v>79.1527877025864</v>
      </c>
      <c r="AG97" s="50" t="str">
        <f t="shared" si="109"/>
        <v>1+0.188821604904107i</v>
      </c>
      <c r="AH97" s="50">
        <f t="shared" si="128"/>
        <v>1.0176706728989309</v>
      </c>
      <c r="AI97" s="50">
        <f t="shared" si="129"/>
        <v>0.18662436395718091</v>
      </c>
      <c r="AJ97" s="50" t="str">
        <f t="shared" si="110"/>
        <v>1+0.000170463948871764i</v>
      </c>
      <c r="AK97" s="50">
        <f t="shared" si="130"/>
        <v>1.0000000145289789</v>
      </c>
      <c r="AL97" s="50">
        <f t="shared" si="131"/>
        <v>1.7046394722065262E-4</v>
      </c>
      <c r="AM97" s="50" t="str">
        <f t="shared" si="111"/>
        <v>1-0.000786475069539246i</v>
      </c>
      <c r="AN97" s="50">
        <f t="shared" si="132"/>
        <v>1.0000003092714698</v>
      </c>
      <c r="AO97" s="50">
        <f t="shared" si="133"/>
        <v>-7.8647490738308068E-4</v>
      </c>
      <c r="AP97" s="59" t="str">
        <f t="shared" si="134"/>
        <v>76.4189799353465-14.4783134339835i</v>
      </c>
      <c r="AQ97" s="50">
        <f t="shared" si="135"/>
        <v>37.817181927335071</v>
      </c>
      <c r="AR97" s="62">
        <f t="shared" si="136"/>
        <v>-10.728083237210971</v>
      </c>
      <c r="AS97" s="32" t="str">
        <f t="shared" si="112"/>
        <v>-0.0000166666666666667</v>
      </c>
      <c r="AT97" s="32" t="str">
        <f t="shared" si="113"/>
        <v>1.31722142309999E-06i</v>
      </c>
      <c r="AU97" s="32">
        <f t="shared" si="137"/>
        <v>1.3172214230999901E-6</v>
      </c>
      <c r="AV97" s="32">
        <f t="shared" si="138"/>
        <v>1.5707963267948966</v>
      </c>
      <c r="AW97" s="32" t="str">
        <f t="shared" si="114"/>
        <v>1+0.00133864336319885i</v>
      </c>
      <c r="AX97" s="32">
        <f t="shared" si="139"/>
        <v>1.0000008959826254</v>
      </c>
      <c r="AY97" s="32">
        <f t="shared" si="140"/>
        <v>1.3386425635985547E-3</v>
      </c>
      <c r="AZ97" s="32" t="str">
        <f t="shared" si="115"/>
        <v>1+0.0455138743487608i</v>
      </c>
      <c r="BA97" s="32">
        <f t="shared" si="141"/>
        <v>1.0010352205383359</v>
      </c>
      <c r="BB97" s="32">
        <f t="shared" si="142"/>
        <v>4.5482485828769507E-2</v>
      </c>
      <c r="BC97" s="59" t="str">
        <f t="shared" si="143"/>
        <v>-0.558943635070181+12.6536449786886i</v>
      </c>
      <c r="BD97" s="50">
        <f t="shared" si="144"/>
        <v>22.052778662219819</v>
      </c>
      <c r="BE97" s="62">
        <f t="shared" si="145"/>
        <v>92.529255910581284</v>
      </c>
      <c r="BF97" s="59" t="str">
        <f t="shared" si="146"/>
        <v>50.8736665009485+343.533147570417i</v>
      </c>
      <c r="BG97" s="65">
        <f t="shared" si="147"/>
        <v>50.813586634944699</v>
      </c>
      <c r="BH97" s="62">
        <f t="shared" si="148"/>
        <v>81.576316773206486</v>
      </c>
      <c r="BI97" s="59" t="str">
        <f t="shared" si="101"/>
        <v>140.489535650387+975.071202875878i</v>
      </c>
      <c r="BJ97" s="65">
        <f t="shared" si="149"/>
        <v>59.869960589554893</v>
      </c>
      <c r="BK97" s="62">
        <f t="shared" si="102"/>
        <v>81.801172673370317</v>
      </c>
      <c r="BL97" s="50">
        <f t="shared" si="150"/>
        <v>50.813586634944699</v>
      </c>
      <c r="BM97" s="62">
        <f t="shared" si="151"/>
        <v>81.576316773206486</v>
      </c>
    </row>
    <row r="98" spans="14:65" x14ac:dyDescent="0.3">
      <c r="N98" s="11">
        <v>80</v>
      </c>
      <c r="O98" s="51">
        <f t="shared" si="116"/>
        <v>63.095734448019364</v>
      </c>
      <c r="P98" s="49" t="str">
        <f t="shared" si="103"/>
        <v>27.9103246607183</v>
      </c>
      <c r="Q98" s="18" t="str">
        <f t="shared" si="104"/>
        <v>1+0.194741012885514i</v>
      </c>
      <c r="R98" s="18">
        <f t="shared" si="117"/>
        <v>1.0187855820042193</v>
      </c>
      <c r="S98" s="18">
        <f t="shared" si="118"/>
        <v>0.19233376544422634</v>
      </c>
      <c r="T98" s="18" t="str">
        <f t="shared" si="105"/>
        <v>1+0.00017443456431698i</v>
      </c>
      <c r="U98" s="18">
        <f t="shared" si="119"/>
        <v>1.0000000152137085</v>
      </c>
      <c r="V98" s="18">
        <f t="shared" si="120"/>
        <v>1.7443456254778229E-4</v>
      </c>
      <c r="W98" s="32" t="str">
        <f t="shared" si="106"/>
        <v>1-0.00230034358106006i</v>
      </c>
      <c r="X98" s="18">
        <f t="shared" si="121"/>
        <v>1.0000026457867952</v>
      </c>
      <c r="Y98" s="18">
        <f t="shared" si="122"/>
        <v>-2.3003395235884606E-3</v>
      </c>
      <c r="Z98" s="32" t="str">
        <f t="shared" si="107"/>
        <v>0.999999917746452+0.00105192331528964i</v>
      </c>
      <c r="AA98" s="18">
        <f t="shared" si="123"/>
        <v>1.0000004710176751</v>
      </c>
      <c r="AB98" s="18">
        <f t="shared" si="124"/>
        <v>1.0519230138148923E-3</v>
      </c>
      <c r="AC98" s="67" t="str">
        <f t="shared" si="125"/>
        <v>26.8738084659013-5.32212693619242i</v>
      </c>
      <c r="AD98" s="65">
        <f t="shared" si="126"/>
        <v>28.75366098620383</v>
      </c>
      <c r="AE98" s="62">
        <f t="shared" si="127"/>
        <v>-11.201989148791109</v>
      </c>
      <c r="AF98" s="50" t="str">
        <f t="shared" si="108"/>
        <v>79.1527877025864</v>
      </c>
      <c r="AG98" s="50" t="str">
        <f t="shared" si="109"/>
        <v>1+0.193219825089578i</v>
      </c>
      <c r="AH98" s="50">
        <f t="shared" si="128"/>
        <v>1.0184959012228019</v>
      </c>
      <c r="AI98" s="50">
        <f t="shared" si="129"/>
        <v>0.19086774201048279</v>
      </c>
      <c r="AJ98" s="50" t="str">
        <f t="shared" si="110"/>
        <v>1+0.00017443456431698i</v>
      </c>
      <c r="AK98" s="50">
        <f t="shared" si="130"/>
        <v>1.0000000152137085</v>
      </c>
      <c r="AL98" s="50">
        <f t="shared" si="131"/>
        <v>1.7443456254778229E-4</v>
      </c>
      <c r="AM98" s="50" t="str">
        <f t="shared" si="111"/>
        <v>1-0.000804794427263028i</v>
      </c>
      <c r="AN98" s="50">
        <f t="shared" si="132"/>
        <v>1.0000003238469826</v>
      </c>
      <c r="AO98" s="50">
        <f t="shared" si="133"/>
        <v>-8.0479425350956941E-4</v>
      </c>
      <c r="AP98" s="59" t="str">
        <f t="shared" si="134"/>
        <v>76.2947765418009-14.7915581190632i</v>
      </c>
      <c r="AQ98" s="50">
        <f t="shared" si="135"/>
        <v>37.810141533208942</v>
      </c>
      <c r="AR98" s="62">
        <f t="shared" si="136"/>
        <v>-10.972033012259779</v>
      </c>
      <c r="AS98" s="32" t="str">
        <f t="shared" si="112"/>
        <v>-0.0000166666666666667</v>
      </c>
      <c r="AT98" s="32" t="str">
        <f t="shared" si="113"/>
        <v>0.0000013479034515403i</v>
      </c>
      <c r="AU98" s="32">
        <f t="shared" si="137"/>
        <v>1.3479034515403E-6</v>
      </c>
      <c r="AV98" s="32">
        <f t="shared" si="138"/>
        <v>1.5707963267948966</v>
      </c>
      <c r="AW98" s="32" t="str">
        <f t="shared" si="114"/>
        <v>1+0.00136982437272452i</v>
      </c>
      <c r="AX98" s="32">
        <f t="shared" si="139"/>
        <v>1.0000009382089659</v>
      </c>
      <c r="AY98" s="32">
        <f t="shared" si="140"/>
        <v>1.3698235159374105E-3</v>
      </c>
      <c r="AZ98" s="32" t="str">
        <f t="shared" si="115"/>
        <v>1+0.0465740286726336i</v>
      </c>
      <c r="BA98" s="32">
        <f t="shared" si="141"/>
        <v>1.0010839825642999</v>
      </c>
      <c r="BB98" s="32">
        <f t="shared" si="142"/>
        <v>4.6540397234112858E-2</v>
      </c>
      <c r="BC98" s="59" t="str">
        <f t="shared" si="143"/>
        <v>-0.558943587865938+12.3656473140046i</v>
      </c>
      <c r="BD98" s="50">
        <f t="shared" si="144"/>
        <v>21.853201388712659</v>
      </c>
      <c r="BE98" s="62">
        <f t="shared" si="145"/>
        <v>92.588083232236002</v>
      </c>
      <c r="BF98" s="59" t="str">
        <f t="shared" si="146"/>
        <v>50.7906017297664+335.28680619824i</v>
      </c>
      <c r="BG98" s="65">
        <f t="shared" si="147"/>
        <v>50.606862374916503</v>
      </c>
      <c r="BH98" s="62">
        <f t="shared" si="148"/>
        <v>81.386094083444917</v>
      </c>
      <c r="BI98" s="59" t="str">
        <f t="shared" si="101"/>
        <v>140.262714789233+951.701945181898i</v>
      </c>
      <c r="BJ98" s="65">
        <f t="shared" si="149"/>
        <v>59.663342921921597</v>
      </c>
      <c r="BK98" s="62">
        <f t="shared" si="102"/>
        <v>81.616050219976216</v>
      </c>
      <c r="BL98" s="50">
        <f t="shared" si="150"/>
        <v>50.606862374916503</v>
      </c>
      <c r="BM98" s="62">
        <f t="shared" si="151"/>
        <v>81.386094083444917</v>
      </c>
    </row>
    <row r="99" spans="14:65" x14ac:dyDescent="0.3">
      <c r="N99" s="11">
        <v>81</v>
      </c>
      <c r="O99" s="51">
        <f t="shared" si="116"/>
        <v>64.565422903465588</v>
      </c>
      <c r="P99" s="49" t="str">
        <f t="shared" si="103"/>
        <v>27.9103246607183</v>
      </c>
      <c r="Q99" s="18" t="str">
        <f t="shared" si="104"/>
        <v>1+0.199277113795403i</v>
      </c>
      <c r="R99" s="18">
        <f t="shared" si="117"/>
        <v>1.0196623794583313</v>
      </c>
      <c r="S99" s="18">
        <f t="shared" si="118"/>
        <v>0.19670038043135338</v>
      </c>
      <c r="T99" s="18" t="str">
        <f t="shared" si="105"/>
        <v>1+0.000178497667277112i</v>
      </c>
      <c r="U99" s="18">
        <f t="shared" si="119"/>
        <v>1.0000000159307085</v>
      </c>
      <c r="V99" s="18">
        <f t="shared" si="120"/>
        <v>1.7849766538138249E-4</v>
      </c>
      <c r="W99" s="32" t="str">
        <f t="shared" si="106"/>
        <v>1-0.00235392546633677i</v>
      </c>
      <c r="X99" s="18">
        <f t="shared" si="121"/>
        <v>1.0000027704787127</v>
      </c>
      <c r="Y99" s="18">
        <f t="shared" si="122"/>
        <v>-2.3539211186782713E-3</v>
      </c>
      <c r="Z99" s="32" t="str">
        <f t="shared" si="107"/>
        <v>0.999999913869962+0.00107642575695262i</v>
      </c>
      <c r="AA99" s="18">
        <f t="shared" si="123"/>
        <v>1.0000004932160491</v>
      </c>
      <c r="AB99" s="18">
        <f t="shared" si="124"/>
        <v>1.076425433916616E-3</v>
      </c>
      <c r="AC99" s="67" t="str">
        <f t="shared" si="125"/>
        <v>26.8268247509471-5.43673241502621i</v>
      </c>
      <c r="AD99" s="65">
        <f t="shared" si="126"/>
        <v>28.746189760223423</v>
      </c>
      <c r="AE99" s="62">
        <f t="shared" si="127"/>
        <v>-11.456418844185862</v>
      </c>
      <c r="AF99" s="50" t="str">
        <f t="shared" si="108"/>
        <v>79.1527877025864</v>
      </c>
      <c r="AG99" s="50" t="str">
        <f t="shared" si="109"/>
        <v>1+0.197720492983878i</v>
      </c>
      <c r="AH99" s="50">
        <f t="shared" si="128"/>
        <v>1.0193593053216259</v>
      </c>
      <c r="AI99" s="50">
        <f t="shared" si="129"/>
        <v>0.19520276844675125</v>
      </c>
      <c r="AJ99" s="50" t="str">
        <f t="shared" si="110"/>
        <v>1+0.000178497667277112i</v>
      </c>
      <c r="AK99" s="50">
        <f t="shared" si="130"/>
        <v>1.0000000159307085</v>
      </c>
      <c r="AL99" s="50">
        <f t="shared" si="131"/>
        <v>1.7849766538138249E-4</v>
      </c>
      <c r="AM99" s="50" t="str">
        <f t="shared" si="111"/>
        <v>1-0.000823540497644859i</v>
      </c>
      <c r="AN99" s="50">
        <f t="shared" si="132"/>
        <v>1.0000003391094181</v>
      </c>
      <c r="AO99" s="50">
        <f t="shared" si="133"/>
        <v>-8.2354031146467728E-4</v>
      </c>
      <c r="AP99" s="59" t="str">
        <f t="shared" si="134"/>
        <v>76.1651501605886-15.1104679761538i</v>
      </c>
      <c r="AQ99" s="50">
        <f t="shared" si="135"/>
        <v>37.802781548341081</v>
      </c>
      <c r="AR99" s="62">
        <f t="shared" si="136"/>
        <v>-11.221253002494814</v>
      </c>
      <c r="AS99" s="32" t="str">
        <f t="shared" si="112"/>
        <v>-0.0000166666666666667</v>
      </c>
      <c r="AT99" s="32" t="str">
        <f t="shared" si="113"/>
        <v>1.37930015623223E-06i</v>
      </c>
      <c r="AU99" s="32">
        <f t="shared" si="137"/>
        <v>1.37930015623223E-6</v>
      </c>
      <c r="AV99" s="32">
        <f t="shared" si="138"/>
        <v>1.5707963267948966</v>
      </c>
      <c r="AW99" s="32" t="str">
        <f t="shared" si="114"/>
        <v>1+0.00140173168126438i</v>
      </c>
      <c r="AX99" s="32">
        <f t="shared" si="139"/>
        <v>1.0000009824253706</v>
      </c>
      <c r="AY99" s="32">
        <f t="shared" si="140"/>
        <v>1.4017307632005005E-3</v>
      </c>
      <c r="AZ99" s="32" t="str">
        <f t="shared" si="115"/>
        <v>1+0.0476588771629889i</v>
      </c>
      <c r="BA99" s="32">
        <f t="shared" si="141"/>
        <v>1.0011350401281722</v>
      </c>
      <c r="BB99" s="32">
        <f t="shared" si="142"/>
        <v>4.7622842633612467E-2</v>
      </c>
      <c r="BC99" s="59" t="str">
        <f t="shared" si="143"/>
        <v>-0.558943538437036+12.0842060791991i</v>
      </c>
      <c r="BD99" s="50">
        <f t="shared" si="144"/>
        <v>21.653643993518124</v>
      </c>
      <c r="BE99" s="62">
        <f t="shared" si="145"/>
        <v>92.648274634576637</v>
      </c>
      <c r="BF99" s="59" t="str">
        <f t="shared" si="146"/>
        <v>50.7039145493139+327.219705194594i</v>
      </c>
      <c r="BG99" s="65">
        <f t="shared" si="147"/>
        <v>50.399833753741554</v>
      </c>
      <c r="BH99" s="62">
        <f t="shared" si="148"/>
        <v>81.19185579039079</v>
      </c>
      <c r="BI99" s="59" t="str">
        <f t="shared" si="101"/>
        <v>140.025990440634+928.841269031728i</v>
      </c>
      <c r="BJ99" s="65">
        <f t="shared" si="149"/>
        <v>59.456425541859197</v>
      </c>
      <c r="BK99" s="62">
        <f t="shared" si="102"/>
        <v>81.427021632081804</v>
      </c>
      <c r="BL99" s="50">
        <f t="shared" si="150"/>
        <v>50.399833753741554</v>
      </c>
      <c r="BM99" s="62">
        <f t="shared" si="151"/>
        <v>81.19185579039079</v>
      </c>
    </row>
    <row r="100" spans="14:65" x14ac:dyDescent="0.3">
      <c r="N100" s="11">
        <v>82</v>
      </c>
      <c r="O100" s="51">
        <f t="shared" si="116"/>
        <v>66.069344800759623</v>
      </c>
      <c r="P100" s="49" t="str">
        <f t="shared" si="103"/>
        <v>27.9103246607183</v>
      </c>
      <c r="Q100" s="18" t="str">
        <f t="shared" si="104"/>
        <v>1+0.20391887406877i</v>
      </c>
      <c r="R100" s="18">
        <f t="shared" si="117"/>
        <v>1.0205796917445864</v>
      </c>
      <c r="S100" s="18">
        <f t="shared" si="118"/>
        <v>0.20116085254922234</v>
      </c>
      <c r="T100" s="18" t="str">
        <f t="shared" si="105"/>
        <v>1+0.000182655412063131i</v>
      </c>
      <c r="U100" s="18">
        <f t="shared" si="119"/>
        <v>1.0000000166814995</v>
      </c>
      <c r="V100" s="18">
        <f t="shared" si="120"/>
        <v>1.8265541003182023E-4</v>
      </c>
      <c r="W100" s="32" t="str">
        <f t="shared" si="106"/>
        <v>1-0.00240875543405363i</v>
      </c>
      <c r="X100" s="18">
        <f t="shared" si="121"/>
        <v>1.0000029010471625</v>
      </c>
      <c r="Y100" s="18">
        <f t="shared" si="122"/>
        <v>-2.4087507754543456E-3</v>
      </c>
      <c r="Z100" s="32" t="str">
        <f t="shared" si="107"/>
        <v>0.999999909810778+0.00110149893380013i</v>
      </c>
      <c r="AA100" s="18">
        <f t="shared" si="123"/>
        <v>1.0000005164605992</v>
      </c>
      <c r="AB100" s="18">
        <f t="shared" si="124"/>
        <v>1.1014985876608254E-3</v>
      </c>
      <c r="AC100" s="67" t="str">
        <f t="shared" si="125"/>
        <v>26.777799583199-5.55337302023267i</v>
      </c>
      <c r="AD100" s="65">
        <f t="shared" si="126"/>
        <v>28.738380180839069</v>
      </c>
      <c r="AE100" s="62">
        <f t="shared" si="127"/>
        <v>-11.716324943768869</v>
      </c>
      <c r="AF100" s="50" t="str">
        <f t="shared" si="108"/>
        <v>79.1527877025864</v>
      </c>
      <c r="AG100" s="50" t="str">
        <f t="shared" si="109"/>
        <v>1+0.202325994900698i</v>
      </c>
      <c r="AH100" s="50">
        <f t="shared" si="128"/>
        <v>1.020262617276825</v>
      </c>
      <c r="AI100" s="50">
        <f t="shared" si="129"/>
        <v>0.19963108971496812</v>
      </c>
      <c r="AJ100" s="50" t="str">
        <f t="shared" si="110"/>
        <v>1+0.000182655412063131i</v>
      </c>
      <c r="AK100" s="50">
        <f t="shared" si="130"/>
        <v>1.0000000166814995</v>
      </c>
      <c r="AL100" s="50">
        <f t="shared" si="131"/>
        <v>1.8265541003182023E-4</v>
      </c>
      <c r="AM100" s="50" t="str">
        <f t="shared" si="111"/>
        <v>1-0.00084272322009939i</v>
      </c>
      <c r="AN100" s="50">
        <f t="shared" si="132"/>
        <v>1.0000003550911498</v>
      </c>
      <c r="AO100" s="50">
        <f t="shared" si="133"/>
        <v>-8.4272302060373473E-4</v>
      </c>
      <c r="AP100" s="59" t="str">
        <f t="shared" si="134"/>
        <v>76.0298843561596-15.4350682016238i</v>
      </c>
      <c r="AQ100" s="50">
        <f t="shared" si="135"/>
        <v>37.795088043812996</v>
      </c>
      <c r="AR100" s="62">
        <f t="shared" si="136"/>
        <v>-11.475837988544217</v>
      </c>
      <c r="AS100" s="32" t="str">
        <f t="shared" si="112"/>
        <v>-0.0000166666666666667</v>
      </c>
      <c r="AT100" s="32" t="str">
        <f t="shared" si="113"/>
        <v>1.41142818412419E-06i</v>
      </c>
      <c r="AU100" s="32">
        <f t="shared" si="137"/>
        <v>1.41142818412419E-6</v>
      </c>
      <c r="AV100" s="32">
        <f t="shared" si="138"/>
        <v>1.5707963267948966</v>
      </c>
      <c r="AW100" s="32" t="str">
        <f t="shared" si="114"/>
        <v>1+0.00143438220649576i</v>
      </c>
      <c r="AX100" s="32">
        <f t="shared" si="139"/>
        <v>1.000001028725628</v>
      </c>
      <c r="AY100" s="32">
        <f t="shared" si="140"/>
        <v>1.4343812227726443E-3</v>
      </c>
      <c r="AZ100" s="32" t="str">
        <f t="shared" si="115"/>
        <v>1+0.0487689950208559i</v>
      </c>
      <c r="BA100" s="32">
        <f t="shared" si="141"/>
        <v>1.0011885011701565</v>
      </c>
      <c r="BB100" s="32">
        <f t="shared" si="142"/>
        <v>4.8730385802070716E-2</v>
      </c>
      <c r="BC100" s="59" t="str">
        <f t="shared" si="143"/>
        <v>-0.558943486678633+11.8091720504037i</v>
      </c>
      <c r="BD100" s="50">
        <f t="shared" si="144"/>
        <v>21.454107409220384</v>
      </c>
      <c r="BE100" s="62">
        <f t="shared" si="145"/>
        <v>92.709861450225176</v>
      </c>
      <c r="BF100" s="59" t="str">
        <f t="shared" si="146"/>
        <v>50.6134607913827+319.327664087981i</v>
      </c>
      <c r="BG100" s="65">
        <f t="shared" si="147"/>
        <v>50.192487590059443</v>
      </c>
      <c r="BH100" s="62">
        <f t="shared" si="148"/>
        <v>80.993536506456309</v>
      </c>
      <c r="BI100" s="59" t="str">
        <f t="shared" si="101"/>
        <v>139.778967348886+906.477316171923i</v>
      </c>
      <c r="BJ100" s="65">
        <f t="shared" si="149"/>
        <v>59.24919545303338</v>
      </c>
      <c r="BK100" s="62">
        <f t="shared" si="102"/>
        <v>81.234023461680934</v>
      </c>
      <c r="BL100" s="50">
        <f t="shared" si="150"/>
        <v>50.192487590059443</v>
      </c>
      <c r="BM100" s="62">
        <f t="shared" si="151"/>
        <v>80.993536506456309</v>
      </c>
    </row>
    <row r="101" spans="14:65" x14ac:dyDescent="0.3">
      <c r="N101" s="11">
        <v>83</v>
      </c>
      <c r="O101" s="51">
        <f t="shared" si="116"/>
        <v>67.60829753919819</v>
      </c>
      <c r="P101" s="49" t="str">
        <f t="shared" si="103"/>
        <v>27.9103246607183</v>
      </c>
      <c r="Q101" s="18" t="str">
        <f t="shared" si="104"/>
        <v>1+0.208668754828354i</v>
      </c>
      <c r="R101" s="18">
        <f t="shared" si="117"/>
        <v>1.0215393527621028</v>
      </c>
      <c r="S101" s="18">
        <f t="shared" si="118"/>
        <v>0.2057168365043045</v>
      </c>
      <c r="T101" s="18" t="str">
        <f t="shared" si="105"/>
        <v>1+0.000186910003166355i</v>
      </c>
      <c r="U101" s="18">
        <f t="shared" si="119"/>
        <v>1.0000000174676744</v>
      </c>
      <c r="V101" s="18">
        <f t="shared" si="120"/>
        <v>1.8691000098976628E-4</v>
      </c>
      <c r="W101" s="32" t="str">
        <f t="shared" si="106"/>
        <v>1-0.00246486255578526i</v>
      </c>
      <c r="X101" s="18">
        <f t="shared" si="121"/>
        <v>1.0000030377690954</v>
      </c>
      <c r="Y101" s="18">
        <f t="shared" si="122"/>
        <v>-2.4648575640070104E-3</v>
      </c>
      <c r="Z101" s="32" t="str">
        <f t="shared" si="107"/>
        <v>0.999999905560291+0.00112715613996239i</v>
      </c>
      <c r="AA101" s="18">
        <f t="shared" si="123"/>
        <v>1.0000005408006309</v>
      </c>
      <c r="AB101" s="18">
        <f t="shared" si="124"/>
        <v>1.1271557690674537E-3</v>
      </c>
      <c r="AC101" s="67" t="str">
        <f t="shared" si="125"/>
        <v>26.7266524051863-5.67205487293183i</v>
      </c>
      <c r="AD101" s="65">
        <f t="shared" si="126"/>
        <v>28.730217574783964</v>
      </c>
      <c r="AE101" s="62">
        <f t="shared" si="127"/>
        <v>-11.981804556213818</v>
      </c>
      <c r="AF101" s="50" t="str">
        <f t="shared" si="108"/>
        <v>79.1527877025864</v>
      </c>
      <c r="AG101" s="50" t="str">
        <f t="shared" si="109"/>
        <v>1+0.207038772738116i</v>
      </c>
      <c r="AH101" s="50">
        <f t="shared" si="128"/>
        <v>1.0212076446134279</v>
      </c>
      <c r="AI101" s="50">
        <f t="shared" si="129"/>
        <v>0.20415435872266696</v>
      </c>
      <c r="AJ101" s="50" t="str">
        <f t="shared" si="110"/>
        <v>1+0.000186910003166355i</v>
      </c>
      <c r="AK101" s="50">
        <f t="shared" si="130"/>
        <v>1.0000000174676744</v>
      </c>
      <c r="AL101" s="50">
        <f t="shared" si="131"/>
        <v>1.8691000098976628E-4</v>
      </c>
      <c r="AM101" s="50" t="str">
        <f t="shared" si="111"/>
        <v>1-0.000862352765559977i</v>
      </c>
      <c r="AN101" s="50">
        <f t="shared" si="132"/>
        <v>1.000000371826077</v>
      </c>
      <c r="AO101" s="50">
        <f t="shared" si="133"/>
        <v>-8.6235255179653548E-4</v>
      </c>
      <c r="AP101" s="59" t="str">
        <f t="shared" si="134"/>
        <v>75.888755933131-15.7653780705949i</v>
      </c>
      <c r="AQ101" s="50">
        <f t="shared" si="135"/>
        <v>37.787046537112325</v>
      </c>
      <c r="AR101" s="62">
        <f t="shared" si="136"/>
        <v>-11.735883131473456</v>
      </c>
      <c r="AS101" s="32" t="str">
        <f t="shared" si="112"/>
        <v>-0.0000166666666666667</v>
      </c>
      <c r="AT101" s="32" t="str">
        <f t="shared" si="113"/>
        <v>1.44430456992183E-06i</v>
      </c>
      <c r="AU101" s="32">
        <f t="shared" si="137"/>
        <v>1.44430456992183E-6</v>
      </c>
      <c r="AV101" s="32">
        <f t="shared" si="138"/>
        <v>1.5707963267948966</v>
      </c>
      <c r="AW101" s="32" t="str">
        <f t="shared" si="114"/>
        <v>1+0.00146779326015932i</v>
      </c>
      <c r="AX101" s="32">
        <f t="shared" si="139"/>
        <v>1.0000010772079471</v>
      </c>
      <c r="AY101" s="32">
        <f t="shared" si="140"/>
        <v>1.4677922060810718E-3</v>
      </c>
      <c r="AZ101" s="32" t="str">
        <f t="shared" si="115"/>
        <v>1+0.0499049708454168i</v>
      </c>
      <c r="BA101" s="32">
        <f t="shared" si="141"/>
        <v>1.0012444786939312</v>
      </c>
      <c r="BB101" s="32">
        <f t="shared" si="142"/>
        <v>4.9863603098798913E-2</v>
      </c>
      <c r="BC101" s="59" t="str">
        <f t="shared" si="143"/>
        <v>-0.558943432480939+11.5403994009352i</v>
      </c>
      <c r="BD101" s="50">
        <f t="shared" si="144"/>
        <v>21.254592611946066</v>
      </c>
      <c r="BE101" s="62">
        <f t="shared" si="145"/>
        <v>92.772875710265993</v>
      </c>
      <c r="BF101" s="59" t="str">
        <f t="shared" si="146"/>
        <v>50.5190918235743+311.606601225712i</v>
      </c>
      <c r="BG101" s="65">
        <f t="shared" si="147"/>
        <v>49.98481018673003</v>
      </c>
      <c r="BH101" s="62">
        <f t="shared" si="148"/>
        <v>80.791071154052176</v>
      </c>
      <c r="BI101" s="59" t="str">
        <f t="shared" si="101"/>
        <v>139.521237913438+884.598508041561i</v>
      </c>
      <c r="BJ101" s="65">
        <f t="shared" si="149"/>
        <v>59.041639149058398</v>
      </c>
      <c r="BK101" s="62">
        <f t="shared" si="102"/>
        <v>81.036992578792535</v>
      </c>
      <c r="BL101" s="50">
        <f t="shared" si="150"/>
        <v>49.98481018673003</v>
      </c>
      <c r="BM101" s="62">
        <f t="shared" si="151"/>
        <v>80.791071154052176</v>
      </c>
    </row>
    <row r="102" spans="14:65" x14ac:dyDescent="0.3">
      <c r="N102" s="11">
        <v>84</v>
      </c>
      <c r="O102" s="51">
        <f t="shared" si="116"/>
        <v>69.183097091893657</v>
      </c>
      <c r="P102" s="49" t="str">
        <f t="shared" si="103"/>
        <v>27.9103246607183</v>
      </c>
      <c r="Q102" s="18" t="str">
        <f t="shared" si="104"/>
        <v>1+0.213529274523805i</v>
      </c>
      <c r="R102" s="18">
        <f t="shared" si="117"/>
        <v>1.0225432758952857</v>
      </c>
      <c r="S102" s="18">
        <f t="shared" si="118"/>
        <v>0.21036999103544229</v>
      </c>
      <c r="T102" s="18" t="str">
        <f t="shared" si="105"/>
        <v>1+0.000191263696427305i</v>
      </c>
      <c r="U102" s="18">
        <f t="shared" si="119"/>
        <v>1.0000000182909006</v>
      </c>
      <c r="V102" s="18">
        <f t="shared" si="120"/>
        <v>1.9126369409504818E-4</v>
      </c>
      <c r="W102" s="32" t="str">
        <f t="shared" si="106"/>
        <v>1-0.00252227658027029i</v>
      </c>
      <c r="X102" s="18">
        <f t="shared" si="121"/>
        <v>1.0000031809345147</v>
      </c>
      <c r="Y102" s="18">
        <f t="shared" si="122"/>
        <v>-2.522271231484447E-3</v>
      </c>
      <c r="Z102" s="32" t="str">
        <f t="shared" si="107"/>
        <v>0.999999901109485+0.00115341097922974i</v>
      </c>
      <c r="AA102" s="18">
        <f t="shared" si="123"/>
        <v>1.0000005662877731</v>
      </c>
      <c r="AB102" s="18">
        <f t="shared" si="124"/>
        <v>1.1534105818086669E-3</v>
      </c>
      <c r="AC102" s="67" t="str">
        <f t="shared" si="125"/>
        <v>26.6733002305145-5.7927817476032i</v>
      </c>
      <c r="AD102" s="65">
        <f t="shared" si="126"/>
        <v>28.721686692377595</v>
      </c>
      <c r="AE102" s="62">
        <f t="shared" si="127"/>
        <v>-12.252955074824792</v>
      </c>
      <c r="AF102" s="50" t="str">
        <f t="shared" si="108"/>
        <v>79.1527877025864</v>
      </c>
      <c r="AG102" s="50" t="str">
        <f t="shared" si="109"/>
        <v>1+0.211861325273322i</v>
      </c>
      <c r="AH102" s="50">
        <f t="shared" si="128"/>
        <v>1.0221962732991001</v>
      </c>
      <c r="AI102" s="50">
        <f t="shared" si="129"/>
        <v>0.20877423305009238</v>
      </c>
      <c r="AJ102" s="50" t="str">
        <f t="shared" si="110"/>
        <v>1+0.000191263696427305i</v>
      </c>
      <c r="AK102" s="50">
        <f t="shared" si="130"/>
        <v>1.0000000182909006</v>
      </c>
      <c r="AL102" s="50">
        <f t="shared" si="131"/>
        <v>1.9126369409504818E-4</v>
      </c>
      <c r="AM102" s="50" t="str">
        <f t="shared" si="111"/>
        <v>1-0.000882439541871453i</v>
      </c>
      <c r="AN102" s="50">
        <f t="shared" si="132"/>
        <v>1.0000003893496967</v>
      </c>
      <c r="AO102" s="50">
        <f t="shared" si="133"/>
        <v>-8.8243931281980343E-4</v>
      </c>
      <c r="AP102" s="59" t="str">
        <f t="shared" si="134"/>
        <v>75.7415349035162-16.1014104578541i</v>
      </c>
      <c r="AQ102" s="50">
        <f t="shared" si="135"/>
        <v>37.778641975063188</v>
      </c>
      <c r="AR102" s="62">
        <f t="shared" si="136"/>
        <v>-12.00148387070622</v>
      </c>
      <c r="AS102" s="32" t="str">
        <f t="shared" si="112"/>
        <v>-0.0000166666666666667</v>
      </c>
      <c r="AT102" s="32" t="str">
        <f t="shared" si="113"/>
        <v>1.47794674512008E-06i</v>
      </c>
      <c r="AU102" s="32">
        <f t="shared" si="137"/>
        <v>1.47794674512008E-6</v>
      </c>
      <c r="AV102" s="32">
        <f t="shared" si="138"/>
        <v>1.5707963267948966</v>
      </c>
      <c r="AW102" s="32" t="str">
        <f t="shared" si="114"/>
        <v>1+0.00150198255723795i</v>
      </c>
      <c r="AX102" s="32">
        <f t="shared" si="139"/>
        <v>1.0000011279751648</v>
      </c>
      <c r="AY102" s="32">
        <f t="shared" si="140"/>
        <v>1.5019814277728266E-3</v>
      </c>
      <c r="AZ102" s="32" t="str">
        <f t="shared" si="115"/>
        <v>1+0.0510674069460903i</v>
      </c>
      <c r="BA102" s="32">
        <f t="shared" si="141"/>
        <v>1.0013030910030176</v>
      </c>
      <c r="BB102" s="32">
        <f t="shared" si="142"/>
        <v>5.102308372194124E-2</v>
      </c>
      <c r="BC102" s="59" t="str">
        <f t="shared" si="143"/>
        <v>-0.558943375728998+11.2777456239769i</v>
      </c>
      <c r="BD102" s="50">
        <f t="shared" si="144"/>
        <v>21.055100623377491</v>
      </c>
      <c r="BE102" s="62">
        <f t="shared" si="145"/>
        <v>92.837350158291457</v>
      </c>
      <c r="BF102" s="59" t="str">
        <f t="shared" si="146"/>
        <v>50.4206545320084+304.052531936574i</v>
      </c>
      <c r="BG102" s="65">
        <f t="shared" si="147"/>
        <v>49.776787315755094</v>
      </c>
      <c r="BH102" s="62">
        <f t="shared" si="148"/>
        <v>80.584395083466688</v>
      </c>
      <c r="BI102" s="59" t="str">
        <f t="shared" si="101"/>
        <v>139.252382129053+863.193540526735i</v>
      </c>
      <c r="BJ102" s="65">
        <f t="shared" si="149"/>
        <v>58.833742598440679</v>
      </c>
      <c r="BK102" s="62">
        <f t="shared" si="102"/>
        <v>80.835866287585247</v>
      </c>
      <c r="BL102" s="50">
        <f t="shared" si="150"/>
        <v>49.776787315755094</v>
      </c>
      <c r="BM102" s="62">
        <f t="shared" si="151"/>
        <v>80.584395083466688</v>
      </c>
    </row>
    <row r="103" spans="14:65" x14ac:dyDescent="0.3">
      <c r="N103" s="11">
        <v>85</v>
      </c>
      <c r="O103" s="51">
        <f t="shared" si="116"/>
        <v>70.794578438413865</v>
      </c>
      <c r="P103" s="49" t="str">
        <f t="shared" si="103"/>
        <v>27.9103246607183</v>
      </c>
      <c r="Q103" s="18" t="str">
        <f t="shared" si="104"/>
        <v>1+0.218503010267004i</v>
      </c>
      <c r="R103" s="18">
        <f t="shared" si="117"/>
        <v>1.0235934571380096</v>
      </c>
      <c r="S103" s="18">
        <f t="shared" si="118"/>
        <v>0.21512197693592044</v>
      </c>
      <c r="T103" s="18" t="str">
        <f t="shared" si="105"/>
        <v>1+0.000195718800231775i</v>
      </c>
      <c r="U103" s="18">
        <f t="shared" si="119"/>
        <v>1.0000000191529241</v>
      </c>
      <c r="V103" s="18">
        <f t="shared" si="120"/>
        <v>1.957187977327168E-4</v>
      </c>
      <c r="W103" s="32" t="str">
        <f t="shared" si="106"/>
        <v>1-0.00258102794918446i</v>
      </c>
      <c r="X103" s="18">
        <f t="shared" si="121"/>
        <v>1.0000033308470899</v>
      </c>
      <c r="Y103" s="18">
        <f t="shared" si="122"/>
        <v>-2.5810222178582003E-3</v>
      </c>
      <c r="Z103" s="32" t="str">
        <f t="shared" si="107"/>
        <v>0.999999896448919+0.00118027737226548i</v>
      </c>
      <c r="AA103" s="18">
        <f t="shared" si="123"/>
        <v>1.0000005929760862</v>
      </c>
      <c r="AB103" s="18">
        <f t="shared" si="124"/>
        <v>1.180276946421141E-3</v>
      </c>
      <c r="AC103" s="67" t="str">
        <f t="shared" si="125"/>
        <v>26.6176576418613-5.91555489014129i</v>
      </c>
      <c r="AD103" s="65">
        <f t="shared" si="126"/>
        <v>28.712771690394273</v>
      </c>
      <c r="AE103" s="62">
        <f t="shared" si="127"/>
        <v>-12.52987406545672</v>
      </c>
      <c r="AF103" s="50" t="str">
        <f t="shared" si="108"/>
        <v>79.1527877025864</v>
      </c>
      <c r="AG103" s="50" t="str">
        <f t="shared" si="109"/>
        <v>1+0.216796209487504i</v>
      </c>
      <c r="AH103" s="50">
        <f t="shared" si="128"/>
        <v>1.0232304708364337</v>
      </c>
      <c r="AI103" s="50">
        <f t="shared" si="129"/>
        <v>0.21349237302218385</v>
      </c>
      <c r="AJ103" s="50" t="str">
        <f t="shared" si="110"/>
        <v>1+0.000195718800231775i</v>
      </c>
      <c r="AK103" s="50">
        <f t="shared" si="130"/>
        <v>1.0000000191529241</v>
      </c>
      <c r="AL103" s="50">
        <f t="shared" si="131"/>
        <v>1.957187977327168E-4</v>
      </c>
      <c r="AM103" s="50" t="str">
        <f t="shared" si="111"/>
        <v>1-0.000902994199308498i</v>
      </c>
      <c r="AN103" s="50">
        <f t="shared" si="132"/>
        <v>1.0000004076991789</v>
      </c>
      <c r="AO103" s="50">
        <f t="shared" si="133"/>
        <v>-9.0299395387523904E-4</v>
      </c>
      <c r="AP103" s="59" t="str">
        <f t="shared" si="134"/>
        <v>75.5879844738411-16.4431713362394i</v>
      </c>
      <c r="AQ103" s="50">
        <f t="shared" si="135"/>
        <v>37.769858716698778</v>
      </c>
      <c r="AR103" s="62">
        <f t="shared" si="136"/>
        <v>-12.272735813805165</v>
      </c>
      <c r="AS103" s="32" t="str">
        <f t="shared" si="112"/>
        <v>-0.0000166666666666667</v>
      </c>
      <c r="AT103" s="32" t="str">
        <f t="shared" si="113"/>
        <v>1.51237254724553E-06i</v>
      </c>
      <c r="AU103" s="32">
        <f t="shared" si="137"/>
        <v>1.51237254724553E-6</v>
      </c>
      <c r="AV103" s="32">
        <f t="shared" si="138"/>
        <v>1.5707963267948966</v>
      </c>
      <c r="AW103" s="32" t="str">
        <f t="shared" si="114"/>
        <v>1+0.00153696822534952i</v>
      </c>
      <c r="AX103" s="32">
        <f t="shared" si="139"/>
        <v>1.0000011811349654</v>
      </c>
      <c r="AY103" s="32">
        <f t="shared" si="140"/>
        <v>1.5369670151059128E-3</v>
      </c>
      <c r="AZ103" s="32" t="str">
        <f t="shared" si="115"/>
        <v>1+0.0522569196618838i</v>
      </c>
      <c r="BA103" s="32">
        <f t="shared" si="141"/>
        <v>1.0013644619480704</v>
      </c>
      <c r="BB103" s="32">
        <f t="shared" si="142"/>
        <v>5.2209429965988867E-2</v>
      </c>
      <c r="BC103" s="59" t="str">
        <f t="shared" si="143"/>
        <v>-0.558943316302433+11.0210714570189i</v>
      </c>
      <c r="BD103" s="50">
        <f t="shared" si="144"/>
        <v>20.855632512856161</v>
      </c>
      <c r="BE103" s="62">
        <f t="shared" si="145"/>
        <v>92.903318264618619</v>
      </c>
      <c r="BF103" s="59" t="str">
        <f t="shared" si="146"/>
        <v>50.31799131762+296.661566757483i</v>
      </c>
      <c r="BG103" s="65">
        <f t="shared" si="147"/>
        <v>49.568404203250431</v>
      </c>
      <c r="BH103" s="62">
        <f t="shared" si="148"/>
        <v>80.373444199161895</v>
      </c>
      <c r="BI103" s="59" t="str">
        <f t="shared" si="101"/>
        <v>138.971967562274+842.251378895445i</v>
      </c>
      <c r="BJ103" s="65">
        <f t="shared" si="149"/>
        <v>58.625491229554939</v>
      </c>
      <c r="BK103" s="62">
        <f t="shared" si="102"/>
        <v>80.630582450813449</v>
      </c>
      <c r="BL103" s="50">
        <f t="shared" si="150"/>
        <v>49.568404203250431</v>
      </c>
      <c r="BM103" s="62">
        <f t="shared" si="151"/>
        <v>80.373444199161895</v>
      </c>
    </row>
    <row r="104" spans="14:65" x14ac:dyDescent="0.3">
      <c r="N104" s="11">
        <v>86</v>
      </c>
      <c r="O104" s="51">
        <f t="shared" si="116"/>
        <v>72.443596007499011</v>
      </c>
      <c r="P104" s="49" t="str">
        <f t="shared" si="103"/>
        <v>27.9103246607183</v>
      </c>
      <c r="Q104" s="18" t="str">
        <f t="shared" si="104"/>
        <v>1+0.223592599198474i</v>
      </c>
      <c r="R104" s="18">
        <f t="shared" si="117"/>
        <v>1.0246919783116921</v>
      </c>
      <c r="S104" s="18">
        <f t="shared" si="118"/>
        <v>0.21997445492456755</v>
      </c>
      <c r="T104" s="18" t="str">
        <f t="shared" si="105"/>
        <v>1+0.000200277676734771i</v>
      </c>
      <c r="U104" s="18">
        <f t="shared" si="119"/>
        <v>1.0000000200555736</v>
      </c>
      <c r="V104" s="18">
        <f t="shared" si="120"/>
        <v>2.0027767405698192E-4</v>
      </c>
      <c r="W104" s="32" t="str">
        <f t="shared" si="106"/>
        <v>1-0.00264114781328121i</v>
      </c>
      <c r="X104" s="18">
        <f t="shared" si="121"/>
        <v>1.0000034878248034</v>
      </c>
      <c r="Y104" s="18">
        <f t="shared" si="122"/>
        <v>-2.6411416720556356E-3</v>
      </c>
      <c r="Z104" s="32" t="str">
        <f t="shared" si="107"/>
        <v>0.999999891568707+0.0012077695639868i</v>
      </c>
      <c r="AA104" s="18">
        <f t="shared" si="123"/>
        <v>1.0000006209221799</v>
      </c>
      <c r="AB104" s="18">
        <f t="shared" si="124"/>
        <v>1.2077691076863848E-3</v>
      </c>
      <c r="AC104" s="67" t="str">
        <f t="shared" si="125"/>
        <v>26.55963679715-6.0403728278353i</v>
      </c>
      <c r="AD104" s="65">
        <f t="shared" si="126"/>
        <v>28.70345611494573</v>
      </c>
      <c r="AE104" s="62">
        <f t="shared" si="127"/>
        <v>-12.812659145815932</v>
      </c>
      <c r="AF104" s="50" t="str">
        <f t="shared" si="108"/>
        <v>79.1527877025864</v>
      </c>
      <c r="AG104" s="50" t="str">
        <f t="shared" si="109"/>
        <v>1+0.221846041921592i</v>
      </c>
      <c r="AH104" s="50">
        <f t="shared" si="128"/>
        <v>1.0243122894490122</v>
      </c>
      <c r="AI104" s="50">
        <f t="shared" si="129"/>
        <v>0.21831043963183178</v>
      </c>
      <c r="AJ104" s="50" t="str">
        <f t="shared" si="110"/>
        <v>1+0.000200277676734771i</v>
      </c>
      <c r="AK104" s="50">
        <f t="shared" si="130"/>
        <v>1.0000000200555736</v>
      </c>
      <c r="AL104" s="50">
        <f t="shared" si="131"/>
        <v>2.0027767405698192E-4</v>
      </c>
      <c r="AM104" s="50" t="str">
        <f t="shared" si="111"/>
        <v>1-0.000924027636222554i</v>
      </c>
      <c r="AN104" s="50">
        <f t="shared" si="132"/>
        <v>1.0000004269134453</v>
      </c>
      <c r="AO104" s="50">
        <f t="shared" si="133"/>
        <v>-9.2402737323608495E-4</v>
      </c>
      <c r="AP104" s="59" t="str">
        <f t="shared" si="134"/>
        <v>75.4278610543656-16.7906592524159i</v>
      </c>
      <c r="AQ104" s="50">
        <f t="shared" si="135"/>
        <v>37.760680516128829</v>
      </c>
      <c r="AR104" s="62">
        <f t="shared" si="136"/>
        <v>-12.549734617736327</v>
      </c>
      <c r="AS104" s="32" t="str">
        <f t="shared" si="112"/>
        <v>-0.0000166666666666667</v>
      </c>
      <c r="AT104" s="32" t="str">
        <f t="shared" si="113"/>
        <v>1.54760022931414E-06i</v>
      </c>
      <c r="AU104" s="32">
        <f t="shared" si="137"/>
        <v>1.5476002293141401E-6</v>
      </c>
      <c r="AV104" s="32">
        <f t="shared" si="138"/>
        <v>1.5707963267948966</v>
      </c>
      <c r="AW104" s="32" t="str">
        <f t="shared" si="114"/>
        <v>1+0.00157276881435835i</v>
      </c>
      <c r="AX104" s="32">
        <f t="shared" si="139"/>
        <v>1.0000012368001068</v>
      </c>
      <c r="AY104" s="32">
        <f t="shared" si="140"/>
        <v>1.5727675175590476E-3</v>
      </c>
      <c r="AZ104" s="32" t="str">
        <f t="shared" si="115"/>
        <v>1+0.0534741396881839i</v>
      </c>
      <c r="BA104" s="32">
        <f t="shared" si="141"/>
        <v>1.0014287211855826</v>
      </c>
      <c r="BB104" s="32">
        <f t="shared" si="142"/>
        <v>5.3423257482368466E-2</v>
      </c>
      <c r="BC104" s="59" t="str">
        <f t="shared" si="143"/>
        <v>-0.558943254075195+10.77024080802i</v>
      </c>
      <c r="BD104" s="50">
        <f t="shared" si="144"/>
        <v>20.656189399582363</v>
      </c>
      <c r="BE104" s="62">
        <f t="shared" si="145"/>
        <v>92.970814240669014</v>
      </c>
      <c r="BF104" s="59" t="str">
        <f t="shared" si="146"/>
        <v>50.2109401075526+289.429909723072i</v>
      </c>
      <c r="BG104" s="65">
        <f t="shared" si="147"/>
        <v>49.35964551452809</v>
      </c>
      <c r="BH104" s="62">
        <f t="shared" si="148"/>
        <v>80.158155094853086</v>
      </c>
      <c r="BI104" s="59" t="str">
        <f t="shared" si="101"/>
        <v>138.67954936827+821.761252910004i</v>
      </c>
      <c r="BJ104" s="65">
        <f t="shared" si="149"/>
        <v>58.416869915711196</v>
      </c>
      <c r="BK104" s="62">
        <f t="shared" si="102"/>
        <v>80.421079622932666</v>
      </c>
      <c r="BL104" s="50">
        <f t="shared" si="150"/>
        <v>49.35964551452809</v>
      </c>
      <c r="BM104" s="62">
        <f t="shared" si="151"/>
        <v>80.158155094853086</v>
      </c>
    </row>
    <row r="105" spans="14:65" x14ac:dyDescent="0.3">
      <c r="N105" s="11">
        <v>87</v>
      </c>
      <c r="O105" s="51">
        <f t="shared" si="116"/>
        <v>74.131024130091816</v>
      </c>
      <c r="P105" s="49" t="str">
        <f t="shared" si="103"/>
        <v>27.9103246607183</v>
      </c>
      <c r="Q105" s="18" t="str">
        <f t="shared" si="104"/>
        <v>1+0.228800739885638i</v>
      </c>
      <c r="R105" s="18">
        <f t="shared" si="117"/>
        <v>1.025841010377444</v>
      </c>
      <c r="S105" s="18">
        <f t="shared" si="118"/>
        <v>0.22492908335937398</v>
      </c>
      <c r="T105" s="18" t="str">
        <f t="shared" si="105"/>
        <v>1+0.000204942743112962i</v>
      </c>
      <c r="U105" s="18">
        <f t="shared" si="119"/>
        <v>1.0000000210007638</v>
      </c>
      <c r="V105" s="18">
        <f t="shared" si="120"/>
        <v>2.0494274024365929E-4</v>
      </c>
      <c r="W105" s="32" t="str">
        <f t="shared" si="106"/>
        <v>1-0.00270266804890831i</v>
      </c>
      <c r="X105" s="18">
        <f t="shared" si="121"/>
        <v>1.0000036522006219</v>
      </c>
      <c r="Y105" s="18">
        <f t="shared" si="122"/>
        <v>-2.7026614684678473E-3</v>
      </c>
      <c r="Z105" s="32" t="str">
        <f t="shared" si="107"/>
        <v>0.999999886458497+0.00123590213111768i</v>
      </c>
      <c r="AA105" s="18">
        <f t="shared" si="123"/>
        <v>1.0000006501853309</v>
      </c>
      <c r="AB105" s="18">
        <f t="shared" si="124"/>
        <v>1.2359016421829938E-3</v>
      </c>
      <c r="AC105" s="67" t="str">
        <f t="shared" si="125"/>
        <v>26.4991474447601-6.16723117130981i</v>
      </c>
      <c r="AD105" s="65">
        <f t="shared" si="126"/>
        <v>28.69372288443893</v>
      </c>
      <c r="AE105" s="62">
        <f t="shared" si="127"/>
        <v>-13.101407855766833</v>
      </c>
      <c r="AF105" s="50" t="str">
        <f t="shared" si="108"/>
        <v>79.1527877025864</v>
      </c>
      <c r="AG105" s="50" t="str">
        <f t="shared" si="109"/>
        <v>1+0.227013500063588i</v>
      </c>
      <c r="AH105" s="50">
        <f t="shared" si="128"/>
        <v>1.0254438693615173</v>
      </c>
      <c r="AI105" s="50">
        <f t="shared" si="129"/>
        <v>0.22323009230786353</v>
      </c>
      <c r="AJ105" s="50" t="str">
        <f t="shared" si="110"/>
        <v>1+0.000204942743112962i</v>
      </c>
      <c r="AK105" s="50">
        <f t="shared" si="130"/>
        <v>1.0000000210007638</v>
      </c>
      <c r="AL105" s="50">
        <f t="shared" si="131"/>
        <v>2.0494274024365929E-4</v>
      </c>
      <c r="AM105" s="50" t="str">
        <f t="shared" si="111"/>
        <v>1-0.000945551004820291i</v>
      </c>
      <c r="AN105" s="50">
        <f t="shared" si="132"/>
        <v>1.0000004470332515</v>
      </c>
      <c r="AO105" s="50">
        <f t="shared" si="133"/>
        <v>-9.4555072302521909E-4</v>
      </c>
      <c r="AP105" s="59" t="str">
        <f t="shared" si="134"/>
        <v>75.260914292769-17.1438647800969i</v>
      </c>
      <c r="AQ105" s="50">
        <f t="shared" si="135"/>
        <v>37.75109050546061</v>
      </c>
      <c r="AR105" s="62">
        <f t="shared" si="136"/>
        <v>-12.83257586124344</v>
      </c>
      <c r="AS105" s="32" t="str">
        <f t="shared" si="112"/>
        <v>-0.0000166666666666667</v>
      </c>
      <c r="AT105" s="32" t="str">
        <f t="shared" si="113"/>
        <v>1.58364846950925E-06i</v>
      </c>
      <c r="AU105" s="32">
        <f t="shared" si="137"/>
        <v>1.5836484695092501E-6</v>
      </c>
      <c r="AV105" s="32">
        <f t="shared" si="138"/>
        <v>1.5707963267948966</v>
      </c>
      <c r="AW105" s="32" t="str">
        <f t="shared" si="114"/>
        <v>1+0.00160940330621061i</v>
      </c>
      <c r="AX105" s="32">
        <f t="shared" si="139"/>
        <v>1.0000012950886623</v>
      </c>
      <c r="AY105" s="32">
        <f t="shared" si="140"/>
        <v>1.6094019166652195E-3</v>
      </c>
      <c r="AZ105" s="32" t="str">
        <f t="shared" si="115"/>
        <v>1+0.0547197124111608i</v>
      </c>
      <c r="BA105" s="32">
        <f t="shared" si="141"/>
        <v>1.001496004448525</v>
      </c>
      <c r="BB105" s="32">
        <f t="shared" si="142"/>
        <v>5.4665195542975734E-2</v>
      </c>
      <c r="BC105" s="59" t="str">
        <f t="shared" si="143"/>
        <v>-0.558943188915291+10.5251206832493i</v>
      </c>
      <c r="BD105" s="50">
        <f t="shared" si="144"/>
        <v>20.456772454912887</v>
      </c>
      <c r="BE105" s="62">
        <f t="shared" si="145"/>
        <v>93.039873053504678</v>
      </c>
      <c r="BF105" s="59" t="str">
        <f t="shared" si="146"/>
        <v>50.099334383222+282.353856716987i</v>
      </c>
      <c r="BG105" s="65">
        <f t="shared" si="147"/>
        <v>49.150495339351814</v>
      </c>
      <c r="BH105" s="62">
        <f t="shared" si="148"/>
        <v>79.938465197737841</v>
      </c>
      <c r="BI105" s="59" t="str">
        <f t="shared" si="101"/>
        <v>138.374670352346+801.712652113596i</v>
      </c>
      <c r="BJ105" s="65">
        <f t="shared" si="149"/>
        <v>58.207862960373504</v>
      </c>
      <c r="BK105" s="62">
        <f t="shared" si="102"/>
        <v>80.207297192261279</v>
      </c>
      <c r="BL105" s="50">
        <f t="shared" si="150"/>
        <v>49.150495339351814</v>
      </c>
      <c r="BM105" s="62">
        <f t="shared" si="151"/>
        <v>79.938465197737841</v>
      </c>
    </row>
    <row r="106" spans="14:65" x14ac:dyDescent="0.3">
      <c r="N106" s="11">
        <v>88</v>
      </c>
      <c r="O106" s="51">
        <f t="shared" si="116"/>
        <v>75.857757502918361</v>
      </c>
      <c r="P106" s="49" t="str">
        <f t="shared" si="103"/>
        <v>27.9103246607183</v>
      </c>
      <c r="Q106" s="18" t="str">
        <f t="shared" si="104"/>
        <v>1+0.234130193753625i</v>
      </c>
      <c r="R106" s="18">
        <f t="shared" si="117"/>
        <v>1.0270428168421752</v>
      </c>
      <c r="S106" s="18">
        <f t="shared" si="118"/>
        <v>0.22998751578709625</v>
      </c>
      <c r="T106" s="18" t="str">
        <f t="shared" si="105"/>
        <v>1+0.000209716472846289i</v>
      </c>
      <c r="U106" s="18">
        <f t="shared" si="119"/>
        <v>1.0000000219904992</v>
      </c>
      <c r="V106" s="18">
        <f t="shared" si="120"/>
        <v>2.0971646977177574E-4</v>
      </c>
      <c r="W106" s="32" t="str">
        <f t="shared" si="106"/>
        <v>1-0.00276562127490897i</v>
      </c>
      <c r="X106" s="18">
        <f t="shared" si="121"/>
        <v>1.0000038243232054</v>
      </c>
      <c r="Y106" s="18">
        <f t="shared" si="122"/>
        <v>-2.7656142238414332E-3</v>
      </c>
      <c r="Z106" s="32" t="str">
        <f t="shared" si="107"/>
        <v>0.999999881107451+0.00126468998991757i</v>
      </c>
      <c r="AA106" s="18">
        <f t="shared" si="123"/>
        <v>1.0000006808276114</v>
      </c>
      <c r="AB106" s="18">
        <f t="shared" si="124"/>
        <v>1.2646894660146338E-3</v>
      </c>
      <c r="AC106" s="67" t="str">
        <f t="shared" si="125"/>
        <v>26.4360969486816-6.29612240851831i</v>
      </c>
      <c r="AD106" s="65">
        <f t="shared" si="126"/>
        <v>28.683554272676012</v>
      </c>
      <c r="AE106" s="62">
        <f t="shared" si="127"/>
        <v>-13.396217518271452</v>
      </c>
      <c r="AF106" s="50" t="str">
        <f t="shared" si="108"/>
        <v>79.1527877025864</v>
      </c>
      <c r="AG106" s="50" t="str">
        <f t="shared" si="109"/>
        <v>1+0.232301323768196i</v>
      </c>
      <c r="AH106" s="50">
        <f t="shared" si="128"/>
        <v>1.0266274421738668</v>
      </c>
      <c r="AI106" s="50">
        <f t="shared" si="129"/>
        <v>0.22825298652122392</v>
      </c>
      <c r="AJ106" s="50" t="str">
        <f t="shared" si="110"/>
        <v>1+0.000209716472846289i</v>
      </c>
      <c r="AK106" s="50">
        <f t="shared" si="130"/>
        <v>1.0000000219904992</v>
      </c>
      <c r="AL106" s="50">
        <f t="shared" si="131"/>
        <v>2.0971646977177574E-4</v>
      </c>
      <c r="AM106" s="50" t="str">
        <f t="shared" si="111"/>
        <v>1-0.000967575717076629i</v>
      </c>
      <c r="AN106" s="50">
        <f t="shared" si="132"/>
        <v>1.0000004681012746</v>
      </c>
      <c r="AO106" s="50">
        <f t="shared" si="133"/>
        <v>-9.6757541512777702E-4</v>
      </c>
      <c r="AP106" s="59" t="str">
        <f t="shared" si="134"/>
        <v>75.0868871347912-17.5027699509121i</v>
      </c>
      <c r="AQ106" s="50">
        <f t="shared" si="135"/>
        <v>37.741071177838336</v>
      </c>
      <c r="AR106" s="62">
        <f t="shared" si="136"/>
        <v>-13.121354907957711</v>
      </c>
      <c r="AS106" s="32" t="str">
        <f t="shared" si="112"/>
        <v>-0.0000166666666666667</v>
      </c>
      <c r="AT106" s="32" t="str">
        <f t="shared" si="113"/>
        <v>1.62053638108496E-06i</v>
      </c>
      <c r="AU106" s="32">
        <f t="shared" si="137"/>
        <v>1.6205363810849601E-6</v>
      </c>
      <c r="AV106" s="32">
        <f t="shared" si="138"/>
        <v>1.5707963267948966</v>
      </c>
      <c r="AW106" s="32" t="str">
        <f t="shared" si="114"/>
        <v>1+0.0016468911249988i</v>
      </c>
      <c r="AX106" s="32">
        <f t="shared" si="139"/>
        <v>1.0000013561242693</v>
      </c>
      <c r="AY106" s="32">
        <f t="shared" si="140"/>
        <v>1.6468896360741978E-3</v>
      </c>
      <c r="AZ106" s="32" t="str">
        <f t="shared" si="115"/>
        <v>1+0.0559942982499591i</v>
      </c>
      <c r="BA106" s="32">
        <f t="shared" si="141"/>
        <v>1.0015664538294526</v>
      </c>
      <c r="BB106" s="32">
        <f t="shared" si="142"/>
        <v>5.5935887306500509E-2</v>
      </c>
      <c r="BC106" s="59" t="str">
        <f t="shared" si="143"/>
        <v>-0.558943120684511+10.2855811167713i</v>
      </c>
      <c r="BD106" s="50">
        <f t="shared" si="144"/>
        <v>20.257382904762661</v>
      </c>
      <c r="BE106" s="62">
        <f t="shared" si="145"/>
        <v>93.110530440510985</v>
      </c>
      <c r="BF106" s="59" t="str">
        <f t="shared" si="146"/>
        <v>49.9830032267222+275.429793883724i</v>
      </c>
      <c r="BG106" s="65">
        <f t="shared" si="147"/>
        <v>48.940937177438677</v>
      </c>
      <c r="BH106" s="62">
        <f t="shared" si="148"/>
        <v>79.714312922239557</v>
      </c>
      <c r="BI106" s="59" t="str">
        <f t="shared" si="101"/>
        <v>138.056861080688+782.095321287732i</v>
      </c>
      <c r="BJ106" s="65">
        <f t="shared" si="149"/>
        <v>57.998454082600986</v>
      </c>
      <c r="BK106" s="62">
        <f t="shared" si="102"/>
        <v>79.989175532553261</v>
      </c>
      <c r="BL106" s="50">
        <f t="shared" si="150"/>
        <v>48.940937177438677</v>
      </c>
      <c r="BM106" s="62">
        <f t="shared" si="151"/>
        <v>79.714312922239557</v>
      </c>
    </row>
    <row r="107" spans="14:65" x14ac:dyDescent="0.3">
      <c r="N107" s="11">
        <v>89</v>
      </c>
      <c r="O107" s="51">
        <f t="shared" si="116"/>
        <v>77.624711662869217</v>
      </c>
      <c r="P107" s="49" t="str">
        <f t="shared" si="103"/>
        <v>27.9103246607183</v>
      </c>
      <c r="Q107" s="18" t="str">
        <f t="shared" si="104"/>
        <v>1+0.23958378654942i</v>
      </c>
      <c r="R107" s="18">
        <f t="shared" si="117"/>
        <v>1.0282997572582413</v>
      </c>
      <c r="S107" s="18">
        <f t="shared" si="118"/>
        <v>0.23515139832249188</v>
      </c>
      <c r="T107" s="18" t="str">
        <f t="shared" si="105"/>
        <v>1+0.000214601397029445i</v>
      </c>
      <c r="U107" s="18">
        <f t="shared" si="119"/>
        <v>1.0000000230268795</v>
      </c>
      <c r="V107" s="18">
        <f t="shared" si="120"/>
        <v>2.146013937350447E-4</v>
      </c>
      <c r="W107" s="32" t="str">
        <f t="shared" si="106"/>
        <v>1-0.00283004086991691i</v>
      </c>
      <c r="X107" s="18">
        <f t="shared" si="121"/>
        <v>1.0000040045576446</v>
      </c>
      <c r="Y107" s="18">
        <f t="shared" si="122"/>
        <v>-2.8300333145635558E-3</v>
      </c>
      <c r="Z107" s="32" t="str">
        <f t="shared" si="107"/>
        <v>0.999999875504218+0.00129414840409027i</v>
      </c>
      <c r="AA107" s="18">
        <f t="shared" si="123"/>
        <v>1.0000007129140174</v>
      </c>
      <c r="AB107" s="18">
        <f t="shared" si="124"/>
        <v>1.2941478427181809E-3</v>
      </c>
      <c r="AC107" s="67" t="str">
        <f t="shared" si="125"/>
        <v>26.3703903245646-6.4270356909472i</v>
      </c>
      <c r="AD107" s="65">
        <f t="shared" si="126"/>
        <v>28.672931892169245</v>
      </c>
      <c r="AE107" s="62">
        <f t="shared" si="127"/>
        <v>-13.697185090599469</v>
      </c>
      <c r="AF107" s="50" t="str">
        <f t="shared" si="108"/>
        <v>79.1527877025864</v>
      </c>
      <c r="AG107" s="50" t="str">
        <f t="shared" si="109"/>
        <v>1+0.237712316709538i</v>
      </c>
      <c r="AH107" s="50">
        <f t="shared" si="128"/>
        <v>1.0278653343290725</v>
      </c>
      <c r="AI107" s="50">
        <f t="shared" si="129"/>
        <v>0.23338077122295067</v>
      </c>
      <c r="AJ107" s="50" t="str">
        <f t="shared" si="110"/>
        <v>1+0.000214601397029445i</v>
      </c>
      <c r="AK107" s="50">
        <f t="shared" si="130"/>
        <v>1.0000000230268795</v>
      </c>
      <c r="AL107" s="50">
        <f t="shared" si="131"/>
        <v>2.146013937350447E-4</v>
      </c>
      <c r="AM107" s="50" t="str">
        <f t="shared" si="111"/>
        <v>1-0.000990113450785541i</v>
      </c>
      <c r="AN107" s="50">
        <f t="shared" si="132"/>
        <v>1.0000004901622026</v>
      </c>
      <c r="AO107" s="50">
        <f t="shared" si="133"/>
        <v>-9.9011312724152541E-4</v>
      </c>
      <c r="AP107" s="59" t="str">
        <f t="shared" si="134"/>
        <v>74.9055159144517-17.8673476632992i</v>
      </c>
      <c r="AQ107" s="50">
        <f t="shared" si="135"/>
        <v>37.730604370671806</v>
      </c>
      <c r="AR107" s="62">
        <f t="shared" si="136"/>
        <v>-13.416166759876059</v>
      </c>
      <c r="AS107" s="32" t="str">
        <f t="shared" si="112"/>
        <v>-0.0000166666666666667</v>
      </c>
      <c r="AT107" s="32" t="str">
        <f t="shared" si="113"/>
        <v>1.65828352250025E-06i</v>
      </c>
      <c r="AU107" s="32">
        <f t="shared" si="137"/>
        <v>1.65828352250025E-6</v>
      </c>
      <c r="AV107" s="32">
        <f t="shared" si="138"/>
        <v>1.5707963267948966</v>
      </c>
      <c r="AW107" s="32" t="str">
        <f t="shared" si="114"/>
        <v>1+0.00168525214726064i</v>
      </c>
      <c r="AX107" s="32">
        <f t="shared" si="139"/>
        <v>1.0000014200363916</v>
      </c>
      <c r="AY107" s="32">
        <f t="shared" si="140"/>
        <v>1.685250551849307E-3</v>
      </c>
      <c r="AZ107" s="32" t="str">
        <f t="shared" si="115"/>
        <v>1+0.0572985730068617i</v>
      </c>
      <c r="BA107" s="32">
        <f t="shared" si="141"/>
        <v>1.0016402180766419</v>
      </c>
      <c r="BB107" s="32">
        <f t="shared" si="142"/>
        <v>5.7235990087381776E-2</v>
      </c>
      <c r="BC107" s="59" t="str">
        <f t="shared" si="143"/>
        <v>-0.558943049238135+10.0514951015367i</v>
      </c>
      <c r="BD107" s="50">
        <f t="shared" si="144"/>
        <v>20.058022032114508</v>
      </c>
      <c r="BE107" s="62">
        <f t="shared" si="145"/>
        <v>93.182822924216538</v>
      </c>
      <c r="BF107" s="59" t="str">
        <f t="shared" si="146"/>
        <v>49.8617713873454+268.654196099632i</v>
      </c>
      <c r="BG107" s="65">
        <f t="shared" si="147"/>
        <v>48.730953924283746</v>
      </c>
      <c r="BH107" s="62">
        <f t="shared" si="148"/>
        <v>79.485637833617062</v>
      </c>
      <c r="BI107" s="59" t="str">
        <f t="shared" si="101"/>
        <v>137.725640045126+762.899256076913i</v>
      </c>
      <c r="BJ107" s="65">
        <f t="shared" si="149"/>
        <v>57.788626402786313</v>
      </c>
      <c r="BK107" s="62">
        <f t="shared" si="102"/>
        <v>79.766656164340475</v>
      </c>
      <c r="BL107" s="50">
        <f t="shared" si="150"/>
        <v>48.730953924283746</v>
      </c>
      <c r="BM107" s="62">
        <f t="shared" si="151"/>
        <v>79.485637833617062</v>
      </c>
    </row>
    <row r="108" spans="14:65" x14ac:dyDescent="0.3">
      <c r="N108" s="11">
        <v>90</v>
      </c>
      <c r="O108" s="51">
        <f t="shared" si="116"/>
        <v>79.432823472428197</v>
      </c>
      <c r="P108" s="49" t="str">
        <f t="shared" si="103"/>
        <v>27.9103246607183</v>
      </c>
      <c r="Q108" s="18" t="str">
        <f t="shared" si="104"/>
        <v>1+0.245164409840109i</v>
      </c>
      <c r="R108" s="18">
        <f t="shared" si="117"/>
        <v>1.0296142908158612</v>
      </c>
      <c r="S108" s="18">
        <f t="shared" si="118"/>
        <v>0.24042236685092544</v>
      </c>
      <c r="T108" s="18" t="str">
        <f t="shared" si="105"/>
        <v>1+0.000219600105713891i</v>
      </c>
      <c r="U108" s="18">
        <f t="shared" si="119"/>
        <v>1.000000024112103</v>
      </c>
      <c r="V108" s="18">
        <f t="shared" si="120"/>
        <v>2.1960010218387749E-4</v>
      </c>
      <c r="W108" s="32" t="str">
        <f t="shared" si="106"/>
        <v>1-0.00289596099005411i</v>
      </c>
      <c r="X108" s="18">
        <f t="shared" si="121"/>
        <v>1.0000041932862362</v>
      </c>
      <c r="Y108" s="18">
        <f t="shared" si="122"/>
        <v>-2.8959528943489667E-3</v>
      </c>
      <c r="Z108" s="32" t="str">
        <f t="shared" si="107"/>
        <v>0.999999869636912+0.00132429299287689i</v>
      </c>
      <c r="AA108" s="18">
        <f t="shared" si="123"/>
        <v>1.0000007465126075</v>
      </c>
      <c r="AB108" s="18">
        <f t="shared" si="124"/>
        <v>1.3242923913558838E-3</v>
      </c>
      <c r="AC108" s="67" t="str">
        <f t="shared" si="125"/>
        <v>26.3019302876662-6.55995661225717i</v>
      </c>
      <c r="AD108" s="65">
        <f t="shared" si="126"/>
        <v>28.661836677752262</v>
      </c>
      <c r="AE108" s="62">
        <f t="shared" si="127"/>
        <v>-14.004407005449071</v>
      </c>
      <c r="AF108" s="50" t="str">
        <f t="shared" si="108"/>
        <v>79.1527877025864</v>
      </c>
      <c r="AG108" s="50" t="str">
        <f t="shared" si="109"/>
        <v>1+0.243249347867694i</v>
      </c>
      <c r="AH108" s="50">
        <f t="shared" si="128"/>
        <v>1.0291599706741701</v>
      </c>
      <c r="AI108" s="50">
        <f t="shared" si="129"/>
        <v>0.23861508610761925</v>
      </c>
      <c r="AJ108" s="50" t="str">
        <f t="shared" si="110"/>
        <v>1+0.000219600105713891i</v>
      </c>
      <c r="AK108" s="50">
        <f t="shared" si="130"/>
        <v>1.000000024112103</v>
      </c>
      <c r="AL108" s="50">
        <f t="shared" si="131"/>
        <v>2.1960010218387749E-4</v>
      </c>
      <c r="AM108" s="50" t="str">
        <f t="shared" si="111"/>
        <v>1-0.00101317615575176i</v>
      </c>
      <c r="AN108" s="50">
        <f t="shared" si="132"/>
        <v>1.0000005132628296</v>
      </c>
      <c r="AO108" s="50">
        <f t="shared" si="133"/>
        <v>-1.0131758090681107E-3</v>
      </c>
      <c r="AP108" s="59" t="str">
        <f t="shared" si="134"/>
        <v>74.7165304766033-18.2375610699849i</v>
      </c>
      <c r="AQ108" s="50">
        <f t="shared" si="135"/>
        <v>37.719671249132638</v>
      </c>
      <c r="AR108" s="62">
        <f t="shared" si="136"/>
        <v>-13.717105900845853</v>
      </c>
      <c r="AS108" s="32" t="str">
        <f t="shared" si="112"/>
        <v>-0.0000166666666666667</v>
      </c>
      <c r="AT108" s="32" t="str">
        <f t="shared" si="113"/>
        <v>1.69690990778915E-06i</v>
      </c>
      <c r="AU108" s="32">
        <f t="shared" si="137"/>
        <v>1.6969099077891499E-6</v>
      </c>
      <c r="AV108" s="32">
        <f t="shared" si="138"/>
        <v>1.5707963267948966</v>
      </c>
      <c r="AW108" s="32" t="str">
        <f t="shared" si="114"/>
        <v>1+0.0017245067125179i</v>
      </c>
      <c r="AX108" s="32">
        <f t="shared" si="139"/>
        <v>1.0000014869605953</v>
      </c>
      <c r="AY108" s="32">
        <f t="shared" si="140"/>
        <v>1.7245050030039941E-3</v>
      </c>
      <c r="AZ108" s="32" t="str">
        <f t="shared" si="115"/>
        <v>1+0.0586332282256087i</v>
      </c>
      <c r="BA108" s="32">
        <f t="shared" si="141"/>
        <v>1.0017174529038397</v>
      </c>
      <c r="BB108" s="32">
        <f t="shared" si="142"/>
        <v>5.8566175627202469E-2</v>
      </c>
      <c r="BC108" s="59" t="str">
        <f t="shared" si="143"/>
        <v>-0.558942974424611+9.82273852204082i</v>
      </c>
      <c r="BD108" s="50">
        <f t="shared" si="144"/>
        <v>19.858691179640189</v>
      </c>
      <c r="BE108" s="62">
        <f t="shared" si="145"/>
        <v>93.256787827239322</v>
      </c>
      <c r="BF108" s="59" t="str">
        <f t="shared" si="146"/>
        <v>49.735459370038+262.023625501642i</v>
      </c>
      <c r="BG108" s="65">
        <f t="shared" si="147"/>
        <v>48.520527857392437</v>
      </c>
      <c r="BH108" s="62">
        <f t="shared" si="148"/>
        <v>79.25238082179024</v>
      </c>
      <c r="BI108" s="59" t="str">
        <f t="shared" si="101"/>
        <v>137.380513886933+744.114698776476i</v>
      </c>
      <c r="BJ108" s="65">
        <f t="shared" si="149"/>
        <v>57.578362428772827</v>
      </c>
      <c r="BK108" s="62">
        <f t="shared" si="102"/>
        <v>79.53968192639347</v>
      </c>
      <c r="BL108" s="50">
        <f t="shared" si="150"/>
        <v>48.520527857392437</v>
      </c>
      <c r="BM108" s="62">
        <f t="shared" si="151"/>
        <v>79.25238082179024</v>
      </c>
    </row>
    <row r="109" spans="14:65" x14ac:dyDescent="0.3">
      <c r="N109" s="11">
        <v>91</v>
      </c>
      <c r="O109" s="51">
        <f t="shared" si="116"/>
        <v>81.283051616409963</v>
      </c>
      <c r="P109" s="49" t="str">
        <f t="shared" si="103"/>
        <v>27.9103246607183</v>
      </c>
      <c r="Q109" s="18" t="str">
        <f t="shared" si="104"/>
        <v>1+0.25087502254603i</v>
      </c>
      <c r="R109" s="18">
        <f t="shared" si="117"/>
        <v>1.0309889800271732</v>
      </c>
      <c r="S109" s="18">
        <f t="shared" si="118"/>
        <v>0.24580204404834191</v>
      </c>
      <c r="T109" s="18" t="str">
        <f t="shared" si="105"/>
        <v>1+0.000224715249281137i</v>
      </c>
      <c r="U109" s="18">
        <f t="shared" si="119"/>
        <v>1.0000000252484713</v>
      </c>
      <c r="V109" s="18">
        <f t="shared" si="120"/>
        <v>2.2471524549865938E-4</v>
      </c>
      <c r="W109" s="32" t="str">
        <f t="shared" si="106"/>
        <v>1-0.0029634165870408i</v>
      </c>
      <c r="X109" s="18">
        <f t="shared" si="121"/>
        <v>1.0000043909092942</v>
      </c>
      <c r="Y109" s="18">
        <f t="shared" si="122"/>
        <v>-2.9634079123385068E-3</v>
      </c>
      <c r="Z109" s="32" t="str">
        <f t="shared" si="107"/>
        <v>0.999999863493089+0.00135513973933743i</v>
      </c>
      <c r="AA109" s="18">
        <f t="shared" si="123"/>
        <v>1.0000007816946495</v>
      </c>
      <c r="AB109" s="18">
        <f t="shared" si="124"/>
        <v>1.3551390947960863E-3</v>
      </c>
      <c r="AC109" s="67" t="str">
        <f t="shared" si="125"/>
        <v>26.2306173137332-6.69486697966946i</v>
      </c>
      <c r="AD109" s="65">
        <f t="shared" si="126"/>
        <v>28.650248870573979</v>
      </c>
      <c r="AE109" s="62">
        <f t="shared" si="127"/>
        <v>-14.317979001637086</v>
      </c>
      <c r="AF109" s="50" t="str">
        <f t="shared" si="108"/>
        <v>79.1527877025864</v>
      </c>
      <c r="AG109" s="50" t="str">
        <f t="shared" si="109"/>
        <v>1+0.248915353049874i</v>
      </c>
      <c r="AH109" s="50">
        <f t="shared" si="128"/>
        <v>1.0305138781132175</v>
      </c>
      <c r="AI109" s="50">
        <f t="shared" si="129"/>
        <v>0.24395755869617519</v>
      </c>
      <c r="AJ109" s="50" t="str">
        <f t="shared" si="110"/>
        <v>1+0.000224715249281137i</v>
      </c>
      <c r="AK109" s="50">
        <f t="shared" si="130"/>
        <v>1.0000000252484713</v>
      </c>
      <c r="AL109" s="50">
        <f t="shared" si="131"/>
        <v>2.2471524549865938E-4</v>
      </c>
      <c r="AM109" s="50" t="str">
        <f t="shared" si="111"/>
        <v>1-0.00103677606012673i</v>
      </c>
      <c r="AN109" s="50">
        <f t="shared" si="132"/>
        <v>1.000000537452155</v>
      </c>
      <c r="AO109" s="50">
        <f t="shared" si="133"/>
        <v>-1.036775688648518E-3</v>
      </c>
      <c r="AP109" s="59" t="str">
        <f t="shared" si="134"/>
        <v>74.519654334695-18.6133629448376i</v>
      </c>
      <c r="AQ109" s="50">
        <f t="shared" si="135"/>
        <v>37.708252290002811</v>
      </c>
      <c r="AR109" s="62">
        <f t="shared" si="136"/>
        <v>-14.024266129707881</v>
      </c>
      <c r="AS109" s="32" t="str">
        <f t="shared" si="112"/>
        <v>-0.0000166666666666667</v>
      </c>
      <c r="AT109" s="32" t="str">
        <f t="shared" si="113"/>
        <v>1.73643601717242E-06i</v>
      </c>
      <c r="AU109" s="32">
        <f t="shared" si="137"/>
        <v>1.73643601717242E-6</v>
      </c>
      <c r="AV109" s="32">
        <f t="shared" si="138"/>
        <v>1.5707963267948966</v>
      </c>
      <c r="AW109" s="32" t="str">
        <f t="shared" si="114"/>
        <v>1+0.00176467563406069i</v>
      </c>
      <c r="AX109" s="32">
        <f t="shared" si="139"/>
        <v>1.0000015570388345</v>
      </c>
      <c r="AY109" s="32">
        <f t="shared" si="140"/>
        <v>1.7646738022836915E-3</v>
      </c>
      <c r="AZ109" s="32" t="str">
        <f t="shared" si="115"/>
        <v>1+0.0599989715580635i</v>
      </c>
      <c r="BA109" s="32">
        <f t="shared" si="141"/>
        <v>1.0017983213142381</v>
      </c>
      <c r="BB109" s="32">
        <f t="shared" si="142"/>
        <v>5.9927130368318558E-2</v>
      </c>
      <c r="BC109" s="59" t="str">
        <f t="shared" si="143"/>
        <v>-0.558942896085256+9.59919008851645i</v>
      </c>
      <c r="BD109" s="50">
        <f t="shared" si="144"/>
        <v>19.659391752439653</v>
      </c>
      <c r="BE109" s="62">
        <f t="shared" si="145"/>
        <v>93.332463287346755</v>
      </c>
      <c r="BF109" s="59" t="str">
        <f t="shared" si="146"/>
        <v>49.603883547737+255.534730072178i</v>
      </c>
      <c r="BG109" s="65">
        <f t="shared" si="147"/>
        <v>48.309640623013635</v>
      </c>
      <c r="BH109" s="62">
        <f t="shared" si="148"/>
        <v>79.014484285709699</v>
      </c>
      <c r="BI109" s="59" t="str">
        <f t="shared" si="101"/>
        <v>137.020977684938+725.73213427955i</v>
      </c>
      <c r="BJ109" s="65">
        <f t="shared" si="149"/>
        <v>57.367644042442464</v>
      </c>
      <c r="BK109" s="62">
        <f t="shared" si="102"/>
        <v>79.308197157638872</v>
      </c>
      <c r="BL109" s="50">
        <f t="shared" si="150"/>
        <v>48.309640623013635</v>
      </c>
      <c r="BM109" s="62">
        <f t="shared" si="151"/>
        <v>79.014484285709699</v>
      </c>
    </row>
    <row r="110" spans="14:65" x14ac:dyDescent="0.3">
      <c r="N110" s="11">
        <v>92</v>
      </c>
      <c r="O110" s="51">
        <f t="shared" si="116"/>
        <v>83.176377110267126</v>
      </c>
      <c r="P110" s="49" t="str">
        <f t="shared" si="103"/>
        <v>27.9103246607183</v>
      </c>
      <c r="Q110" s="18" t="str">
        <f t="shared" si="104"/>
        <v>1+0.256718652509629i</v>
      </c>
      <c r="R110" s="18">
        <f t="shared" si="117"/>
        <v>1.032426494500388</v>
      </c>
      <c r="S110" s="18">
        <f t="shared" si="118"/>
        <v>0.25129203621285962</v>
      </c>
      <c r="T110" s="18" t="str">
        <f t="shared" si="105"/>
        <v>1+0.00022994953984801i</v>
      </c>
      <c r="U110" s="18">
        <f t="shared" si="119"/>
        <v>1.000000026438395</v>
      </c>
      <c r="V110" s="18">
        <f t="shared" si="120"/>
        <v>2.2994953579501222E-4</v>
      </c>
      <c r="W110" s="32" t="str">
        <f t="shared" si="106"/>
        <v>1-0.0030324434267274i</v>
      </c>
      <c r="X110" s="18">
        <f t="shared" si="121"/>
        <v>1.0000045978459982</v>
      </c>
      <c r="Y110" s="18">
        <f t="shared" si="122"/>
        <v>-3.0324341316187338E-3</v>
      </c>
      <c r="Z110" s="32" t="str">
        <f t="shared" si="107"/>
        <v>0.999999857059717+0.00138670499882516i</v>
      </c>
      <c r="AA110" s="18">
        <f t="shared" si="123"/>
        <v>1.0000008185347691</v>
      </c>
      <c r="AB110" s="18">
        <f t="shared" si="124"/>
        <v>1.386704308186697E-3</v>
      </c>
      <c r="AC110" s="67" t="str">
        <f t="shared" si="125"/>
        <v>26.1563497139066-6.83174457849162i</v>
      </c>
      <c r="AD110" s="65">
        <f t="shared" si="126"/>
        <v>28.638148002571416</v>
      </c>
      <c r="AE110" s="62">
        <f t="shared" si="127"/>
        <v>-14.637995944028326</v>
      </c>
      <c r="AF110" s="50" t="str">
        <f t="shared" si="108"/>
        <v>79.1527877025864</v>
      </c>
      <c r="AG110" s="50" t="str">
        <f t="shared" si="109"/>
        <v>1+0.254713336447026i</v>
      </c>
      <c r="AH110" s="50">
        <f t="shared" si="128"/>
        <v>1.0319296893509633</v>
      </c>
      <c r="AI110" s="50">
        <f t="shared" si="129"/>
        <v>0.24940980123231235</v>
      </c>
      <c r="AJ110" s="50" t="str">
        <f t="shared" si="110"/>
        <v>1+0.00022994953984801i</v>
      </c>
      <c r="AK110" s="50">
        <f t="shared" si="130"/>
        <v>1.000000026438395</v>
      </c>
      <c r="AL110" s="50">
        <f t="shared" si="131"/>
        <v>2.2994953579501222E-4</v>
      </c>
      <c r="AM110" s="50" t="str">
        <f t="shared" si="111"/>
        <v>1-0.00106092567689213i</v>
      </c>
      <c r="AN110" s="50">
        <f t="shared" si="132"/>
        <v>1.0000005627814876</v>
      </c>
      <c r="AO110" s="50">
        <f t="shared" si="133"/>
        <v>-1.0609252788460664E-3</v>
      </c>
      <c r="AP110" s="59" t="str">
        <f t="shared" si="134"/>
        <v>74.3146048667375-18.9946950301105i</v>
      </c>
      <c r="AQ110" s="50">
        <f t="shared" si="135"/>
        <v>37.696327265968037</v>
      </c>
      <c r="AR110" s="62">
        <f t="shared" si="136"/>
        <v>-14.337740382762851</v>
      </c>
      <c r="AS110" s="32" t="str">
        <f t="shared" si="112"/>
        <v>-0.0000166666666666667</v>
      </c>
      <c r="AT110" s="32" t="str">
        <f t="shared" si="113"/>
        <v>1.77688280791644E-06i</v>
      </c>
      <c r="AU110" s="32">
        <f t="shared" si="137"/>
        <v>1.77688280791644E-6</v>
      </c>
      <c r="AV110" s="32">
        <f t="shared" si="138"/>
        <v>1.5707963267948966</v>
      </c>
      <c r="AW110" s="32" t="str">
        <f t="shared" si="114"/>
        <v>1+0.0018057802099829i</v>
      </c>
      <c r="AX110" s="32">
        <f t="shared" si="139"/>
        <v>1.0000016304197543</v>
      </c>
      <c r="AY110" s="32">
        <f t="shared" si="140"/>
        <v>1.8057782471986561E-3</v>
      </c>
      <c r="AZ110" s="32" t="str">
        <f t="shared" si="115"/>
        <v>1+0.0613965271394186i</v>
      </c>
      <c r="BA110" s="32">
        <f t="shared" si="141"/>
        <v>1.001882993939303</v>
      </c>
      <c r="BB110" s="32">
        <f t="shared" si="142"/>
        <v>6.1319555729490383E-2</v>
      </c>
      <c r="BC110" s="59" t="str">
        <f t="shared" si="143"/>
        <v>-0.558942814053904+9.3807312726243i</v>
      </c>
      <c r="BD110" s="50">
        <f t="shared" si="144"/>
        <v>19.460125220901709</v>
      </c>
      <c r="BE110" s="62">
        <f t="shared" si="145"/>
        <v>93.409888272616016</v>
      </c>
      <c r="BF110" s="59" t="str">
        <f t="shared" si="146"/>
        <v>49.4668562995689+249.184242278541i</v>
      </c>
      <c r="BG110" s="65">
        <f t="shared" si="147"/>
        <v>48.098273223473129</v>
      </c>
      <c r="BH110" s="62">
        <f t="shared" si="148"/>
        <v>78.771892328587711</v>
      </c>
      <c r="BI110" s="59" t="str">
        <f t="shared" si="101"/>
        <v>136.646515313401+707.742286178348i</v>
      </c>
      <c r="BJ110" s="65">
        <f t="shared" si="149"/>
        <v>57.156452486869746</v>
      </c>
      <c r="BK110" s="62">
        <f t="shared" si="102"/>
        <v>79.072147889853156</v>
      </c>
      <c r="BL110" s="50">
        <f t="shared" si="150"/>
        <v>48.098273223473129</v>
      </c>
      <c r="BM110" s="62">
        <f t="shared" si="151"/>
        <v>78.771892328587711</v>
      </c>
    </row>
    <row r="111" spans="14:65" x14ac:dyDescent="0.3">
      <c r="N111" s="11">
        <v>93</v>
      </c>
      <c r="O111" s="51">
        <f t="shared" si="116"/>
        <v>85.113803820237734</v>
      </c>
      <c r="P111" s="49" t="str">
        <f t="shared" si="103"/>
        <v>27.9103246607183</v>
      </c>
      <c r="Q111" s="18" t="str">
        <f t="shared" si="104"/>
        <v>1+0.262698398100862i</v>
      </c>
      <c r="R111" s="18">
        <f t="shared" si="117"/>
        <v>1.0339296148020709</v>
      </c>
      <c r="S111" s="18">
        <f t="shared" si="118"/>
        <v>0.25689392990261517</v>
      </c>
      <c r="T111" s="18" t="str">
        <f t="shared" si="105"/>
        <v>1+0.000235305752704653i</v>
      </c>
      <c r="U111" s="18">
        <f t="shared" si="119"/>
        <v>1.0000000276843983</v>
      </c>
      <c r="V111" s="18">
        <f t="shared" si="120"/>
        <v>2.3530574836178763E-4</v>
      </c>
      <c r="W111" s="32" t="str">
        <f t="shared" si="106"/>
        <v>1-0.00310307810805799i</v>
      </c>
      <c r="X111" s="18">
        <f t="shared" si="121"/>
        <v>1.0000048145352824</v>
      </c>
      <c r="Y111" s="18">
        <f t="shared" si="122"/>
        <v>-3.1030681481721994E-3</v>
      </c>
      <c r="Z111" s="32" t="str">
        <f t="shared" si="107"/>
        <v>0.999999850323149+0.00141900550765848i</v>
      </c>
      <c r="AA111" s="18">
        <f t="shared" si="123"/>
        <v>1.0000008571111083</v>
      </c>
      <c r="AB111" s="18">
        <f t="shared" si="124"/>
        <v>1.4190047676260677E-3</v>
      </c>
      <c r="AC111" s="67" t="str">
        <f t="shared" si="125"/>
        <v>26.0790237247625-6.97056293027422i</v>
      </c>
      <c r="AD111" s="65">
        <f t="shared" si="126"/>
        <v>28.625512881523079</v>
      </c>
      <c r="AE111" s="62">
        <f t="shared" si="127"/>
        <v>-14.964551632398836</v>
      </c>
      <c r="AF111" s="50" t="str">
        <f t="shared" si="108"/>
        <v>79.1527877025864</v>
      </c>
      <c r="AG111" s="50" t="str">
        <f t="shared" si="109"/>
        <v>1+0.260646372226692i</v>
      </c>
      <c r="AH111" s="50">
        <f t="shared" si="128"/>
        <v>1.0334101467253625</v>
      </c>
      <c r="AI111" s="50">
        <f t="shared" si="129"/>
        <v>0.25497340738687696</v>
      </c>
      <c r="AJ111" s="50" t="str">
        <f t="shared" si="110"/>
        <v>1+0.000235305752704653i</v>
      </c>
      <c r="AK111" s="50">
        <f t="shared" si="130"/>
        <v>1.0000000276843983</v>
      </c>
      <c r="AL111" s="50">
        <f t="shared" si="131"/>
        <v>2.3530574836178763E-4</v>
      </c>
      <c r="AM111" s="50" t="str">
        <f t="shared" si="111"/>
        <v>1-0.00108563781049443i</v>
      </c>
      <c r="AN111" s="50">
        <f t="shared" si="132"/>
        <v>1.000000589304554</v>
      </c>
      <c r="AO111" s="50">
        <f t="shared" si="133"/>
        <v>-1.0856373839804021E-3</v>
      </c>
      <c r="AP111" s="59" t="str">
        <f t="shared" si="134"/>
        <v>74.1010935525688-19.3814873653547i</v>
      </c>
      <c r="AQ111" s="50">
        <f t="shared" si="135"/>
        <v>37.683875230456202</v>
      </c>
      <c r="AR111" s="62">
        <f t="shared" si="136"/>
        <v>-14.657620545245214</v>
      </c>
      <c r="AS111" s="32" t="str">
        <f t="shared" si="112"/>
        <v>-0.0000166666666666667</v>
      </c>
      <c r="AT111" s="32" t="str">
        <f t="shared" si="113"/>
        <v>1.81827172544504E-06i</v>
      </c>
      <c r="AU111" s="32">
        <f t="shared" si="137"/>
        <v>1.8182717254450401E-6</v>
      </c>
      <c r="AV111" s="32">
        <f t="shared" si="138"/>
        <v>1.5707963267948966</v>
      </c>
      <c r="AW111" s="32" t="str">
        <f t="shared" si="114"/>
        <v>1+0.00184784223447477i</v>
      </c>
      <c r="AX111" s="32">
        <f t="shared" si="139"/>
        <v>1.0000017072590044</v>
      </c>
      <c r="AY111" s="32">
        <f t="shared" si="140"/>
        <v>1.8478401313137545E-3</v>
      </c>
      <c r="AZ111" s="32" t="str">
        <f t="shared" si="115"/>
        <v>1+0.0628266359721423i</v>
      </c>
      <c r="BA111" s="32">
        <f t="shared" si="141"/>
        <v>1.0019716493931234</v>
      </c>
      <c r="BB111" s="32">
        <f t="shared" si="142"/>
        <v>6.2744168383263979E-2</v>
      </c>
      <c r="BC111" s="59" t="str">
        <f t="shared" si="143"/>
        <v>-0.558942728156563+9.1672462446076i</v>
      </c>
      <c r="BD111" s="50">
        <f t="shared" si="144"/>
        <v>19.260893123691783</v>
      </c>
      <c r="BE111" s="62">
        <f t="shared" si="145"/>
        <v>93.489102596680013</v>
      </c>
      <c r="BF111" s="59" t="str">
        <f t="shared" si="146"/>
        <v>49.3241861769788+242.968977764896i</v>
      </c>
      <c r="BG111" s="65">
        <f t="shared" si="147"/>
        <v>47.886406005214859</v>
      </c>
      <c r="BH111" s="62">
        <f t="shared" si="148"/>
        <v>78.52455096428119</v>
      </c>
      <c r="BI111" s="59" t="str">
        <f t="shared" si="101"/>
        <v>136.2565998753+690.136113014826i</v>
      </c>
      <c r="BJ111" s="65">
        <f t="shared" si="149"/>
        <v>56.944768354147982</v>
      </c>
      <c r="BK111" s="62">
        <f t="shared" si="102"/>
        <v>78.831482051434833</v>
      </c>
      <c r="BL111" s="50">
        <f t="shared" si="150"/>
        <v>47.886406005214859</v>
      </c>
      <c r="BM111" s="62">
        <f t="shared" si="151"/>
        <v>78.52455096428119</v>
      </c>
    </row>
    <row r="112" spans="14:65" x14ac:dyDescent="0.3">
      <c r="N112" s="11">
        <v>94</v>
      </c>
      <c r="O112" s="51">
        <f t="shared" si="116"/>
        <v>87.096358995608071</v>
      </c>
      <c r="P112" s="49" t="str">
        <f t="shared" si="103"/>
        <v>27.9103246607183</v>
      </c>
      <c r="Q112" s="18" t="str">
        <f t="shared" si="104"/>
        <v>1+0.268817429859991i</v>
      </c>
      <c r="R112" s="18">
        <f t="shared" si="117"/>
        <v>1.0355012364051195</v>
      </c>
      <c r="S112" s="18">
        <f t="shared" si="118"/>
        <v>0.26260928837492314</v>
      </c>
      <c r="T112" s="18" t="str">
        <f t="shared" si="105"/>
        <v>1+0.000240786727786019i</v>
      </c>
      <c r="U112" s="18">
        <f t="shared" si="119"/>
        <v>1.0000000289891238</v>
      </c>
      <c r="V112" s="18">
        <f t="shared" si="120"/>
        <v>2.4078672313255494E-4</v>
      </c>
      <c r="W112" s="32" t="str">
        <f t="shared" si="106"/>
        <v>1-0.00317535808247556i</v>
      </c>
      <c r="X112" s="18">
        <f t="shared" si="121"/>
        <v>1.000005041436768</v>
      </c>
      <c r="Y112" s="18">
        <f t="shared" si="122"/>
        <v>-3.1753474102685633E-3</v>
      </c>
      <c r="Z112" s="32" t="str">
        <f t="shared" si="107"/>
        <v>0.999999843269096+0.00145205839199471i</v>
      </c>
      <c r="AA112" s="18">
        <f t="shared" si="123"/>
        <v>1.0000008975054924</v>
      </c>
      <c r="AB112" s="18">
        <f t="shared" si="124"/>
        <v>1.4520575990357323E-3</v>
      </c>
      <c r="AC112" s="67" t="str">
        <f t="shared" si="125"/>
        <v>25.9985336146407-7.11129104519524i</v>
      </c>
      <c r="AD112" s="65">
        <f t="shared" si="126"/>
        <v>28.612321576794475</v>
      </c>
      <c r="AE112" s="62">
        <f t="shared" si="127"/>
        <v>-15.297738598949623</v>
      </c>
      <c r="AF112" s="50" t="str">
        <f t="shared" si="108"/>
        <v>79.1527877025864</v>
      </c>
      <c r="AG112" s="50" t="str">
        <f t="shared" si="109"/>
        <v>1+0.266717606162974i</v>
      </c>
      <c r="AH112" s="50">
        <f t="shared" si="128"/>
        <v>1.0349581061266719</v>
      </c>
      <c r="AI112" s="50">
        <f t="shared" si="129"/>
        <v>0.26064994876521935</v>
      </c>
      <c r="AJ112" s="50" t="str">
        <f t="shared" si="110"/>
        <v>1+0.000240786727786019i</v>
      </c>
      <c r="AK112" s="50">
        <f t="shared" si="130"/>
        <v>1.0000000289891238</v>
      </c>
      <c r="AL112" s="50">
        <f t="shared" si="131"/>
        <v>2.4078672313255494E-4</v>
      </c>
      <c r="AM112" s="50" t="str">
        <f t="shared" si="111"/>
        <v>1-0.00111092556363397i</v>
      </c>
      <c r="AN112" s="50">
        <f t="shared" si="132"/>
        <v>1.0000006170776137</v>
      </c>
      <c r="AO112" s="50">
        <f t="shared" si="133"/>
        <v>-1.1109251066159704E-3</v>
      </c>
      <c r="AP112" s="59" t="str">
        <f t="shared" si="134"/>
        <v>73.8788262556069-19.7736575995714i</v>
      </c>
      <c r="AQ112" s="50">
        <f t="shared" si="135"/>
        <v>37.67087450312863</v>
      </c>
      <c r="AR112" s="62">
        <f t="shared" si="136"/>
        <v>-14.983997251514152</v>
      </c>
      <c r="AS112" s="32" t="str">
        <f t="shared" si="112"/>
        <v>-0.0000166666666666667</v>
      </c>
      <c r="AT112" s="32" t="str">
        <f t="shared" si="113"/>
        <v>1.86062471471015E-06i</v>
      </c>
      <c r="AU112" s="32">
        <f t="shared" si="137"/>
        <v>1.86062471471015E-6</v>
      </c>
      <c r="AV112" s="32">
        <f t="shared" si="138"/>
        <v>1.5707963267948966</v>
      </c>
      <c r="AW112" s="32" t="str">
        <f t="shared" si="114"/>
        <v>1+0.00189088400937844i</v>
      </c>
      <c r="AX112" s="32">
        <f t="shared" si="139"/>
        <v>1.0000017877195704</v>
      </c>
      <c r="AY112" s="32">
        <f t="shared" si="140"/>
        <v>1.8908817558010275E-3</v>
      </c>
      <c r="AZ112" s="32" t="str">
        <f t="shared" si="115"/>
        <v>1+0.064290056318867i</v>
      </c>
      <c r="BA112" s="32">
        <f t="shared" si="141"/>
        <v>1.0020644746429659</v>
      </c>
      <c r="BB112" s="32">
        <f t="shared" si="142"/>
        <v>6.420170053481862E-2</v>
      </c>
      <c r="BC112" s="59" t="str">
        <f t="shared" si="143"/>
        <v>-0.558942638211028+8.95862181187763i</v>
      </c>
      <c r="BD112" s="50">
        <f t="shared" si="144"/>
        <v>19.061697070872082</v>
      </c>
      <c r="BE112" s="62">
        <f t="shared" si="145"/>
        <v>93.570146934042214</v>
      </c>
      <c r="BF112" s="59" t="str">
        <f t="shared" si="146"/>
        <v>49.1756780999108+236.885834094842i</v>
      </c>
      <c r="BG112" s="65">
        <f t="shared" si="147"/>
        <v>47.674018647666557</v>
      </c>
      <c r="BH112" s="62">
        <f t="shared" si="148"/>
        <v>78.272408335092621</v>
      </c>
      <c r="BI112" s="59" t="str">
        <f t="shared" si="101"/>
        <v>135.850694216877+672.904804675184i</v>
      </c>
      <c r="BJ112" s="65">
        <f t="shared" si="149"/>
        <v>56.732571574000715</v>
      </c>
      <c r="BK112" s="62">
        <f t="shared" si="102"/>
        <v>78.586149682528088</v>
      </c>
      <c r="BL112" s="50">
        <f t="shared" si="150"/>
        <v>47.674018647666557</v>
      </c>
      <c r="BM112" s="62">
        <f t="shared" si="151"/>
        <v>78.272408335092621</v>
      </c>
    </row>
    <row r="113" spans="14:65" x14ac:dyDescent="0.3">
      <c r="N113" s="11">
        <v>95</v>
      </c>
      <c r="O113" s="51">
        <f t="shared" si="116"/>
        <v>89.125093813374562</v>
      </c>
      <c r="P113" s="49" t="str">
        <f t="shared" si="103"/>
        <v>27.9103246607183</v>
      </c>
      <c r="Q113" s="18" t="str">
        <f t="shared" si="104"/>
        <v>1+0.275078992178652i</v>
      </c>
      <c r="R113" s="18">
        <f t="shared" si="117"/>
        <v>1.0371443737195043</v>
      </c>
      <c r="S113" s="18">
        <f t="shared" si="118"/>
        <v>0.26843964782235163</v>
      </c>
      <c r="T113" s="18" t="str">
        <f t="shared" si="105"/>
        <v>1+0.000246395371177647i</v>
      </c>
      <c r="U113" s="18">
        <f t="shared" si="119"/>
        <v>1.0000000303553389</v>
      </c>
      <c r="V113" s="18">
        <f t="shared" si="120"/>
        <v>2.4639536619137041E-4</v>
      </c>
      <c r="W113" s="32" t="str">
        <f t="shared" si="106"/>
        <v>1-0.00324932167377929i</v>
      </c>
      <c r="X113" s="18">
        <f t="shared" si="121"/>
        <v>1.0000052790317357</v>
      </c>
      <c r="Y113" s="18">
        <f t="shared" si="122"/>
        <v>-3.2493102383067242E-3</v>
      </c>
      <c r="Z113" s="32" t="str">
        <f t="shared" si="107"/>
        <v>0.999999835882596+0.00148588117691065i</v>
      </c>
      <c r="AA113" s="18">
        <f t="shared" si="123"/>
        <v>1.0000009398036038</v>
      </c>
      <c r="AB113" s="18">
        <f t="shared" si="124"/>
        <v>1.48588032723984E-3</v>
      </c>
      <c r="AC113" s="67" t="str">
        <f t="shared" si="125"/>
        <v>25.9147718074332-7.25389316938423i</v>
      </c>
      <c r="AD113" s="65">
        <f t="shared" si="126"/>
        <v>28.598551405894305</v>
      </c>
      <c r="AE113" s="62">
        <f t="shared" si="127"/>
        <v>-15.637647894220605</v>
      </c>
      <c r="AF113" s="50" t="str">
        <f t="shared" si="108"/>
        <v>79.1527877025864</v>
      </c>
      <c r="AG113" s="50" t="str">
        <f t="shared" si="109"/>
        <v>1+0.27293025730447i</v>
      </c>
      <c r="AH113" s="50">
        <f t="shared" si="128"/>
        <v>1.0365765410003664</v>
      </c>
      <c r="AI113" s="50">
        <f t="shared" si="129"/>
        <v>0.26644097121289401</v>
      </c>
      <c r="AJ113" s="50" t="str">
        <f t="shared" si="110"/>
        <v>1+0.000246395371177647i</v>
      </c>
      <c r="AK113" s="50">
        <f t="shared" si="130"/>
        <v>1.0000000303553389</v>
      </c>
      <c r="AL113" s="50">
        <f t="shared" si="131"/>
        <v>2.4639536619137041E-4</v>
      </c>
      <c r="AM113" s="50" t="str">
        <f t="shared" si="111"/>
        <v>1-0.00113680234421219i</v>
      </c>
      <c r="AN113" s="50">
        <f t="shared" si="132"/>
        <v>1.0000006461595761</v>
      </c>
      <c r="AO113" s="50">
        <f t="shared" si="133"/>
        <v>-1.1368018545085976E-3</v>
      </c>
      <c r="AP113" s="59" t="str">
        <f t="shared" si="134"/>
        <v>73.6475035523546-20.1711102884815i</v>
      </c>
      <c r="AQ113" s="50">
        <f t="shared" si="135"/>
        <v>37.65730265614043</v>
      </c>
      <c r="AR113" s="62">
        <f t="shared" si="136"/>
        <v>-15.316959673697118</v>
      </c>
      <c r="AS113" s="32" t="str">
        <f t="shared" si="112"/>
        <v>-0.0000166666666666667</v>
      </c>
      <c r="AT113" s="32" t="str">
        <f t="shared" si="113"/>
        <v>1.90396423182727E-06i</v>
      </c>
      <c r="AU113" s="32">
        <f t="shared" si="137"/>
        <v>1.90396423182727E-6</v>
      </c>
      <c r="AV113" s="32">
        <f t="shared" si="138"/>
        <v>1.5707963267948966</v>
      </c>
      <c r="AW113" s="32" t="str">
        <f t="shared" si="114"/>
        <v>1+0.0019349283560127i</v>
      </c>
      <c r="AX113" s="32">
        <f t="shared" si="139"/>
        <v>1.0000018719721193</v>
      </c>
      <c r="AY113" s="32">
        <f t="shared" si="140"/>
        <v>1.9349259412612407E-3</v>
      </c>
      <c r="AZ113" s="32" t="str">
        <f t="shared" si="115"/>
        <v>1+0.0657875641044316i</v>
      </c>
      <c r="BA113" s="32">
        <f t="shared" si="141"/>
        <v>1.0021616653967536</v>
      </c>
      <c r="BB113" s="32">
        <f t="shared" si="142"/>
        <v>6.5692900201976406E-2</v>
      </c>
      <c r="BC113" s="59" t="str">
        <f t="shared" si="143"/>
        <v>-0.558942544026524+8.75474735899772i</v>
      </c>
      <c r="BD113" s="50">
        <f t="shared" si="144"/>
        <v>18.862538747159721</v>
      </c>
      <c r="BE113" s="62">
        <f t="shared" si="145"/>
        <v>93.653062835442697</v>
      </c>
      <c r="BF113" s="59" t="str">
        <f t="shared" si="146"/>
        <v>49.0211335852046+230.931789542347i</v>
      </c>
      <c r="BG113" s="65">
        <f t="shared" si="147"/>
        <v>47.461090153054037</v>
      </c>
      <c r="BH113" s="62">
        <f t="shared" si="148"/>
        <v>78.015414941222133</v>
      </c>
      <c r="BI113" s="59" t="str">
        <f t="shared" si="101"/>
        <v>135.42825152938+656.039778922235i</v>
      </c>
      <c r="BJ113" s="65">
        <f t="shared" si="149"/>
        <v>56.519841403300148</v>
      </c>
      <c r="BK113" s="62">
        <f t="shared" si="102"/>
        <v>78.336103161745555</v>
      </c>
      <c r="BL113" s="50">
        <f t="shared" si="150"/>
        <v>47.461090153054037</v>
      </c>
      <c r="BM113" s="62">
        <f t="shared" si="151"/>
        <v>78.015414941222133</v>
      </c>
    </row>
    <row r="114" spans="14:65" x14ac:dyDescent="0.3">
      <c r="N114" s="11">
        <v>96</v>
      </c>
      <c r="O114" s="51">
        <f t="shared" si="116"/>
        <v>91.201083935590972</v>
      </c>
      <c r="P114" s="49" t="str">
        <f t="shared" si="103"/>
        <v>27.9103246607183</v>
      </c>
      <c r="Q114" s="18" t="str">
        <f t="shared" si="104"/>
        <v>1+0.281486405020067i</v>
      </c>
      <c r="R114" s="18">
        <f t="shared" si="117"/>
        <v>1.0388621642023166</v>
      </c>
      <c r="S114" s="18">
        <f t="shared" si="118"/>
        <v>0.27438651340191977</v>
      </c>
      <c r="T114" s="18" t="str">
        <f t="shared" si="105"/>
        <v>1+0.000252134656656501i</v>
      </c>
      <c r="U114" s="18">
        <f t="shared" si="119"/>
        <v>1.0000000317859421</v>
      </c>
      <c r="V114" s="18">
        <f t="shared" si="120"/>
        <v>2.5213465131360938E-4</v>
      </c>
      <c r="W114" s="32" t="str">
        <f t="shared" si="106"/>
        <v>1-0.00332500809844432i</v>
      </c>
      <c r="X114" s="18">
        <f t="shared" si="121"/>
        <v>1.0000055278241489</v>
      </c>
      <c r="Y114" s="18">
        <f t="shared" si="122"/>
        <v>-3.3249958451183593E-3</v>
      </c>
      <c r="Z114" s="32" t="str">
        <f t="shared" si="107"/>
        <v>0.999999828147981+0.00152049179569455i</v>
      </c>
      <c r="AA114" s="18">
        <f t="shared" si="123"/>
        <v>1.000000984095162</v>
      </c>
      <c r="AB114" s="18">
        <f t="shared" si="124"/>
        <v>1.5204908852559219E-3</v>
      </c>
      <c r="AC114" s="67" t="str">
        <f t="shared" si="125"/>
        <v>25.8276290250233-7.39832852802143i</v>
      </c>
      <c r="AD114" s="65">
        <f t="shared" si="126"/>
        <v>28.58417892196886</v>
      </c>
      <c r="AE114" s="62">
        <f t="shared" si="127"/>
        <v>-15.984368861187594</v>
      </c>
      <c r="AF114" s="50" t="str">
        <f t="shared" si="108"/>
        <v>79.1527877025864</v>
      </c>
      <c r="AG114" s="50" t="str">
        <f t="shared" si="109"/>
        <v>1+0.279287619681047i</v>
      </c>
      <c r="AH114" s="50">
        <f t="shared" si="128"/>
        <v>1.0382685464305972</v>
      </c>
      <c r="AI114" s="50">
        <f t="shared" si="129"/>
        <v>0.2723479909156894</v>
      </c>
      <c r="AJ114" s="50" t="str">
        <f t="shared" si="110"/>
        <v>1+0.000252134656656501i</v>
      </c>
      <c r="AK114" s="50">
        <f t="shared" si="130"/>
        <v>1.0000000317859421</v>
      </c>
      <c r="AL114" s="50">
        <f t="shared" si="131"/>
        <v>2.5213465131360938E-4</v>
      </c>
      <c r="AM114" s="50" t="str">
        <f t="shared" si="111"/>
        <v>1-0.00116328187244067i</v>
      </c>
      <c r="AN114" s="50">
        <f t="shared" si="132"/>
        <v>1.0000006766121285</v>
      </c>
      <c r="AO114" s="50">
        <f t="shared" si="133"/>
        <v>-1.163281347713836E-3</v>
      </c>
      <c r="AP114" s="59" t="str">
        <f t="shared" si="134"/>
        <v>73.4068211129744-20.5737361791318i</v>
      </c>
      <c r="AQ114" s="50">
        <f t="shared" si="135"/>
        <v>37.643136501294563</v>
      </c>
      <c r="AR114" s="62">
        <f t="shared" si="136"/>
        <v>-15.656595298557303</v>
      </c>
      <c r="AS114" s="32" t="str">
        <f t="shared" si="112"/>
        <v>-0.0000166666666666667</v>
      </c>
      <c r="AT114" s="32" t="str">
        <f t="shared" si="113"/>
        <v>1.94831325598206E-06i</v>
      </c>
      <c r="AU114" s="32">
        <f t="shared" si="137"/>
        <v>1.9483132559820601E-6</v>
      </c>
      <c r="AV114" s="32">
        <f t="shared" si="138"/>
        <v>1.5707963267948966</v>
      </c>
      <c r="AW114" s="32" t="str">
        <f t="shared" si="114"/>
        <v>1+0.00197999862727311i</v>
      </c>
      <c r="AX114" s="32">
        <f t="shared" si="139"/>
        <v>1.0000019601953609</v>
      </c>
      <c r="AY114" s="32">
        <f t="shared" si="140"/>
        <v>1.9799960398205778E-3</v>
      </c>
      <c r="AZ114" s="32" t="str">
        <f t="shared" si="115"/>
        <v>1+0.0673199533272858i</v>
      </c>
      <c r="BA114" s="32">
        <f t="shared" si="141"/>
        <v>1.0022634265082149</v>
      </c>
      <c r="BB114" s="32">
        <f t="shared" si="142"/>
        <v>6.7218531496029618E-2</v>
      </c>
      <c r="BC114" s="59" t="str">
        <f t="shared" si="143"/>
        <v>-0.558942445403276+8.55551478903308i</v>
      </c>
      <c r="BD114" s="50">
        <f t="shared" si="144"/>
        <v>18.663419915327644</v>
      </c>
      <c r="BE114" s="62">
        <f t="shared" si="145"/>
        <v>93.737892743255358</v>
      </c>
      <c r="BF114" s="59" t="str">
        <f t="shared" si="146"/>
        <v>48.8603510093975+225.103901928596i</v>
      </c>
      <c r="BG114" s="65">
        <f t="shared" si="147"/>
        <v>47.247598837296501</v>
      </c>
      <c r="BH114" s="62">
        <f t="shared" si="148"/>
        <v>77.753523882067782</v>
      </c>
      <c r="BI114" s="59" t="str">
        <f t="shared" ref="BI114:BI177" si="152">IMPRODUCT(AP114,BC114)</f>
        <v>134.98871604406+639.532678059004i</v>
      </c>
      <c r="BJ114" s="65">
        <f t="shared" si="149"/>
        <v>56.3065564166222</v>
      </c>
      <c r="BK114" s="62">
        <f t="shared" ref="BK114:BK177" si="153">(180/PI())*IMARGUMENT(BI114)</f>
        <v>78.08129744469808</v>
      </c>
      <c r="BL114" s="50">
        <f t="shared" si="150"/>
        <v>47.247598837296501</v>
      </c>
      <c r="BM114" s="62">
        <f t="shared" si="151"/>
        <v>77.753523882067782</v>
      </c>
    </row>
    <row r="115" spans="14:65" x14ac:dyDescent="0.3">
      <c r="N115" s="11">
        <v>97</v>
      </c>
      <c r="O115" s="51">
        <f t="shared" si="116"/>
        <v>93.325430079699174</v>
      </c>
      <c r="P115" s="49" t="str">
        <f t="shared" si="103"/>
        <v>27.9103246607183</v>
      </c>
      <c r="Q115" s="18" t="str">
        <f t="shared" si="104"/>
        <v>1+0.288043065679337i</v>
      </c>
      <c r="R115" s="18">
        <f t="shared" si="117"/>
        <v>1.0406578725431097</v>
      </c>
      <c r="S115" s="18">
        <f t="shared" si="118"/>
        <v>0.28045135505439461</v>
      </c>
      <c r="T115" s="18" t="str">
        <f t="shared" si="105"/>
        <v>1+0.000258007627267712i</v>
      </c>
      <c r="U115" s="18">
        <f t="shared" si="119"/>
        <v>1.0000000332839674</v>
      </c>
      <c r="V115" s="18">
        <f t="shared" si="120"/>
        <v>2.5800762154270048E-4</v>
      </c>
      <c r="W115" s="32" t="str">
        <f t="shared" si="106"/>
        <v>1-0.00340245748641483i</v>
      </c>
      <c r="X115" s="18">
        <f t="shared" si="121"/>
        <v>1.000005788341721</v>
      </c>
      <c r="Y115" s="18">
        <f t="shared" si="122"/>
        <v>-3.4024443567436144E-3</v>
      </c>
      <c r="Z115" s="32" t="str">
        <f t="shared" si="107"/>
        <v>0.999999820048845+0.00155590859935462i</v>
      </c>
      <c r="AA115" s="18">
        <f t="shared" si="123"/>
        <v>1.0000010304741151</v>
      </c>
      <c r="AB115" s="18">
        <f t="shared" si="124"/>
        <v>1.5559076238021074E-3</v>
      </c>
      <c r="AC115" s="67" t="str">
        <f t="shared" si="125"/>
        <v>25.7369944495728-7.54455106518206i</v>
      </c>
      <c r="AD115" s="65">
        <f t="shared" si="126"/>
        <v>28.56917990237012</v>
      </c>
      <c r="AE115" s="62">
        <f t="shared" si="127"/>
        <v>-16.337988897370764</v>
      </c>
      <c r="AF115" s="50" t="str">
        <f t="shared" si="108"/>
        <v>79.1527877025864</v>
      </c>
      <c r="AG115" s="50" t="str">
        <f t="shared" si="109"/>
        <v>1+0.285793064050388i</v>
      </c>
      <c r="AH115" s="50">
        <f t="shared" si="128"/>
        <v>1.0400373433003784</v>
      </c>
      <c r="AI115" s="50">
        <f t="shared" si="129"/>
        <v>0.27837249029071137</v>
      </c>
      <c r="AJ115" s="50" t="str">
        <f t="shared" si="110"/>
        <v>1+0.000258007627267712i</v>
      </c>
      <c r="AK115" s="50">
        <f t="shared" si="130"/>
        <v>1.0000000332839674</v>
      </c>
      <c r="AL115" s="50">
        <f t="shared" si="131"/>
        <v>2.5800762154270048E-4</v>
      </c>
      <c r="AM115" s="50" t="str">
        <f t="shared" si="111"/>
        <v>1-0.00119037818811577i</v>
      </c>
      <c r="AN115" s="50">
        <f t="shared" si="132"/>
        <v>1.0000007084998643</v>
      </c>
      <c r="AO115" s="50">
        <f t="shared" si="133"/>
        <v>-1.1903776258608591E-3</v>
      </c>
      <c r="AP115" s="59" t="str">
        <f t="shared" si="134"/>
        <v>73.1564701362822-20.9814114844217i</v>
      </c>
      <c r="AQ115" s="50">
        <f t="shared" si="135"/>
        <v>37.628352078222079</v>
      </c>
      <c r="AR115" s="62">
        <f t="shared" si="136"/>
        <v>-16.002989692396241</v>
      </c>
      <c r="AS115" s="32" t="str">
        <f t="shared" si="112"/>
        <v>-0.0000166666666666667</v>
      </c>
      <c r="AT115" s="32" t="str">
        <f t="shared" si="113"/>
        <v>1.99369530161414E-06i</v>
      </c>
      <c r="AU115" s="32">
        <f t="shared" si="137"/>
        <v>1.9936953016141398E-6</v>
      </c>
      <c r="AV115" s="32">
        <f t="shared" si="138"/>
        <v>1.5707963267948966</v>
      </c>
      <c r="AW115" s="32" t="str">
        <f t="shared" si="114"/>
        <v>1+0.00202611872001409i</v>
      </c>
      <c r="AX115" s="32">
        <f t="shared" si="139"/>
        <v>1.0000020525764273</v>
      </c>
      <c r="AY115" s="32">
        <f t="shared" si="140"/>
        <v>2.026115947509058E-3</v>
      </c>
      <c r="AZ115" s="32" t="str">
        <f t="shared" si="115"/>
        <v>1+0.0688880364804791i</v>
      </c>
      <c r="BA115" s="32">
        <f t="shared" si="141"/>
        <v>1.0023699724004784</v>
      </c>
      <c r="BB115" s="32">
        <f t="shared" si="142"/>
        <v>6.8779374903019649E-2</v>
      </c>
      <c r="BC115" s="59" t="str">
        <f t="shared" si="143"/>
        <v>-0.558942342132094+8.36081846623685i</v>
      </c>
      <c r="BD115" s="50">
        <f t="shared" si="144"/>
        <v>18.464342419755532</v>
      </c>
      <c r="BE115" s="62">
        <f t="shared" si="145"/>
        <v>93.82468000689461</v>
      </c>
      <c r="BF115" s="59" t="str">
        <f t="shared" si="146"/>
        <v>48.6931259081561+219.399307502132i</v>
      </c>
      <c r="BG115" s="65">
        <f t="shared" si="147"/>
        <v>47.03352232212567</v>
      </c>
      <c r="BH115" s="62">
        <f t="shared" si="148"/>
        <v>77.486691109523889</v>
      </c>
      <c r="BI115" s="59" t="str">
        <f t="shared" si="152"/>
        <v>134.531523826577+623.375365716473i</v>
      </c>
      <c r="BJ115" s="65">
        <f t="shared" si="149"/>
        <v>56.092694497977618</v>
      </c>
      <c r="BK115" s="62">
        <f t="shared" si="153"/>
        <v>77.821690314498355</v>
      </c>
      <c r="BL115" s="50">
        <f t="shared" si="150"/>
        <v>47.03352232212567</v>
      </c>
      <c r="BM115" s="62">
        <f t="shared" si="151"/>
        <v>77.486691109523889</v>
      </c>
    </row>
    <row r="116" spans="14:65" x14ac:dyDescent="0.3">
      <c r="N116" s="11">
        <v>98</v>
      </c>
      <c r="O116" s="51">
        <f t="shared" si="116"/>
        <v>95.499258602143655</v>
      </c>
      <c r="P116" s="49" t="str">
        <f t="shared" si="103"/>
        <v>27.9103246607183</v>
      </c>
      <c r="Q116" s="18" t="str">
        <f t="shared" si="104"/>
        <v>1+0.294752450584731i</v>
      </c>
      <c r="R116" s="18">
        <f t="shared" si="117"/>
        <v>1.0425348949199273</v>
      </c>
      <c r="S116" s="18">
        <f t="shared" si="118"/>
        <v>0.28663560311146991</v>
      </c>
      <c r="T116" s="18" t="str">
        <f t="shared" si="105"/>
        <v>1+0.000264017396938035i</v>
      </c>
      <c r="U116" s="18">
        <f t="shared" si="119"/>
        <v>1.0000000348525924</v>
      </c>
      <c r="V116" s="18">
        <f t="shared" si="120"/>
        <v>2.6401739080357463E-4</v>
      </c>
      <c r="W116" s="32" t="str">
        <f t="shared" si="106"/>
        <v>1-0.00348171090238149i</v>
      </c>
      <c r="X116" s="18">
        <f t="shared" si="121"/>
        <v>1.0000060611370352</v>
      </c>
      <c r="Y116" s="18">
        <f t="shared" si="122"/>
        <v>-3.4816968336899164E-3</v>
      </c>
      <c r="Z116" s="32" t="str">
        <f t="shared" si="107"/>
        <v>0.999999811568008+0.00159215036634894i</v>
      </c>
      <c r="AA116" s="18">
        <f t="shared" si="123"/>
        <v>1.0000010790388381</v>
      </c>
      <c r="AB116" s="18">
        <f t="shared" si="124"/>
        <v>1.5921493210256507E-3</v>
      </c>
      <c r="AC116" s="67" t="str">
        <f t="shared" si="125"/>
        <v>25.6427559068542-7.69250918153707i</v>
      </c>
      <c r="AD116" s="65">
        <f t="shared" si="126"/>
        <v>28.553529338442154</v>
      </c>
      <c r="AE116" s="62">
        <f t="shared" si="127"/>
        <v>-16.698593204826938</v>
      </c>
      <c r="AF116" s="50" t="str">
        <f t="shared" si="108"/>
        <v>79.1527877025864</v>
      </c>
      <c r="AG116" s="50" t="str">
        <f t="shared" si="109"/>
        <v>1+0.292450039685207i</v>
      </c>
      <c r="AH116" s="50">
        <f t="shared" si="128"/>
        <v>1.0418862825240953</v>
      </c>
      <c r="AI116" s="50">
        <f t="shared" si="129"/>
        <v>0.28451591366598805</v>
      </c>
      <c r="AJ116" s="50" t="str">
        <f t="shared" si="110"/>
        <v>1+0.000264017396938035i</v>
      </c>
      <c r="AK116" s="50">
        <f t="shared" si="130"/>
        <v>1.0000000348525924</v>
      </c>
      <c r="AL116" s="50">
        <f t="shared" si="131"/>
        <v>2.6401739080357463E-4</v>
      </c>
      <c r="AM116" s="50" t="str">
        <f t="shared" si="111"/>
        <v>1-0.00121810565806273i</v>
      </c>
      <c r="AN116" s="50">
        <f t="shared" si="132"/>
        <v>1.000000741890422</v>
      </c>
      <c r="AO116" s="50">
        <f t="shared" si="133"/>
        <v>-1.2181050555957625E-3</v>
      </c>
      <c r="AP116" s="59" t="str">
        <f t="shared" si="134"/>
        <v>72.896137842513-21.3939971505236i</v>
      </c>
      <c r="AQ116" s="50">
        <f t="shared" si="135"/>
        <v>37.612924643730132</v>
      </c>
      <c r="AR116" s="62">
        <f t="shared" si="136"/>
        <v>-16.356226253847716</v>
      </c>
      <c r="AS116" s="32" t="str">
        <f t="shared" si="112"/>
        <v>-0.0000166666666666667</v>
      </c>
      <c r="AT116" s="32" t="str">
        <f t="shared" si="113"/>
        <v>2.04013443088481E-06i</v>
      </c>
      <c r="AU116" s="32">
        <f t="shared" si="137"/>
        <v>2.0401344308848101E-6</v>
      </c>
      <c r="AV116" s="32">
        <f t="shared" si="138"/>
        <v>1.5707963267948966</v>
      </c>
      <c r="AW116" s="32" t="str">
        <f t="shared" si="114"/>
        <v>1+0.00207331308771927i</v>
      </c>
      <c r="AX116" s="32">
        <f t="shared" si="139"/>
        <v>1.0000021493112701</v>
      </c>
      <c r="AY116" s="32">
        <f t="shared" si="140"/>
        <v>2.0733101169269491E-3</v>
      </c>
      <c r="AZ116" s="32" t="str">
        <f t="shared" si="115"/>
        <v>1+0.0704926449824552i</v>
      </c>
      <c r="BA116" s="32">
        <f t="shared" si="141"/>
        <v>1.0024815275089225</v>
      </c>
      <c r="BB116" s="32">
        <f t="shared" si="142"/>
        <v>7.0376227565060109E-2</v>
      </c>
      <c r="BC116" s="59" t="str">
        <f t="shared" si="143"/>
        <v>-0.558942233993935+8.1705551600402i</v>
      </c>
      <c r="BD116" s="50">
        <f t="shared" si="144"/>
        <v>18.265308190135009</v>
      </c>
      <c r="BE116" s="62">
        <f t="shared" si="145"/>
        <v>93.913468898208507</v>
      </c>
      <c r="BF116" s="59" t="str">
        <f t="shared" si="146"/>
        <v>48.5192513145261+213.815219859346i</v>
      </c>
      <c r="BG116" s="65">
        <f t="shared" si="147"/>
        <v>46.818837528577156</v>
      </c>
      <c r="BH116" s="62">
        <f t="shared" si="148"/>
        <v>77.214875693381558</v>
      </c>
      <c r="BI116" s="59" t="str">
        <f t="shared" si="152"/>
        <v>134.056103676872+607.55992375752i</v>
      </c>
      <c r="BJ116" s="65">
        <f t="shared" si="149"/>
        <v>55.878232833865141</v>
      </c>
      <c r="BK116" s="62">
        <f t="shared" si="153"/>
        <v>77.557242644360784</v>
      </c>
      <c r="BL116" s="50">
        <f t="shared" si="150"/>
        <v>46.818837528577156</v>
      </c>
      <c r="BM116" s="62">
        <f t="shared" si="151"/>
        <v>77.214875693381558</v>
      </c>
    </row>
    <row r="117" spans="14:65" x14ac:dyDescent="0.3">
      <c r="N117" s="11">
        <v>99</v>
      </c>
      <c r="O117" s="51">
        <f t="shared" si="116"/>
        <v>97.723722095581124</v>
      </c>
      <c r="P117" s="49" t="str">
        <f t="shared" si="103"/>
        <v>27.9103246607183</v>
      </c>
      <c r="Q117" s="18" t="str">
        <f t="shared" si="104"/>
        <v>1+0.301618117140934i</v>
      </c>
      <c r="R117" s="18">
        <f t="shared" si="117"/>
        <v>1.0444967633208071</v>
      </c>
      <c r="S117" s="18">
        <f t="shared" si="118"/>
        <v>0.29294064368959732</v>
      </c>
      <c r="T117" s="18" t="str">
        <f t="shared" si="105"/>
        <v>1+0.000270167152126897i</v>
      </c>
      <c r="U117" s="18">
        <f t="shared" si="119"/>
        <v>1.0000000364951445</v>
      </c>
      <c r="V117" s="18">
        <f t="shared" si="120"/>
        <v>2.7016714555370432E-4</v>
      </c>
      <c r="W117" s="32" t="str">
        <f t="shared" si="106"/>
        <v>1-0.00356281036755447i</v>
      </c>
      <c r="X117" s="18">
        <f t="shared" si="121"/>
        <v>1.0000063467887168</v>
      </c>
      <c r="Y117" s="18">
        <f t="shared" si="122"/>
        <v>-3.562795292685017E-3</v>
      </c>
      <c r="Z117" s="32" t="str">
        <f t="shared" si="107"/>
        <v>0.999999802687482+0.0016292363125421i</v>
      </c>
      <c r="AA117" s="18">
        <f t="shared" si="123"/>
        <v>1.0000011298923441</v>
      </c>
      <c r="AB117" s="18">
        <f t="shared" si="124"/>
        <v>1.6292351924580824E-3</v>
      </c>
      <c r="AC117" s="67" t="str">
        <f t="shared" si="125"/>
        <v>25.5448000718061-7.84214547117433i</v>
      </c>
      <c r="AD117" s="65">
        <f t="shared" si="126"/>
        <v>28.53720142667752</v>
      </c>
      <c r="AE117" s="62">
        <f t="shared" si="127"/>
        <v>-17.066264527958214</v>
      </c>
      <c r="AF117" s="50" t="str">
        <f t="shared" si="108"/>
        <v>79.1527877025864</v>
      </c>
      <c r="AG117" s="50" t="str">
        <f t="shared" si="109"/>
        <v>1+0.2992620762021i</v>
      </c>
      <c r="AH117" s="50">
        <f t="shared" si="128"/>
        <v>1.0438188493473337</v>
      </c>
      <c r="AI117" s="50">
        <f t="shared" si="129"/>
        <v>0.29077966274703737</v>
      </c>
      <c r="AJ117" s="50" t="str">
        <f t="shared" si="110"/>
        <v>1+0.000270167152126897i</v>
      </c>
      <c r="AK117" s="50">
        <f t="shared" si="130"/>
        <v>1.0000000364951445</v>
      </c>
      <c r="AL117" s="50">
        <f t="shared" si="131"/>
        <v>2.7016714555370432E-4</v>
      </c>
      <c r="AM117" s="50" t="str">
        <f t="shared" si="111"/>
        <v>1-0.00124647898375313i</v>
      </c>
      <c r="AN117" s="50">
        <f t="shared" si="132"/>
        <v>1.0000007768546268</v>
      </c>
      <c r="AO117" s="50">
        <f t="shared" si="133"/>
        <v>-1.2464783381981707E-3</v>
      </c>
      <c r="AP117" s="59" t="str">
        <f t="shared" si="134"/>
        <v>72.6255080271824-21.8113381205871i</v>
      </c>
      <c r="AQ117" s="50">
        <f t="shared" si="135"/>
        <v>37.596828662467303</v>
      </c>
      <c r="AR117" s="62">
        <f t="shared" si="136"/>
        <v>-16.716385954472585</v>
      </c>
      <c r="AS117" s="32" t="str">
        <f t="shared" si="112"/>
        <v>-0.0000166666666666667</v>
      </c>
      <c r="AT117" s="32" t="str">
        <f t="shared" si="113"/>
        <v>2.08765526643511E-06i</v>
      </c>
      <c r="AU117" s="32">
        <f t="shared" si="137"/>
        <v>2.0876552664351099E-6</v>
      </c>
      <c r="AV117" s="32">
        <f t="shared" si="138"/>
        <v>1.5707963267948966</v>
      </c>
      <c r="AW117" s="32" t="str">
        <f t="shared" si="114"/>
        <v>1+0.0021216067534671i</v>
      </c>
      <c r="AX117" s="32">
        <f t="shared" si="139"/>
        <v>1.0000022506050756</v>
      </c>
      <c r="AY117" s="32">
        <f t="shared" si="140"/>
        <v>2.1216035702061632E-3</v>
      </c>
      <c r="AZ117" s="32" t="str">
        <f t="shared" si="115"/>
        <v>1+0.0721346296178814i</v>
      </c>
      <c r="BA117" s="32">
        <f t="shared" si="141"/>
        <v>1.0025983267441199</v>
      </c>
      <c r="BB117" s="32">
        <f t="shared" si="142"/>
        <v>7.2009903561262925E-2</v>
      </c>
      <c r="BC117" s="59" t="str">
        <f t="shared" si="143"/>
        <v>-0.558942120759423+7.98462399031835i</v>
      </c>
      <c r="BD117" s="50">
        <f t="shared" si="144"/>
        <v>18.066319245336796</v>
      </c>
      <c r="BE117" s="62">
        <f t="shared" si="145"/>
        <v>94.004304626831725</v>
      </c>
      <c r="BF117" s="59" t="str">
        <f t="shared" si="146"/>
        <v>48.3385181381942+208.348928902191i</v>
      </c>
      <c r="BG117" s="65">
        <f t="shared" si="147"/>
        <v>46.603520672014312</v>
      </c>
      <c r="BH117" s="62">
        <f t="shared" si="148"/>
        <v>76.938040098873529</v>
      </c>
      <c r="BI117" s="59" t="str">
        <f t="shared" si="152"/>
        <v>133.561878140641+592.07864928862i</v>
      </c>
      <c r="BJ117" s="65">
        <f t="shared" si="149"/>
        <v>55.663147907804095</v>
      </c>
      <c r="BK117" s="62">
        <f t="shared" si="153"/>
        <v>77.287918672359154</v>
      </c>
      <c r="BL117" s="50">
        <f t="shared" si="150"/>
        <v>46.603520672014312</v>
      </c>
      <c r="BM117" s="62">
        <f t="shared" si="151"/>
        <v>76.938040098873529</v>
      </c>
    </row>
    <row r="118" spans="14:65" x14ac:dyDescent="0.3">
      <c r="N118" s="11">
        <v>100</v>
      </c>
      <c r="O118" s="51">
        <f t="shared" si="116"/>
        <v>100</v>
      </c>
      <c r="P118" s="49" t="str">
        <f t="shared" si="103"/>
        <v>27.9103246607183</v>
      </c>
      <c r="Q118" s="18" t="str">
        <f t="shared" si="104"/>
        <v>1+0.308643705615233i</v>
      </c>
      <c r="R118" s="18">
        <f t="shared" si="117"/>
        <v>1.0465471499248864</v>
      </c>
      <c r="S118" s="18">
        <f t="shared" si="118"/>
        <v>0.2993678138703228</v>
      </c>
      <c r="T118" s="18" t="str">
        <f t="shared" si="105"/>
        <v>1+0.000276460153515902i</v>
      </c>
      <c r="U118" s="18">
        <f t="shared" si="119"/>
        <v>1.0000000382151075</v>
      </c>
      <c r="V118" s="18">
        <f t="shared" si="120"/>
        <v>2.7646014647259921E-4</v>
      </c>
      <c r="W118" s="32" t="str">
        <f t="shared" si="106"/>
        <v>1-0.00364579888194371i</v>
      </c>
      <c r="X118" s="18">
        <f t="shared" si="121"/>
        <v>1.0000066459026598</v>
      </c>
      <c r="Y118" s="18">
        <f t="shared" si="122"/>
        <v>-3.645782728935865E-3</v>
      </c>
      <c r="Z118" s="32" t="str">
        <f t="shared" si="107"/>
        <v>0.99999979338843+0.00166718610139367i</v>
      </c>
      <c r="AA118" s="18">
        <f t="shared" si="123"/>
        <v>1.0000011831424997</v>
      </c>
      <c r="AB118" s="18">
        <f t="shared" si="124"/>
        <v>1.6671849012020968E-3</v>
      </c>
      <c r="AC118" s="67" t="str">
        <f t="shared" si="125"/>
        <v>25.4430126974678-7.99339645896388i</v>
      </c>
      <c r="AD118" s="65">
        <f t="shared" si="126"/>
        <v>28.520169561405663</v>
      </c>
      <c r="AE118" s="62">
        <f t="shared" si="127"/>
        <v>-17.44108287912756</v>
      </c>
      <c r="AF118" s="50" t="str">
        <f t="shared" si="108"/>
        <v>79.1527877025864</v>
      </c>
      <c r="AG118" s="50" t="str">
        <f t="shared" si="109"/>
        <v>1+0.306232785432999i</v>
      </c>
      <c r="AH118" s="50">
        <f t="shared" si="128"/>
        <v>1.0458386677083866</v>
      </c>
      <c r="AI118" s="50">
        <f t="shared" si="129"/>
        <v>0.29716509186986045</v>
      </c>
      <c r="AJ118" s="50" t="str">
        <f t="shared" si="110"/>
        <v>1+0.000276460153515902i</v>
      </c>
      <c r="AK118" s="50">
        <f t="shared" si="130"/>
        <v>1.0000000382151075</v>
      </c>
      <c r="AL118" s="50">
        <f t="shared" si="131"/>
        <v>2.7646014647259921E-4</v>
      </c>
      <c r="AM118" s="50" t="str">
        <f t="shared" si="111"/>
        <v>1-0.00127551320909981i</v>
      </c>
      <c r="AN118" s="50">
        <f t="shared" si="132"/>
        <v>1.0000008134666425</v>
      </c>
      <c r="AO118" s="50">
        <f t="shared" si="133"/>
        <v>-1.2755125173752389E-3</v>
      </c>
      <c r="AP118" s="59" t="str">
        <f t="shared" si="134"/>
        <v>72.3442616793014-22.2332625985585i</v>
      </c>
      <c r="AQ118" s="50">
        <f t="shared" si="135"/>
        <v>37.580037799064293</v>
      </c>
      <c r="AR118" s="62">
        <f t="shared" si="136"/>
        <v>-17.083547067125643</v>
      </c>
      <c r="AS118" s="32" t="str">
        <f t="shared" si="112"/>
        <v>-0.0000166666666666667</v>
      </c>
      <c r="AT118" s="32" t="str">
        <f t="shared" si="113"/>
        <v>2.13628300444106E-06i</v>
      </c>
      <c r="AU118" s="32">
        <f t="shared" si="137"/>
        <v>2.1362830044410602E-6</v>
      </c>
      <c r="AV118" s="32">
        <f t="shared" si="138"/>
        <v>1.5707963267948966</v>
      </c>
      <c r="AW118" s="32" t="str">
        <f t="shared" si="114"/>
        <v>1+0.00217102532319841i</v>
      </c>
      <c r="AX118" s="32">
        <f t="shared" si="139"/>
        <v>1.0000023566727001</v>
      </c>
      <c r="AY118" s="32">
        <f t="shared" si="140"/>
        <v>2.1710219122732968E-3</v>
      </c>
      <c r="AZ118" s="32" t="str">
        <f t="shared" si="115"/>
        <v>1+0.0738148609887458i</v>
      </c>
      <c r="BA118" s="32">
        <f t="shared" si="141"/>
        <v>1.0027206159757502</v>
      </c>
      <c r="BB118" s="32">
        <f t="shared" si="142"/>
        <v>7.3681234187785244E-2</v>
      </c>
      <c r="BC118" s="59" t="str">
        <f t="shared" si="143"/>
        <v>-0.558942002188383+7.8029263739025i</v>
      </c>
      <c r="BD118" s="50">
        <f t="shared" si="144"/>
        <v>17.867377697445207</v>
      </c>
      <c r="BE118" s="62">
        <f t="shared" si="145"/>
        <v>94.097233355471445</v>
      </c>
      <c r="BF118" s="59" t="str">
        <f t="shared" si="146"/>
        <v>48.150715587881+202.997799829666i</v>
      </c>
      <c r="BG118" s="65">
        <f t="shared" si="147"/>
        <v>46.387547258850852</v>
      </c>
      <c r="BH118" s="62">
        <f t="shared" si="148"/>
        <v>76.656150476343853</v>
      </c>
      <c r="BI118" s="59" t="str">
        <f t="shared" si="152"/>
        <v>133.048264638323+576.924051769943i</v>
      </c>
      <c r="BJ118" s="65">
        <f t="shared" si="149"/>
        <v>55.4474154965095</v>
      </c>
      <c r="BK118" s="62">
        <f t="shared" si="153"/>
        <v>77.013686288345824</v>
      </c>
      <c r="BL118" s="50">
        <f t="shared" si="150"/>
        <v>46.387547258850852</v>
      </c>
      <c r="BM118" s="62">
        <f t="shared" si="151"/>
        <v>76.656150476343853</v>
      </c>
    </row>
    <row r="119" spans="14:65" x14ac:dyDescent="0.3">
      <c r="N119" s="11">
        <v>1</v>
      </c>
      <c r="O119" s="51">
        <f>10^(2+(N119/100))</f>
        <v>102.32929922807544</v>
      </c>
      <c r="P119" s="49" t="str">
        <f t="shared" si="103"/>
        <v>27.9103246607183</v>
      </c>
      <c r="Q119" s="18" t="str">
        <f t="shared" si="104"/>
        <v>1+0.315832941067632i</v>
      </c>
      <c r="R119" s="18">
        <f t="shared" si="117"/>
        <v>1.0486898715365902</v>
      </c>
      <c r="S119" s="18">
        <f t="shared" si="118"/>
        <v>0.30591839666819765</v>
      </c>
      <c r="T119" s="18" t="str">
        <f t="shared" si="105"/>
        <v>1+0.000282899737737684i</v>
      </c>
      <c r="U119" s="18">
        <f t="shared" si="119"/>
        <v>1.00000004001613</v>
      </c>
      <c r="V119" s="18">
        <f t="shared" si="120"/>
        <v>2.8289973019064908E-4</v>
      </c>
      <c r="W119" s="32" t="str">
        <f t="shared" si="106"/>
        <v>1-0.00373072044715801i</v>
      </c>
      <c r="X119" s="18">
        <f t="shared" si="121"/>
        <v>1.0000069591133129</v>
      </c>
      <c r="Y119" s="18">
        <f t="shared" si="122"/>
        <v>-3.7307031389047719E-3</v>
      </c>
      <c r="Z119" s="32" t="str">
        <f t="shared" si="107"/>
        <v>0.999999783651126+0.00170601985438402i</v>
      </c>
      <c r="AA119" s="18">
        <f t="shared" si="123"/>
        <v>1.0000012389022539</v>
      </c>
      <c r="AB119" s="18">
        <f t="shared" si="124"/>
        <v>1.7060185683556663E-3</v>
      </c>
      <c r="AC119" s="67" t="str">
        <f t="shared" si="125"/>
        <v>25.3372788683994-8.14619234005781i</v>
      </c>
      <c r="AD119" s="65">
        <f t="shared" si="126"/>
        <v>28.502406329181198</v>
      </c>
      <c r="AE119" s="62">
        <f t="shared" si="127"/>
        <v>-17.823125252144578</v>
      </c>
      <c r="AF119" s="50" t="str">
        <f t="shared" si="108"/>
        <v>79.1527877025864</v>
      </c>
      <c r="AG119" s="50" t="str">
        <f t="shared" si="109"/>
        <v>1+0.313365863340203i</v>
      </c>
      <c r="AH119" s="50">
        <f t="shared" si="128"/>
        <v>1.0479495046551388</v>
      </c>
      <c r="AI119" s="50">
        <f t="shared" si="129"/>
        <v>0.30367350304098795</v>
      </c>
      <c r="AJ119" s="50" t="str">
        <f t="shared" si="110"/>
        <v>1+0.000282899737737684i</v>
      </c>
      <c r="AK119" s="50">
        <f t="shared" si="130"/>
        <v>1.00000004001613</v>
      </c>
      <c r="AL119" s="50">
        <f t="shared" si="131"/>
        <v>2.8289973019064908E-4</v>
      </c>
      <c r="AM119" s="50" t="str">
        <f t="shared" si="111"/>
        <v>1-0.00130522372843338i</v>
      </c>
      <c r="AN119" s="50">
        <f t="shared" si="132"/>
        <v>1.0000008518041279</v>
      </c>
      <c r="AO119" s="50">
        <f t="shared" si="133"/>
        <v>-1.3052229872371822E-3</v>
      </c>
      <c r="AP119" s="59" t="str">
        <f t="shared" si="134"/>
        <v>72.0520776670957-22.6595813174036i</v>
      </c>
      <c r="AQ119" s="50">
        <f t="shared" si="135"/>
        <v>37.562524911916093</v>
      </c>
      <c r="AR119" s="62">
        <f t="shared" si="136"/>
        <v>-17.457784882128614</v>
      </c>
      <c r="AS119" s="32" t="str">
        <f t="shared" si="112"/>
        <v>-0.0000166666666666667</v>
      </c>
      <c r="AT119" s="32" t="str">
        <f t="shared" si="113"/>
        <v>2.18604342797301E-06i</v>
      </c>
      <c r="AU119" s="32">
        <f t="shared" si="137"/>
        <v>2.18604342797301E-6</v>
      </c>
      <c r="AV119" s="32">
        <f t="shared" si="138"/>
        <v>1.5707963267948966</v>
      </c>
      <c r="AW119" s="32" t="str">
        <f t="shared" si="114"/>
        <v>1+0.00222159499929299i</v>
      </c>
      <c r="AX119" s="32">
        <f t="shared" si="139"/>
        <v>1.0000024677391255</v>
      </c>
      <c r="AY119" s="32">
        <f t="shared" si="140"/>
        <v>2.2215913444213692E-3</v>
      </c>
      <c r="AZ119" s="32" t="str">
        <f t="shared" si="115"/>
        <v>1+0.0755342299759616i</v>
      </c>
      <c r="BA119" s="32">
        <f t="shared" si="141"/>
        <v>1.0028486525383886</v>
      </c>
      <c r="BB119" s="32">
        <f t="shared" si="142"/>
        <v>7.5391068236474318E-2</v>
      </c>
      <c r="BC119" s="59" t="str">
        <f t="shared" si="143"/>
        <v>-0.558941878029316+7.62536597230977i</v>
      </c>
      <c r="BD119" s="50">
        <f t="shared" si="144"/>
        <v>17.668485755966966</v>
      </c>
      <c r="BE119" s="62">
        <f t="shared" si="145"/>
        <v>94.192302215094642</v>
      </c>
      <c r="BF119" s="59" t="str">
        <f t="shared" si="146"/>
        <v>47.9556316389117+197.759272159356i</v>
      </c>
      <c r="BG119" s="65">
        <f t="shared" si="147"/>
        <v>46.170892085148161</v>
      </c>
      <c r="BH119" s="62">
        <f t="shared" si="148"/>
        <v>76.36917696295005</v>
      </c>
      <c r="BI119" s="59" t="str">
        <f t="shared" si="152"/>
        <v>132.514676717355+562.0888502138i</v>
      </c>
      <c r="BJ119" s="65">
        <f t="shared" si="149"/>
        <v>55.231010667883062</v>
      </c>
      <c r="BK119" s="62">
        <f t="shared" si="153"/>
        <v>76.734517332966035</v>
      </c>
      <c r="BL119" s="50">
        <f t="shared" si="150"/>
        <v>46.170892085148161</v>
      </c>
      <c r="BM119" s="62">
        <f t="shared" si="151"/>
        <v>76.36917696295005</v>
      </c>
    </row>
    <row r="120" spans="14:65" x14ac:dyDescent="0.3">
      <c r="N120" s="11">
        <v>2</v>
      </c>
      <c r="O120" s="51">
        <f t="shared" ref="O120:O183" si="154">10^(2+(N120/100))</f>
        <v>104.71285480508998</v>
      </c>
      <c r="P120" s="49" t="str">
        <f t="shared" si="103"/>
        <v>27.9103246607183</v>
      </c>
      <c r="Q120" s="18" t="str">
        <f t="shared" si="104"/>
        <v>1+0.323189635325929i</v>
      </c>
      <c r="R120" s="18">
        <f t="shared" si="117"/>
        <v>1.0509288940656769</v>
      </c>
      <c r="S120" s="18">
        <f t="shared" si="118"/>
        <v>0.31259361578870815</v>
      </c>
      <c r="T120" s="18" t="str">
        <f t="shared" si="105"/>
        <v>1+0.000289489319145036i</v>
      </c>
      <c r="U120" s="18">
        <f t="shared" si="119"/>
        <v>1.0000000419020321</v>
      </c>
      <c r="V120" s="18">
        <f t="shared" si="120"/>
        <v>2.894893110582424E-4</v>
      </c>
      <c r="W120" s="32" t="str">
        <f t="shared" si="106"/>
        <v>1-0.00381762008973531i</v>
      </c>
      <c r="X120" s="18">
        <f t="shared" si="121"/>
        <v>1.0000072870850241</v>
      </c>
      <c r="Y120" s="18">
        <f t="shared" si="122"/>
        <v>-3.8176015436151246E-3</v>
      </c>
      <c r="Z120" s="32" t="str">
        <f t="shared" si="107"/>
        <v>0.999999773454918+0.001745758161683i</v>
      </c>
      <c r="AA120" s="18">
        <f t="shared" si="123"/>
        <v>1.0000012972898817</v>
      </c>
      <c r="AB120" s="18">
        <f t="shared" si="124"/>
        <v>1.745756783678887E-3</v>
      </c>
      <c r="AC120" s="67" t="str">
        <f t="shared" si="125"/>
        <v>25.2274832796343-8.30045672328972i</v>
      </c>
      <c r="AD120" s="65">
        <f t="shared" si="126"/>
        <v>28.483883505048304</v>
      </c>
      <c r="AE120" s="62">
        <f t="shared" si="127"/>
        <v>-18.212465323762132</v>
      </c>
      <c r="AF120" s="50" t="str">
        <f t="shared" si="108"/>
        <v>79.1527877025864</v>
      </c>
      <c r="AG120" s="50" t="str">
        <f t="shared" si="109"/>
        <v>1+0.320665091976039i</v>
      </c>
      <c r="AH120" s="50">
        <f t="shared" si="128"/>
        <v>1.05015527481035</v>
      </c>
      <c r="AI120" s="50">
        <f t="shared" si="129"/>
        <v>0.31030614076657215</v>
      </c>
      <c r="AJ120" s="50" t="str">
        <f t="shared" si="110"/>
        <v>1+0.000289489319145036i</v>
      </c>
      <c r="AK120" s="50">
        <f t="shared" si="130"/>
        <v>1.0000000419020321</v>
      </c>
      <c r="AL120" s="50">
        <f t="shared" si="131"/>
        <v>2.894893110582424E-4</v>
      </c>
      <c r="AM120" s="50" t="str">
        <f t="shared" si="111"/>
        <v>1-0.00133562629466443i</v>
      </c>
      <c r="AN120" s="50">
        <f t="shared" si="132"/>
        <v>1.0000008919484018</v>
      </c>
      <c r="AO120" s="50">
        <f t="shared" si="133"/>
        <v>-1.3356255004584332E-3</v>
      </c>
      <c r="AP120" s="59" t="str">
        <f t="shared" si="134"/>
        <v>71.7486334942244-23.0900868165117i</v>
      </c>
      <c r="AQ120" s="50">
        <f t="shared" si="135"/>
        <v>37.544262048779274</v>
      </c>
      <c r="AR120" s="62">
        <f t="shared" si="136"/>
        <v>-17.839171411365541</v>
      </c>
      <c r="AS120" s="32" t="str">
        <f t="shared" si="112"/>
        <v>-0.0000166666666666667</v>
      </c>
      <c r="AT120" s="32" t="str">
        <f t="shared" si="113"/>
        <v>2.23696292066618E-06i</v>
      </c>
      <c r="AU120" s="32">
        <f t="shared" si="137"/>
        <v>2.2369629206661801E-6</v>
      </c>
      <c r="AV120" s="32">
        <f t="shared" si="138"/>
        <v>1.5707963267948966</v>
      </c>
      <c r="AW120" s="32" t="str">
        <f t="shared" si="114"/>
        <v>1+0.00227334259446248i</v>
      </c>
      <c r="AX120" s="32">
        <f t="shared" si="139"/>
        <v>1.0000025840399374</v>
      </c>
      <c r="AY120" s="32">
        <f t="shared" si="140"/>
        <v>2.273338678197527E-3</v>
      </c>
      <c r="AZ120" s="32" t="str">
        <f t="shared" si="115"/>
        <v>1+0.0772936482117244i</v>
      </c>
      <c r="BA120" s="32">
        <f t="shared" si="141"/>
        <v>1.0029827057601133</v>
      </c>
      <c r="BB120" s="32">
        <f t="shared" si="142"/>
        <v>7.7140272271542909E-2</v>
      </c>
      <c r="BC120" s="59" t="str">
        <f t="shared" si="143"/>
        <v>-0.558941748018871+7.4518486406632i</v>
      </c>
      <c r="BD120" s="50">
        <f t="shared" si="144"/>
        <v>17.469645732220847</v>
      </c>
      <c r="BE120" s="62">
        <f t="shared" si="145"/>
        <v>94.289559319984889</v>
      </c>
      <c r="BF120" s="59" t="str">
        <f t="shared" si="146"/>
        <v>47.7530535478946+192.630858774967i</v>
      </c>
      <c r="BG120" s="65">
        <f t="shared" si="147"/>
        <v>45.953529237269152</v>
      </c>
      <c r="BH120" s="62">
        <f t="shared" si="148"/>
        <v>76.077093996222757</v>
      </c>
      <c r="BI120" s="59" t="str">
        <f t="shared" si="152"/>
        <v>131.960525433191+547.565970460507i</v>
      </c>
      <c r="BJ120" s="65">
        <f t="shared" si="149"/>
        <v>55.013907781000128</v>
      </c>
      <c r="BK120" s="62">
        <f t="shared" si="153"/>
        <v>76.450387908619348</v>
      </c>
      <c r="BL120" s="50">
        <f t="shared" si="150"/>
        <v>45.953529237269152</v>
      </c>
      <c r="BM120" s="62">
        <f t="shared" si="151"/>
        <v>76.077093996222757</v>
      </c>
    </row>
    <row r="121" spans="14:65" x14ac:dyDescent="0.3">
      <c r="N121" s="11">
        <v>3</v>
      </c>
      <c r="O121" s="51">
        <f t="shared" si="154"/>
        <v>107.15193052376065</v>
      </c>
      <c r="P121" s="49" t="str">
        <f t="shared" si="103"/>
        <v>27.9103246607183</v>
      </c>
      <c r="Q121" s="18" t="str">
        <f t="shared" si="104"/>
        <v>1+0.330717689006795i</v>
      </c>
      <c r="R121" s="18">
        <f t="shared" si="117"/>
        <v>1.0532683370452163</v>
      </c>
      <c r="S121" s="18">
        <f t="shared" si="118"/>
        <v>0.31939463018016123</v>
      </c>
      <c r="T121" s="18" t="str">
        <f t="shared" si="105"/>
        <v>1+0.000296232391621242i</v>
      </c>
      <c r="U121" s="18">
        <f t="shared" si="119"/>
        <v>1.000000043876814</v>
      </c>
      <c r="V121" s="18">
        <f t="shared" si="120"/>
        <v>2.9623238295608661E-4</v>
      </c>
      <c r="W121" s="32" t="str">
        <f t="shared" si="106"/>
        <v>1-0.00390654388501637i</v>
      </c>
      <c r="X121" s="18">
        <f t="shared" si="121"/>
        <v>1.0000076305134504</v>
      </c>
      <c r="Y121" s="18">
        <f t="shared" si="122"/>
        <v>-3.906524012498744E-3</v>
      </c>
      <c r="Z121" s="32" t="str">
        <f t="shared" si="107"/>
        <v>0.999999762778177+0.00178642209306714i</v>
      </c>
      <c r="AA121" s="18">
        <f t="shared" si="123"/>
        <v>1.0000013584292298</v>
      </c>
      <c r="AB121" s="18">
        <f t="shared" si="124"/>
        <v>1.7864206165092379E-3</v>
      </c>
      <c r="AC121" s="67" t="str">
        <f t="shared" si="125"/>
        <v>25.1135105421346-8.4561063804193i</v>
      </c>
      <c r="AD121" s="65">
        <f t="shared" si="126"/>
        <v>28.464572050865911</v>
      </c>
      <c r="AE121" s="62">
        <f t="shared" si="127"/>
        <v>-18.609173143410327</v>
      </c>
      <c r="AF121" s="50" t="str">
        <f t="shared" si="108"/>
        <v>79.1527877025864</v>
      </c>
      <c r="AG121" s="50" t="str">
        <f t="shared" si="109"/>
        <v>1+0.328134341488144i</v>
      </c>
      <c r="AH121" s="50">
        <f t="shared" si="128"/>
        <v>1.0524600448776467</v>
      </c>
      <c r="AI121" s="50">
        <f t="shared" si="129"/>
        <v>0.31706418667389358</v>
      </c>
      <c r="AJ121" s="50" t="str">
        <f t="shared" si="110"/>
        <v>1+0.000296232391621242i</v>
      </c>
      <c r="AK121" s="50">
        <f t="shared" si="130"/>
        <v>1.000000043876814</v>
      </c>
      <c r="AL121" s="50">
        <f t="shared" si="131"/>
        <v>2.9623238295608661E-4</v>
      </c>
      <c r="AM121" s="50" t="str">
        <f t="shared" si="111"/>
        <v>1-0.00136673702763602i</v>
      </c>
      <c r="AN121" s="50">
        <f t="shared" si="132"/>
        <v>1.0000009339846152</v>
      </c>
      <c r="AO121" s="50">
        <f t="shared" si="133"/>
        <v>-1.3667361766290052E-3</v>
      </c>
      <c r="AP121" s="59" t="str">
        <f t="shared" si="134"/>
        <v>71.4336061292906-23.5245527335473i</v>
      </c>
      <c r="AQ121" s="50">
        <f t="shared" si="135"/>
        <v>37.525220444365836</v>
      </c>
      <c r="AR121" s="62">
        <f t="shared" si="136"/>
        <v>-18.227775080492361</v>
      </c>
      <c r="AS121" s="32" t="str">
        <f t="shared" si="112"/>
        <v>-0.0000166666666666667</v>
      </c>
      <c r="AT121" s="32" t="str">
        <f t="shared" si="113"/>
        <v>2.28906848070959E-06i</v>
      </c>
      <c r="AU121" s="32">
        <f t="shared" si="137"/>
        <v>2.2890684807095898E-6</v>
      </c>
      <c r="AV121" s="32">
        <f t="shared" si="138"/>
        <v>1.5707963267948966</v>
      </c>
      <c r="AW121" s="32" t="str">
        <f t="shared" si="114"/>
        <v>1+0.00232629554596681i</v>
      </c>
      <c r="AX121" s="32">
        <f t="shared" si="139"/>
        <v>1.0000027058218228</v>
      </c>
      <c r="AY121" s="32">
        <f t="shared" si="140"/>
        <v>2.3262913496139214E-3</v>
      </c>
      <c r="AZ121" s="32" t="str">
        <f t="shared" si="115"/>
        <v>1+0.0790940485628714i</v>
      </c>
      <c r="BA121" s="32">
        <f t="shared" si="141"/>
        <v>1.0031230575149122</v>
      </c>
      <c r="BB121" s="32">
        <f t="shared" si="142"/>
        <v>7.8929730903658041E-2</v>
      </c>
      <c r="BC121" s="59" t="str">
        <f t="shared" si="143"/>
        <v>-0.558941611881288+7.28228237777491i</v>
      </c>
      <c r="BD121" s="50">
        <f t="shared" si="144"/>
        <v>17.270860043915143</v>
      </c>
      <c r="BE121" s="62">
        <f t="shared" si="145"/>
        <v>94.389053782632246</v>
      </c>
      <c r="BF121" s="59" t="str">
        <f t="shared" si="146"/>
        <v>47.542768416299+187.610144995562i</v>
      </c>
      <c r="BG121" s="65">
        <f t="shared" si="147"/>
        <v>45.735432094781032</v>
      </c>
      <c r="BH121" s="62">
        <f t="shared" si="148"/>
        <v>75.779880639221901</v>
      </c>
      <c r="BI121" s="59" t="str">
        <f t="shared" si="152"/>
        <v>131.385220864149+533.348542519922i</v>
      </c>
      <c r="BJ121" s="65">
        <f t="shared" si="149"/>
        <v>54.796080488280978</v>
      </c>
      <c r="BK121" s="62">
        <f t="shared" si="153"/>
        <v>76.161278702139938</v>
      </c>
      <c r="BL121" s="50">
        <f t="shared" si="150"/>
        <v>45.735432094781032</v>
      </c>
      <c r="BM121" s="62">
        <f t="shared" si="151"/>
        <v>75.779880639221901</v>
      </c>
    </row>
    <row r="122" spans="14:65" x14ac:dyDescent="0.3">
      <c r="N122" s="11">
        <v>4</v>
      </c>
      <c r="O122" s="51">
        <f t="shared" si="154"/>
        <v>109.64781961431861</v>
      </c>
      <c r="P122" s="49" t="str">
        <f t="shared" si="103"/>
        <v>27.9103246607183</v>
      </c>
      <c r="Q122" s="18" t="str">
        <f t="shared" si="104"/>
        <v>1+0.338421093583939i</v>
      </c>
      <c r="R122" s="18">
        <f t="shared" si="117"/>
        <v>1.0557124781788596</v>
      </c>
      <c r="S122" s="18">
        <f t="shared" si="118"/>
        <v>0.32632252838513165</v>
      </c>
      <c r="T122" s="18" t="str">
        <f t="shared" si="105"/>
        <v>1+0.000303132530432584i</v>
      </c>
      <c r="U122" s="18">
        <f t="shared" si="119"/>
        <v>1.0000000459446645</v>
      </c>
      <c r="V122" s="18">
        <f t="shared" si="120"/>
        <v>3.0313252114770269E-4</v>
      </c>
      <c r="W122" s="32" t="str">
        <f t="shared" si="106"/>
        <v>1-0.00399753898157448i</v>
      </c>
      <c r="X122" s="18">
        <f t="shared" si="121"/>
        <v>1.0000079901270336</v>
      </c>
      <c r="Y122" s="18">
        <f t="shared" si="122"/>
        <v>-3.9975176877973884E-3</v>
      </c>
      <c r="Z122" s="32" t="str">
        <f t="shared" si="107"/>
        <v>0.999999751598257+0.00182803320909112i</v>
      </c>
      <c r="AA122" s="18">
        <f t="shared" si="123"/>
        <v>1.0000014224499831</v>
      </c>
      <c r="AB122" s="18">
        <f t="shared" si="124"/>
        <v>1.8280316269309431E-3</v>
      </c>
      <c r="AC122" s="67" t="str">
        <f t="shared" si="125"/>
        <v>24.9952455156113-8.61305100334939i</v>
      </c>
      <c r="AD122" s="65">
        <f t="shared" si="126"/>
        <v>28.444442115882257</v>
      </c>
      <c r="AE122" s="62">
        <f t="shared" si="127"/>
        <v>-19.013314811490375</v>
      </c>
      <c r="AF122" s="50" t="str">
        <f t="shared" si="108"/>
        <v>79.1527877025864</v>
      </c>
      <c r="AG122" s="50" t="str">
        <f t="shared" si="109"/>
        <v>1+0.335777572171477i</v>
      </c>
      <c r="AH122" s="50">
        <f t="shared" si="128"/>
        <v>1.0548680381798339</v>
      </c>
      <c r="AI122" s="50">
        <f t="shared" si="129"/>
        <v>0.32394875393033995</v>
      </c>
      <c r="AJ122" s="50" t="str">
        <f t="shared" si="110"/>
        <v>1+0.000303132530432584i</v>
      </c>
      <c r="AK122" s="50">
        <f t="shared" si="130"/>
        <v>1.0000000459446645</v>
      </c>
      <c r="AL122" s="50">
        <f t="shared" si="131"/>
        <v>3.0313252114770269E-4</v>
      </c>
      <c r="AM122" s="50" t="str">
        <f t="shared" si="111"/>
        <v>1-0.00139857242267057i</v>
      </c>
      <c r="AN122" s="50">
        <f t="shared" si="132"/>
        <v>1.0000009780019326</v>
      </c>
      <c r="AO122" s="50">
        <f t="shared" si="133"/>
        <v>-1.3985715108001729E-3</v>
      </c>
      <c r="AP122" s="59" t="str">
        <f t="shared" si="134"/>
        <v>71.1066729111691-23.9627331165349i</v>
      </c>
      <c r="AQ122" s="50">
        <f t="shared" si="135"/>
        <v>37.505370520121154</v>
      </c>
      <c r="AR122" s="62">
        <f t="shared" si="136"/>
        <v>-18.623660409551643</v>
      </c>
      <c r="AS122" s="32" t="str">
        <f t="shared" si="112"/>
        <v>-0.0000166666666666667</v>
      </c>
      <c r="AT122" s="32" t="str">
        <f t="shared" si="113"/>
        <v>2.34238773516088E-06i</v>
      </c>
      <c r="AU122" s="32">
        <f t="shared" si="137"/>
        <v>2.3423877351608798E-6</v>
      </c>
      <c r="AV122" s="32">
        <f t="shared" si="138"/>
        <v>1.5707963267948966</v>
      </c>
      <c r="AW122" s="32" t="str">
        <f t="shared" si="114"/>
        <v>1+0.00238048193016176i</v>
      </c>
      <c r="AX122" s="32">
        <f t="shared" si="139"/>
        <v>1.0000028333430959</v>
      </c>
      <c r="AY122" s="32">
        <f t="shared" si="140"/>
        <v>2.3804774336893169E-3</v>
      </c>
      <c r="AZ122" s="32" t="str">
        <f t="shared" si="115"/>
        <v>1+0.0809363856254999i</v>
      </c>
      <c r="BA122" s="32">
        <f t="shared" si="141"/>
        <v>1.0032700027999042</v>
      </c>
      <c r="BB122" s="32">
        <f t="shared" si="142"/>
        <v>8.0760347060777282E-2</v>
      </c>
      <c r="BC122" s="59" t="str">
        <f t="shared" si="143"/>
        <v>-0.558941469327806+7.11657727736586i</v>
      </c>
      <c r="BD122" s="50">
        <f t="shared" si="144"/>
        <v>17.072131219920028</v>
      </c>
      <c r="BE122" s="62">
        <f t="shared" si="145"/>
        <v>94.490835728417764</v>
      </c>
      <c r="BF122" s="59" t="str">
        <f t="shared" si="146"/>
        <v>47.3245638045245+182.694787661788i</v>
      </c>
      <c r="BG122" s="65">
        <f t="shared" si="147"/>
        <v>45.516573335802299</v>
      </c>
      <c r="BH122" s="62">
        <f t="shared" si="148"/>
        <v>75.477520916927404</v>
      </c>
      <c r="BI122" s="59" t="str">
        <f t="shared" si="152"/>
        <v>130.788173764734+519.429897965979i</v>
      </c>
      <c r="BJ122" s="65">
        <f t="shared" si="149"/>
        <v>54.577501740041185</v>
      </c>
      <c r="BK122" s="62">
        <f t="shared" si="153"/>
        <v>75.867175318866146</v>
      </c>
      <c r="BL122" s="50">
        <f t="shared" si="150"/>
        <v>45.516573335802299</v>
      </c>
      <c r="BM122" s="62">
        <f t="shared" si="151"/>
        <v>75.477520916927404</v>
      </c>
    </row>
    <row r="123" spans="14:65" x14ac:dyDescent="0.3">
      <c r="N123" s="11">
        <v>5</v>
      </c>
      <c r="O123" s="51">
        <f t="shared" si="154"/>
        <v>112.20184543019634</v>
      </c>
      <c r="P123" s="49" t="str">
        <f t="shared" si="103"/>
        <v>27.9103246607183</v>
      </c>
      <c r="Q123" s="18" t="str">
        <f t="shared" si="104"/>
        <v>1+0.346303933504434i</v>
      </c>
      <c r="R123" s="18">
        <f t="shared" si="117"/>
        <v>1.0582657579080235</v>
      </c>
      <c r="S123" s="18">
        <f t="shared" si="118"/>
        <v>0.33337832269884948</v>
      </c>
      <c r="T123" s="18" t="str">
        <f t="shared" si="105"/>
        <v>1+0.000310193394123996i</v>
      </c>
      <c r="U123" s="18">
        <f t="shared" si="119"/>
        <v>1.0000000481099698</v>
      </c>
      <c r="V123" s="18">
        <f t="shared" si="120"/>
        <v>3.1019338417506644E-4</v>
      </c>
      <c r="W123" s="32" t="str">
        <f t="shared" si="106"/>
        <v>1-0.00409065362621431i</v>
      </c>
      <c r="X123" s="18">
        <f t="shared" si="121"/>
        <v>1.0000083666885442</v>
      </c>
      <c r="Y123" s="18">
        <f t="shared" si="122"/>
        <v>-4.0906308095313851E-3</v>
      </c>
      <c r="Z123" s="32" t="str">
        <f t="shared" si="107"/>
        <v>0.999999739891444+0.00187061357251945i</v>
      </c>
      <c r="AA123" s="18">
        <f t="shared" si="123"/>
        <v>1.0000014894879372</v>
      </c>
      <c r="AB123" s="18">
        <f t="shared" si="124"/>
        <v>1.8706118772044108E-3</v>
      </c>
      <c r="AC123" s="67" t="str">
        <f t="shared" si="125"/>
        <v>24.8725736694534-8.77119297162904i</v>
      </c>
      <c r="AD123" s="65">
        <f t="shared" si="126"/>
        <v>28.423463039755305</v>
      </c>
      <c r="AE123" s="62">
        <f t="shared" si="127"/>
        <v>-19.424952146651563</v>
      </c>
      <c r="AF123" s="50" t="str">
        <f t="shared" si="108"/>
        <v>79.1527877025864</v>
      </c>
      <c r="AG123" s="50" t="str">
        <f t="shared" si="109"/>
        <v>1+0.343598836568118i</v>
      </c>
      <c r="AH123" s="50">
        <f t="shared" si="128"/>
        <v>1.0573836392203939</v>
      </c>
      <c r="AI123" s="50">
        <f t="shared" si="129"/>
        <v>0.33096088146659597</v>
      </c>
      <c r="AJ123" s="50" t="str">
        <f t="shared" si="110"/>
        <v>1+0.000310193394123996i</v>
      </c>
      <c r="AK123" s="50">
        <f t="shared" si="130"/>
        <v>1.0000000481099698</v>
      </c>
      <c r="AL123" s="50">
        <f t="shared" si="131"/>
        <v>3.1019338417506644E-4</v>
      </c>
      <c r="AM123" s="50" t="str">
        <f t="shared" si="111"/>
        <v>1-0.00143114935931591i</v>
      </c>
      <c r="AN123" s="50">
        <f t="shared" si="132"/>
        <v>1.0000010240937198</v>
      </c>
      <c r="AO123" s="50">
        <f t="shared" si="133"/>
        <v>-1.4311483822292295E-3</v>
      </c>
      <c r="AP123" s="59" t="str">
        <f t="shared" si="134"/>
        <v>70.7675125323537-24.4043617624732i</v>
      </c>
      <c r="AQ123" s="50">
        <f t="shared" si="135"/>
        <v>37.484681886379903</v>
      </c>
      <c r="AR123" s="62">
        <f t="shared" si="136"/>
        <v>-19.026887682378035</v>
      </c>
      <c r="AS123" s="32" t="str">
        <f t="shared" si="112"/>
        <v>-0.0000166666666666667</v>
      </c>
      <c r="AT123" s="32" t="str">
        <f t="shared" si="113"/>
        <v>2.39694895459451E-06i</v>
      </c>
      <c r="AU123" s="32">
        <f t="shared" si="137"/>
        <v>2.3969489545945102E-6</v>
      </c>
      <c r="AV123" s="32">
        <f t="shared" si="138"/>
        <v>1.5707963267948966</v>
      </c>
      <c r="AW123" s="32" t="str">
        <f t="shared" si="114"/>
        <v>1+0.0024359304773855i</v>
      </c>
      <c r="AX123" s="32">
        <f t="shared" si="139"/>
        <v>1.0000029668742441</v>
      </c>
      <c r="AY123" s="32">
        <f t="shared" si="140"/>
        <v>2.4359256593292434E-3</v>
      </c>
      <c r="AZ123" s="32" t="str">
        <f t="shared" si="115"/>
        <v>1+0.0828216362311069i</v>
      </c>
      <c r="BA123" s="32">
        <f t="shared" si="141"/>
        <v>1.003423850338429</v>
      </c>
      <c r="BB123" s="32">
        <f t="shared" si="142"/>
        <v>8.2633042255010905E-2</v>
      </c>
      <c r="BC123" s="59" t="str">
        <f t="shared" si="143"/>
        <v>-0.558941320056069+6.95464548039635i</v>
      </c>
      <c r="BD123" s="50">
        <f t="shared" si="144"/>
        <v>16.873461905242003</v>
      </c>
      <c r="BE123" s="62">
        <f t="shared" si="145"/>
        <v>94.594956310051117</v>
      </c>
      <c r="BF123" s="59" t="str">
        <f t="shared" si="146"/>
        <v>47.098228397828+177.882514234118i</v>
      </c>
      <c r="BG123" s="65">
        <f t="shared" si="147"/>
        <v>45.296924944997301</v>
      </c>
      <c r="BH123" s="62">
        <f t="shared" si="148"/>
        <v>75.170004163399554</v>
      </c>
      <c r="BI123" s="59" t="str">
        <f t="shared" si="152"/>
        <v>130.168797361424+505.803567370668i</v>
      </c>
      <c r="BJ123" s="65">
        <f t="shared" si="149"/>
        <v>54.358143791621899</v>
      </c>
      <c r="BK123" s="62">
        <f t="shared" si="153"/>
        <v>75.568068627673043</v>
      </c>
      <c r="BL123" s="50">
        <f t="shared" si="150"/>
        <v>45.296924944997301</v>
      </c>
      <c r="BM123" s="62">
        <f t="shared" si="151"/>
        <v>75.170004163399554</v>
      </c>
    </row>
    <row r="124" spans="14:65" x14ac:dyDescent="0.3">
      <c r="N124" s="11">
        <v>6</v>
      </c>
      <c r="O124" s="51">
        <f t="shared" si="154"/>
        <v>114.81536214968835</v>
      </c>
      <c r="P124" s="49" t="str">
        <f t="shared" si="103"/>
        <v>27.9103246607183</v>
      </c>
      <c r="Q124" s="18" t="str">
        <f t="shared" si="104"/>
        <v>1+0.354370388354348i</v>
      </c>
      <c r="R124" s="18">
        <f t="shared" si="117"/>
        <v>1.0609327839888876</v>
      </c>
      <c r="S124" s="18">
        <f t="shared" si="118"/>
        <v>0.34056294314389884</v>
      </c>
      <c r="T124" s="18" t="str">
        <f t="shared" si="105"/>
        <v>1+0.000317418726458867i</v>
      </c>
      <c r="U124" s="18">
        <f t="shared" si="119"/>
        <v>1.0000000503773228</v>
      </c>
      <c r="V124" s="18">
        <f t="shared" si="120"/>
        <v>3.1741871579839698E-4</v>
      </c>
      <c r="W124" s="32" t="str">
        <f t="shared" si="106"/>
        <v>1-0.00418593718955296i</v>
      </c>
      <c r="X124" s="18">
        <f t="shared" si="121"/>
        <v>1.0000087609966999</v>
      </c>
      <c r="Y124" s="18">
        <f t="shared" si="122"/>
        <v>-4.185912741048293E-3</v>
      </c>
      <c r="Z124" s="32" t="str">
        <f t="shared" si="107"/>
        <v>0.999999727632905+0.00191418576002442i</v>
      </c>
      <c r="AA124" s="18">
        <f t="shared" si="123"/>
        <v>1.0000015596852878</v>
      </c>
      <c r="AB124" s="18">
        <f t="shared" si="124"/>
        <v>1.9141839434617797E-3</v>
      </c>
      <c r="AC124" s="67" t="str">
        <f t="shared" si="125"/>
        <v>24.7453814723585-8.93042713274217i</v>
      </c>
      <c r="AD124" s="65">
        <f t="shared" si="126"/>
        <v>28.401603358219276</v>
      </c>
      <c r="AE124" s="62">
        <f t="shared" si="127"/>
        <v>-19.844142342589681</v>
      </c>
      <c r="AF124" s="50" t="str">
        <f t="shared" si="108"/>
        <v>79.1527877025864</v>
      </c>
      <c r="AG124" s="50" t="str">
        <f t="shared" si="109"/>
        <v>1+0.351602281615975i</v>
      </c>
      <c r="AH124" s="50">
        <f t="shared" si="128"/>
        <v>1.0600113982583204</v>
      </c>
      <c r="AI124" s="50">
        <f t="shared" si="129"/>
        <v>0.3381015280127202</v>
      </c>
      <c r="AJ124" s="50" t="str">
        <f t="shared" si="110"/>
        <v>1+0.000317418726458867i</v>
      </c>
      <c r="AK124" s="50">
        <f t="shared" si="130"/>
        <v>1.0000000503773228</v>
      </c>
      <c r="AL124" s="50">
        <f t="shared" si="131"/>
        <v>3.1741871579839698E-4</v>
      </c>
      <c r="AM124" s="50" t="str">
        <f t="shared" si="111"/>
        <v>1-0.00146448511029506i</v>
      </c>
      <c r="AN124" s="50">
        <f t="shared" si="132"/>
        <v>1.0000010723577442</v>
      </c>
      <c r="AO124" s="50">
        <f t="shared" si="133"/>
        <v>-1.4644840633278797E-3</v>
      </c>
      <c r="AP124" s="59" t="str">
        <f t="shared" si="134"/>
        <v>70.4158061021364-24.8491515892998i</v>
      </c>
      <c r="AQ124" s="50">
        <f t="shared" si="135"/>
        <v>37.463123347099106</v>
      </c>
      <c r="AR124" s="62">
        <f t="shared" si="136"/>
        <v>-19.437512605292177</v>
      </c>
      <c r="AS124" s="32" t="str">
        <f t="shared" si="112"/>
        <v>-0.0000166666666666667</v>
      </c>
      <c r="AT124" s="32" t="str">
        <f t="shared" si="113"/>
        <v>2.45278106809125E-06i</v>
      </c>
      <c r="AU124" s="32">
        <f t="shared" si="137"/>
        <v>2.45278106809125E-6</v>
      </c>
      <c r="AV124" s="32">
        <f t="shared" si="138"/>
        <v>1.5707963267948966</v>
      </c>
      <c r="AW124" s="32" t="str">
        <f t="shared" si="114"/>
        <v>1+0.00249267058719169i</v>
      </c>
      <c r="AX124" s="32">
        <f t="shared" si="139"/>
        <v>1.0000031066985025</v>
      </c>
      <c r="AY124" s="32">
        <f t="shared" si="140"/>
        <v>2.4926654245522638E-3</v>
      </c>
      <c r="AZ124" s="32" t="str">
        <f t="shared" si="115"/>
        <v>1+0.0847507999645175i</v>
      </c>
      <c r="BA124" s="32">
        <f t="shared" si="141"/>
        <v>1.0035849232101017</v>
      </c>
      <c r="BB124" s="32">
        <f t="shared" si="142"/>
        <v>8.4548756844730399E-2</v>
      </c>
      <c r="BC124" s="59" t="str">
        <f t="shared" si="143"/>
        <v>-0.558941163749453+6.79640112848183i</v>
      </c>
      <c r="BD124" s="50">
        <f t="shared" si="144"/>
        <v>16.674854866207586</v>
      </c>
      <c r="BE124" s="62">
        <f t="shared" si="145"/>
        <v>94.701467721715844</v>
      </c>
      <c r="BF124" s="59" t="str">
        <f t="shared" si="146"/>
        <v>46.8635527252094+173.171121897805i</v>
      </c>
      <c r="BG124" s="65">
        <f t="shared" si="147"/>
        <v>45.076458224426844</v>
      </c>
      <c r="BH124" s="62">
        <f t="shared" si="148"/>
        <v>74.857325379126152</v>
      </c>
      <c r="BI124" s="59" t="str">
        <f t="shared" si="152"/>
        <v>129.526509294249+492.463277763027i</v>
      </c>
      <c r="BJ124" s="65">
        <f t="shared" si="149"/>
        <v>54.137978213306681</v>
      </c>
      <c r="BK124" s="62">
        <f t="shared" si="153"/>
        <v>75.263955116423702</v>
      </c>
      <c r="BL124" s="50">
        <f t="shared" si="150"/>
        <v>45.076458224426844</v>
      </c>
      <c r="BM124" s="62">
        <f t="shared" si="151"/>
        <v>74.857325379126152</v>
      </c>
    </row>
    <row r="125" spans="14:65" x14ac:dyDescent="0.3">
      <c r="N125" s="11">
        <v>7</v>
      </c>
      <c r="O125" s="51">
        <f t="shared" si="154"/>
        <v>117.48975549395293</v>
      </c>
      <c r="P125" s="49" t="str">
        <f t="shared" si="103"/>
        <v>27.9103246607183</v>
      </c>
      <c r="Q125" s="18" t="str">
        <f t="shared" si="104"/>
        <v>1+0.362624735074813i</v>
      </c>
      <c r="R125" s="18">
        <f t="shared" si="117"/>
        <v>1.0637183360683777</v>
      </c>
      <c r="S125" s="18">
        <f t="shared" si="118"/>
        <v>0.34787723127266745</v>
      </c>
      <c r="T125" s="18" t="str">
        <f t="shared" si="105"/>
        <v>1+0.00032481235840404i</v>
      </c>
      <c r="U125" s="18">
        <f t="shared" si="119"/>
        <v>1.0000000527515327</v>
      </c>
      <c r="V125" s="18">
        <f t="shared" si="120"/>
        <v>3.248123469811406E-4</v>
      </c>
      <c r="W125" s="32" t="str">
        <f t="shared" si="106"/>
        <v>1-0.00428344019219693i</v>
      </c>
      <c r="X125" s="18">
        <f t="shared" si="121"/>
        <v>1.00000917388786</v>
      </c>
      <c r="Y125" s="18">
        <f t="shared" si="122"/>
        <v>-4.283413995165174E-3</v>
      </c>
      <c r="Z125" s="32" t="str">
        <f t="shared" si="107"/>
        <v>0.99999971479664+0.00195877287415659i</v>
      </c>
      <c r="AA125" s="18">
        <f t="shared" si="123"/>
        <v>1.0000016331909332</v>
      </c>
      <c r="AB125" s="18">
        <f t="shared" si="124"/>
        <v>1.9587709276748205E-3</v>
      </c>
      <c r="AC125" s="67" t="str">
        <f t="shared" si="125"/>
        <v>24.6135568110821-9.09064059786266i</v>
      </c>
      <c r="AD125" s="65">
        <f t="shared" si="126"/>
        <v>28.378830811600974</v>
      </c>
      <c r="AE125" s="62">
        <f t="shared" si="127"/>
        <v>-20.270937615023463</v>
      </c>
      <c r="AF125" s="50" t="str">
        <f t="shared" si="108"/>
        <v>79.1527877025864</v>
      </c>
      <c r="AG125" s="50" t="str">
        <f t="shared" si="109"/>
        <v>1+0.359792150847551i</v>
      </c>
      <c r="AH125" s="50">
        <f t="shared" si="128"/>
        <v>1.0627560358857093</v>
      </c>
      <c r="AI125" s="50">
        <f t="shared" si="129"/>
        <v>0.3453715659578408</v>
      </c>
      <c r="AJ125" s="50" t="str">
        <f t="shared" si="110"/>
        <v>1+0.00032481235840404i</v>
      </c>
      <c r="AK125" s="50">
        <f t="shared" si="130"/>
        <v>1.0000000527515327</v>
      </c>
      <c r="AL125" s="50">
        <f t="shared" si="131"/>
        <v>3.248123469811406E-4</v>
      </c>
      <c r="AM125" s="50" t="str">
        <f t="shared" si="111"/>
        <v>1-0.00149859735066444i</v>
      </c>
      <c r="AN125" s="50">
        <f t="shared" si="132"/>
        <v>1.0000011228963792</v>
      </c>
      <c r="AO125" s="50">
        <f t="shared" si="133"/>
        <v>-1.4985962288189623E-3</v>
      </c>
      <c r="AP125" s="59" t="str">
        <f t="shared" si="134"/>
        <v>70.0512382909586-25.2967940485392i</v>
      </c>
      <c r="AQ125" s="50">
        <f t="shared" si="135"/>
        <v>37.440662907370559</v>
      </c>
      <c r="AR125" s="62">
        <f t="shared" si="136"/>
        <v>-19.855585955698217</v>
      </c>
      <c r="AS125" s="32" t="str">
        <f t="shared" si="112"/>
        <v>-0.0000166666666666667</v>
      </c>
      <c r="AT125" s="32" t="str">
        <f t="shared" si="113"/>
        <v>2.50991367857667E-06i</v>
      </c>
      <c r="AU125" s="32">
        <f t="shared" si="137"/>
        <v>2.5099136785766699E-6</v>
      </c>
      <c r="AV125" s="32">
        <f t="shared" si="138"/>
        <v>1.5707963267948966</v>
      </c>
      <c r="AW125" s="32" t="str">
        <f t="shared" si="114"/>
        <v>1+0.00255073234393761i</v>
      </c>
      <c r="AX125" s="32">
        <f t="shared" si="139"/>
        <v>1.0000032531124539</v>
      </c>
      <c r="AY125" s="32">
        <f t="shared" si="140"/>
        <v>2.550726812070771E-3</v>
      </c>
      <c r="AZ125" s="32" t="str">
        <f t="shared" si="115"/>
        <v>1+0.0867248996938786i</v>
      </c>
      <c r="BA125" s="32">
        <f t="shared" si="141"/>
        <v>1.0037535595089631</v>
      </c>
      <c r="BB125" s="32">
        <f t="shared" si="142"/>
        <v>8.6508450291085004E-2</v>
      </c>
      <c r="BC125" s="59" t="str">
        <f t="shared" si="143"/>
        <v>-0.55894100007643+6.64176031836995i</v>
      </c>
      <c r="BD125" s="50">
        <f t="shared" si="144"/>
        <v>16.476312995864628</v>
      </c>
      <c r="BE125" s="62">
        <f t="shared" si="145"/>
        <v>94.810423212873928</v>
      </c>
      <c r="BF125" s="59" t="str">
        <f t="shared" si="146"/>
        <v>46.6203299320228+168.558476668894i</v>
      </c>
      <c r="BG125" s="65">
        <f t="shared" si="147"/>
        <v>44.855143807465595</v>
      </c>
      <c r="BH125" s="62">
        <f t="shared" si="148"/>
        <v>74.539485597850458</v>
      </c>
      <c r="BI125" s="59" t="str">
        <f t="shared" si="152"/>
        <v>128.860733706624+479.402950097784i</v>
      </c>
      <c r="BJ125" s="65">
        <f t="shared" si="149"/>
        <v>53.916975903235176</v>
      </c>
      <c r="BK125" s="62">
        <f t="shared" si="153"/>
        <v>74.954837257175726</v>
      </c>
      <c r="BL125" s="50">
        <f t="shared" si="150"/>
        <v>44.855143807465595</v>
      </c>
      <c r="BM125" s="62">
        <f t="shared" si="151"/>
        <v>74.539485597850458</v>
      </c>
    </row>
    <row r="126" spans="14:65" x14ac:dyDescent="0.3">
      <c r="N126" s="11">
        <v>8</v>
      </c>
      <c r="O126" s="51">
        <f t="shared" si="154"/>
        <v>120.22644346174135</v>
      </c>
      <c r="P126" s="49" t="str">
        <f t="shared" si="103"/>
        <v>27.9103246607183</v>
      </c>
      <c r="Q126" s="18" t="str">
        <f t="shared" si="104"/>
        <v>1+0.371071350229722i</v>
      </c>
      <c r="R126" s="18">
        <f t="shared" si="117"/>
        <v>1.0666273702475992</v>
      </c>
      <c r="S126" s="18">
        <f t="shared" si="118"/>
        <v>0.35532193381126281</v>
      </c>
      <c r="T126" s="18" t="str">
        <f t="shared" si="105"/>
        <v>1+0.00033237821016104i</v>
      </c>
      <c r="U126" s="18">
        <f t="shared" si="119"/>
        <v>1.0000000552376358</v>
      </c>
      <c r="V126" s="18">
        <f t="shared" si="120"/>
        <v>3.3237819792118279E-4</v>
      </c>
      <c r="W126" s="32" t="str">
        <f t="shared" si="106"/>
        <v>1-0.00438321433152885i</v>
      </c>
      <c r="X126" s="18">
        <f t="shared" si="121"/>
        <v>1.0000096062377981</v>
      </c>
      <c r="Y126" s="18">
        <f t="shared" si="122"/>
        <v>-4.3831862609181481E-3</v>
      </c>
      <c r="Z126" s="32" t="str">
        <f t="shared" si="107"/>
        <v>0.999999701355419+0.00200439855559407i</v>
      </c>
      <c r="AA126" s="18">
        <f t="shared" si="123"/>
        <v>1.0000017101607861</v>
      </c>
      <c r="AB126" s="18">
        <f t="shared" si="124"/>
        <v>2.0043964699014692E-3</v>
      </c>
      <c r="AC126" s="67" t="str">
        <f t="shared" si="125"/>
        <v>24.4769894385223-9.25171255593505i</v>
      </c>
      <c r="AD126" s="65">
        <f t="shared" si="126"/>
        <v>28.355112356392507</v>
      </c>
      <c r="AE126" s="62">
        <f t="shared" si="127"/>
        <v>-20.705384839635702</v>
      </c>
      <c r="AF126" s="50" t="str">
        <f t="shared" si="108"/>
        <v>79.1527877025864</v>
      </c>
      <c r="AG126" s="50" t="str">
        <f t="shared" si="109"/>
        <v>1+0.36817278663992i</v>
      </c>
      <c r="AH126" s="50">
        <f t="shared" si="128"/>
        <v>1.0656224475968044</v>
      </c>
      <c r="AI126" s="50">
        <f t="shared" si="129"/>
        <v>0.35277177504637652</v>
      </c>
      <c r="AJ126" s="50" t="str">
        <f t="shared" si="110"/>
        <v>1+0.00033237821016104i</v>
      </c>
      <c r="AK126" s="50">
        <f t="shared" si="130"/>
        <v>1.0000000552376358</v>
      </c>
      <c r="AL126" s="50">
        <f t="shared" si="131"/>
        <v>3.3237819792118279E-4</v>
      </c>
      <c r="AM126" s="50" t="str">
        <f t="shared" si="111"/>
        <v>1-0.00153350416718543i</v>
      </c>
      <c r="AN126" s="50">
        <f t="shared" si="132"/>
        <v>1.0000011758168241</v>
      </c>
      <c r="AO126" s="50">
        <f t="shared" si="133"/>
        <v>-1.5335029651064197E-3</v>
      </c>
      <c r="AP126" s="59" t="str">
        <f t="shared" si="134"/>
        <v>69.6734985567458-25.74695858647i</v>
      </c>
      <c r="AQ126" s="50">
        <f t="shared" si="135"/>
        <v>37.41726778391893</v>
      </c>
      <c r="AR126" s="62">
        <f t="shared" si="136"/>
        <v>-20.281153221324239</v>
      </c>
      <c r="AS126" s="32" t="str">
        <f t="shared" si="112"/>
        <v>-0.0000166666666666667</v>
      </c>
      <c r="AT126" s="32" t="str">
        <f t="shared" si="113"/>
        <v>2.56837707851712E-06i</v>
      </c>
      <c r="AU126" s="32">
        <f t="shared" si="137"/>
        <v>2.5683770785171199E-6</v>
      </c>
      <c r="AV126" s="32">
        <f t="shared" si="138"/>
        <v>1.5707963267948966</v>
      </c>
      <c r="AW126" s="32" t="str">
        <f t="shared" si="114"/>
        <v>1+0.00261014653273522i</v>
      </c>
      <c r="AX126" s="32">
        <f t="shared" si="139"/>
        <v>1.0000034064266594</v>
      </c>
      <c r="AY126" s="32">
        <f t="shared" si="140"/>
        <v>2.6101406052341982E-3</v>
      </c>
      <c r="AZ126" s="32" t="str">
        <f t="shared" si="115"/>
        <v>1+0.0887449821129974i</v>
      </c>
      <c r="BA126" s="32">
        <f t="shared" si="141"/>
        <v>1.0039301130309002</v>
      </c>
      <c r="BB126" s="32">
        <f t="shared" si="142"/>
        <v>8.8513101408018754E-2</v>
      </c>
      <c r="BC126" s="59" t="str">
        <f t="shared" si="143"/>
        <v>-0.558940828689836+6.49064105745356i</v>
      </c>
      <c r="BD126" s="50">
        <f t="shared" si="144"/>
        <v>16.277839319607533</v>
      </c>
      <c r="BE126" s="62">
        <f t="shared" si="145"/>
        <v>94.921877101677282</v>
      </c>
      <c r="BF126" s="59" t="str">
        <f t="shared" si="146"/>
        <v>46.3683566067106+164.042512495344i</v>
      </c>
      <c r="BG126" s="65">
        <f t="shared" si="147"/>
        <v>44.632951676000019</v>
      </c>
      <c r="BH126" s="62">
        <f t="shared" si="148"/>
        <v>74.216492262041555</v>
      </c>
      <c r="BI126" s="59" t="str">
        <f t="shared" si="152"/>
        <v>128.170903484871+466.61669671741i</v>
      </c>
      <c r="BJ126" s="65">
        <f t="shared" si="149"/>
        <v>53.69510710352646</v>
      </c>
      <c r="BK126" s="62">
        <f t="shared" si="153"/>
        <v>74.640723880353065</v>
      </c>
      <c r="BL126" s="50">
        <f t="shared" si="150"/>
        <v>44.632951676000019</v>
      </c>
      <c r="BM126" s="62">
        <f t="shared" si="151"/>
        <v>74.216492262041555</v>
      </c>
    </row>
    <row r="127" spans="14:65" x14ac:dyDescent="0.3">
      <c r="N127" s="11">
        <v>9</v>
      </c>
      <c r="O127" s="51">
        <f t="shared" si="154"/>
        <v>123.02687708123821</v>
      </c>
      <c r="P127" s="49" t="str">
        <f t="shared" si="103"/>
        <v>27.9103246607183</v>
      </c>
      <c r="Q127" s="18" t="str">
        <f t="shared" si="104"/>
        <v>1+0.379714712326232i</v>
      </c>
      <c r="R127" s="18">
        <f t="shared" si="117"/>
        <v>1.0696650236204759</v>
      </c>
      <c r="S127" s="18">
        <f t="shared" si="118"/>
        <v>0.36289769616096657</v>
      </c>
      <c r="T127" s="18" t="str">
        <f t="shared" si="105"/>
        <v>1+0.000340120293244611i</v>
      </c>
      <c r="U127" s="18">
        <f t="shared" si="119"/>
        <v>1.0000000578409052</v>
      </c>
      <c r="V127" s="18">
        <f t="shared" si="120"/>
        <v>3.4012028012936774E-4</v>
      </c>
      <c r="W127" s="32" t="str">
        <f t="shared" si="106"/>
        <v>1-0.00448531250911804i</v>
      </c>
      <c r="X127" s="18">
        <f t="shared" si="121"/>
        <v>1.0000100589635608</v>
      </c>
      <c r="Y127" s="18">
        <f t="shared" si="122"/>
        <v>-4.4852824309331036E-3</v>
      </c>
      <c r="Z127" s="32" t="str">
        <f t="shared" si="107"/>
        <v>0.999999687280734+0.00205108699567708i</v>
      </c>
      <c r="AA127" s="18">
        <f t="shared" si="123"/>
        <v>1.0000017907581116</v>
      </c>
      <c r="AB127" s="18">
        <f t="shared" si="124"/>
        <v>2.0510847608174072E-3</v>
      </c>
      <c r="AC127" s="67" t="str">
        <f t="shared" si="125"/>
        <v>24.3355714511232-9.41351410910653i</v>
      </c>
      <c r="AD127" s="65">
        <f t="shared" si="126"/>
        <v>28.330414180087018</v>
      </c>
      <c r="AE127" s="62">
        <f t="shared" si="127"/>
        <v>-21.147525181901106</v>
      </c>
      <c r="AF127" s="50" t="str">
        <f t="shared" si="108"/>
        <v>79.1527877025864</v>
      </c>
      <c r="AG127" s="50" t="str">
        <f t="shared" si="109"/>
        <v>1+0.376748632517107i</v>
      </c>
      <c r="AH127" s="50">
        <f t="shared" si="128"/>
        <v>1.0686157083364956</v>
      </c>
      <c r="AI127" s="50">
        <f t="shared" si="129"/>
        <v>0.36030283592604695</v>
      </c>
      <c r="AJ127" s="50" t="str">
        <f t="shared" si="110"/>
        <v>1+0.000340120293244611i</v>
      </c>
      <c r="AK127" s="50">
        <f t="shared" si="130"/>
        <v>1.0000000578409052</v>
      </c>
      <c r="AL127" s="50">
        <f t="shared" si="131"/>
        <v>3.4012028012936774E-4</v>
      </c>
      <c r="AM127" s="50" t="str">
        <f t="shared" si="111"/>
        <v>1-0.00156922406791418i</v>
      </c>
      <c r="AN127" s="50">
        <f t="shared" si="132"/>
        <v>1.0000012312313296</v>
      </c>
      <c r="AO127" s="50">
        <f t="shared" si="133"/>
        <v>-1.5692227798633997E-3</v>
      </c>
      <c r="AP127" s="59" t="str">
        <f t="shared" si="134"/>
        <v>69.282282453407-26.1992921621259i</v>
      </c>
      <c r="AQ127" s="50">
        <f t="shared" si="135"/>
        <v>37.392904418791865</v>
      </c>
      <c r="AR127" s="62">
        <f t="shared" si="136"/>
        <v>-20.714254230980792</v>
      </c>
      <c r="AS127" s="32" t="str">
        <f t="shared" si="112"/>
        <v>-0.0000166666666666667</v>
      </c>
      <c r="AT127" s="32" t="str">
        <f t="shared" si="113"/>
        <v>2.62820226598108E-06i</v>
      </c>
      <c r="AU127" s="32">
        <f t="shared" si="137"/>
        <v>2.6282022659810799E-6</v>
      </c>
      <c r="AV127" s="32">
        <f t="shared" si="138"/>
        <v>1.5707963267948966</v>
      </c>
      <c r="AW127" s="32" t="str">
        <f t="shared" si="114"/>
        <v>1+0.00267094465577386i</v>
      </c>
      <c r="AX127" s="32">
        <f t="shared" si="139"/>
        <v>1.0000035669663154</v>
      </c>
      <c r="AY127" s="32">
        <f t="shared" si="140"/>
        <v>2.6709383043433069E-3</v>
      </c>
      <c r="AZ127" s="32" t="str">
        <f t="shared" si="115"/>
        <v>1+0.0908121182963111i</v>
      </c>
      <c r="BA127" s="32">
        <f t="shared" si="141"/>
        <v>1.0041149539915553</v>
      </c>
      <c r="BB127" s="32">
        <f t="shared" si="142"/>
        <v>9.0563708604812623E-2</v>
      </c>
      <c r="BC127" s="59" t="str">
        <f t="shared" si="143"/>
        <v>-0.558940649226154+6.34296322029748i</v>
      </c>
      <c r="BD127" s="50">
        <f t="shared" si="144"/>
        <v>16.079437001035856</v>
      </c>
      <c r="BE127" s="62">
        <f t="shared" si="145"/>
        <v>95.03588478792966</v>
      </c>
      <c r="BF127" s="59" t="str">
        <f t="shared" si="146"/>
        <v>46.1074336616338+159.621230347039i</v>
      </c>
      <c r="BG127" s="65">
        <f t="shared" si="147"/>
        <v>44.40985118112286</v>
      </c>
      <c r="BH127" s="62">
        <f t="shared" si="148"/>
        <v>73.888359606028544</v>
      </c>
      <c r="BI127" s="59" t="str">
        <f t="shared" si="152"/>
        <v>127.456462647816+454.098818790586i</v>
      </c>
      <c r="BJ127" s="65">
        <f t="shared" si="149"/>
        <v>53.472341419827714</v>
      </c>
      <c r="BK127" s="62">
        <f t="shared" si="153"/>
        <v>74.321630556948804</v>
      </c>
      <c r="BL127" s="50">
        <f t="shared" si="150"/>
        <v>44.40985118112286</v>
      </c>
      <c r="BM127" s="62">
        <f t="shared" si="151"/>
        <v>73.888359606028544</v>
      </c>
    </row>
    <row r="128" spans="14:65" x14ac:dyDescent="0.3">
      <c r="N128" s="11">
        <v>10</v>
      </c>
      <c r="O128" s="51">
        <f t="shared" si="154"/>
        <v>125.89254117941677</v>
      </c>
      <c r="P128" s="49" t="str">
        <f t="shared" si="103"/>
        <v>27.9103246607183</v>
      </c>
      <c r="Q128" s="18" t="str">
        <f t="shared" si="104"/>
        <v>1+0.388559404189335i</v>
      </c>
      <c r="R128" s="18">
        <f t="shared" si="117"/>
        <v>1.0728366187747187</v>
      </c>
      <c r="S128" s="18">
        <f t="shared" si="118"/>
        <v>0.3706050557758655</v>
      </c>
      <c r="T128" s="18" t="str">
        <f t="shared" si="105"/>
        <v>1+0.000348042712609686i</v>
      </c>
      <c r="U128" s="18">
        <f t="shared" si="119"/>
        <v>1.0000000605668631</v>
      </c>
      <c r="V128" s="18">
        <f t="shared" si="120"/>
        <v>3.4804269855644973E-4</v>
      </c>
      <c r="W128" s="32" t="str">
        <f t="shared" si="106"/>
        <v>1-0.0045897888587697i</v>
      </c>
      <c r="X128" s="18">
        <f t="shared" si="121"/>
        <v>1.0000105330254117</v>
      </c>
      <c r="Y128" s="18">
        <f t="shared" si="122"/>
        <v>-4.5897566294322081E-3</v>
      </c>
      <c r="Z128" s="32" t="str">
        <f t="shared" si="107"/>
        <v>0.999999672542729+0.00209886294923454i</v>
      </c>
      <c r="AA128" s="18">
        <f t="shared" si="123"/>
        <v>1.0000018751538644</v>
      </c>
      <c r="AB128" s="18">
        <f t="shared" si="124"/>
        <v>2.0988605545394965E-3</v>
      </c>
      <c r="AC128" s="67" t="str">
        <f t="shared" si="125"/>
        <v>24.18919779532-9.57590813269309i</v>
      </c>
      <c r="AD128" s="65">
        <f t="shared" si="126"/>
        <v>28.304701719483468</v>
      </c>
      <c r="AE128" s="62">
        <f t="shared" si="127"/>
        <v>-21.597393719870208</v>
      </c>
      <c r="AF128" s="50" t="str">
        <f t="shared" si="108"/>
        <v>79.1527877025864</v>
      </c>
      <c r="AG128" s="50" t="str">
        <f t="shared" si="109"/>
        <v>1+0.385524235506112i</v>
      </c>
      <c r="AH128" s="50">
        <f t="shared" si="128"/>
        <v>1.0717410770156064</v>
      </c>
      <c r="AI128" s="50">
        <f t="shared" si="129"/>
        <v>0.36796532356542921</v>
      </c>
      <c r="AJ128" s="50" t="str">
        <f t="shared" si="110"/>
        <v>1+0.000348042712609686i</v>
      </c>
      <c r="AK128" s="50">
        <f t="shared" si="130"/>
        <v>1.0000000605668631</v>
      </c>
      <c r="AL128" s="50">
        <f t="shared" si="131"/>
        <v>3.4804269855644973E-4</v>
      </c>
      <c r="AM128" s="50" t="str">
        <f t="shared" si="111"/>
        <v>1-0.00160577599201488i</v>
      </c>
      <c r="AN128" s="50">
        <f t="shared" si="132"/>
        <v>1.0000012892574373</v>
      </c>
      <c r="AO128" s="50">
        <f t="shared" si="133"/>
        <v>-1.6057746118436989E-3</v>
      </c>
      <c r="AP128" s="59" t="str">
        <f t="shared" si="134"/>
        <v>68.8772930209827-26.6534188308961i</v>
      </c>
      <c r="AQ128" s="50">
        <f t="shared" si="135"/>
        <v>37.367538496448695</v>
      </c>
      <c r="AR128" s="62">
        <f t="shared" si="136"/>
        <v>-21.154922777855134</v>
      </c>
      <c r="AS128" s="32" t="str">
        <f t="shared" si="112"/>
        <v>-0.0000166666666666667</v>
      </c>
      <c r="AT128" s="32" t="str">
        <f t="shared" si="113"/>
        <v>2.68942096107484E-06i</v>
      </c>
      <c r="AU128" s="32">
        <f t="shared" si="137"/>
        <v>2.6894209610748402E-6</v>
      </c>
      <c r="AV128" s="32">
        <f t="shared" si="138"/>
        <v>1.5707963267948966</v>
      </c>
      <c r="AW128" s="32" t="str">
        <f t="shared" si="114"/>
        <v>1+0.00273315894902312i</v>
      </c>
      <c r="AX128" s="32">
        <f t="shared" si="139"/>
        <v>1.0000037350719448</v>
      </c>
      <c r="AY128" s="32">
        <f t="shared" si="140"/>
        <v>2.7331521433440393E-3</v>
      </c>
      <c r="AZ128" s="32" t="str">
        <f t="shared" si="115"/>
        <v>1+0.0929274042667859i</v>
      </c>
      <c r="BA128" s="32">
        <f t="shared" si="141"/>
        <v>1.0043084697759761</v>
      </c>
      <c r="BB128" s="32">
        <f t="shared" si="142"/>
        <v>9.2661290120106557E-2</v>
      </c>
      <c r="BC128" s="59" t="str">
        <f t="shared" si="143"/>
        <v>-0.558940461304733+6.19864850615461i</v>
      </c>
      <c r="BD128" s="50">
        <f t="shared" si="144"/>
        <v>15.881109348052615</v>
      </c>
      <c r="BE128" s="62">
        <f t="shared" si="145"/>
        <v>95.152502765538642</v>
      </c>
      <c r="BF128" s="59" t="str">
        <f t="shared" si="146"/>
        <v>45.8373672674842+155.292697288138i</v>
      </c>
      <c r="BG128" s="65">
        <f t="shared" si="147"/>
        <v>44.185811067536079</v>
      </c>
      <c r="BH128" s="62">
        <f t="shared" si="148"/>
        <v>73.555109045668459</v>
      </c>
      <c r="BI128" s="59" t="str">
        <f t="shared" si="152"/>
        <v>126.716868885478+441.843803709177i</v>
      </c>
      <c r="BJ128" s="65">
        <f t="shared" si="149"/>
        <v>53.248647844501313</v>
      </c>
      <c r="BK128" s="62">
        <f t="shared" si="153"/>
        <v>73.997579987683508</v>
      </c>
      <c r="BL128" s="50">
        <f t="shared" si="150"/>
        <v>44.185811067536079</v>
      </c>
      <c r="BM128" s="62">
        <f t="shared" si="151"/>
        <v>73.555109045668459</v>
      </c>
    </row>
    <row r="129" spans="14:65" x14ac:dyDescent="0.3">
      <c r="N129" s="11">
        <v>11</v>
      </c>
      <c r="O129" s="51">
        <f t="shared" si="154"/>
        <v>128.82495516931343</v>
      </c>
      <c r="P129" s="49" t="str">
        <f t="shared" si="103"/>
        <v>27.9103246607183</v>
      </c>
      <c r="Q129" s="18" t="str">
        <f t="shared" si="104"/>
        <v>1+0.397610115391732i</v>
      </c>
      <c r="R129" s="18">
        <f t="shared" si="117"/>
        <v>1.0761476682415971</v>
      </c>
      <c r="S129" s="18">
        <f t="shared" si="118"/>
        <v>0.3784444354378923</v>
      </c>
      <c r="T129" s="18" t="str">
        <f t="shared" si="105"/>
        <v>1+0.000356149668827876i</v>
      </c>
      <c r="U129" s="18">
        <f t="shared" si="119"/>
        <v>1.0000000634212913</v>
      </c>
      <c r="V129" s="18">
        <f t="shared" si="120"/>
        <v>3.5614965376956208E-4</v>
      </c>
      <c r="W129" s="32" t="str">
        <f t="shared" si="106"/>
        <v>1-0.00469669877522731i</v>
      </c>
      <c r="X129" s="18">
        <f t="shared" si="121"/>
        <v>1.0000110294288684</v>
      </c>
      <c r="Y129" s="18">
        <f t="shared" si="122"/>
        <v>-4.6966642408905641E-3</v>
      </c>
      <c r="Z129" s="32" t="str">
        <f t="shared" si="107"/>
        <v>0.999999657110143+0.00214775174770942i</v>
      </c>
      <c r="AA129" s="18">
        <f t="shared" si="123"/>
        <v>1.0000019635270589</v>
      </c>
      <c r="AB129" s="18">
        <f t="shared" si="124"/>
        <v>2.1477491817477206E-3</v>
      </c>
      <c r="AC129" s="67" t="str">
        <f t="shared" si="125"/>
        <v>24.0377668024579-9.73874916299972i</v>
      </c>
      <c r="AD129" s="65">
        <f t="shared" si="126"/>
        <v>28.277939682663508</v>
      </c>
      <c r="AE129" s="62">
        <f t="shared" si="127"/>
        <v>-22.055019061126206</v>
      </c>
      <c r="AF129" s="50" t="str">
        <f t="shared" si="108"/>
        <v>79.1527877025864</v>
      </c>
      <c r="AG129" s="50" t="str">
        <f t="shared" si="109"/>
        <v>1+0.3945042485478i</v>
      </c>
      <c r="AH129" s="50">
        <f t="shared" si="128"/>
        <v>1.0750040009796542</v>
      </c>
      <c r="AI129" s="50">
        <f t="shared" si="129"/>
        <v>0.37575970056137775</v>
      </c>
      <c r="AJ129" s="50" t="str">
        <f t="shared" si="110"/>
        <v>1+0.000356149668827876i</v>
      </c>
      <c r="AK129" s="50">
        <f t="shared" si="130"/>
        <v>1.0000000634212913</v>
      </c>
      <c r="AL129" s="50">
        <f t="shared" si="131"/>
        <v>3.5614965376956208E-4</v>
      </c>
      <c r="AM129" s="50" t="str">
        <f t="shared" si="111"/>
        <v>1-0.00164317931980151i</v>
      </c>
      <c r="AN129" s="50">
        <f t="shared" si="132"/>
        <v>1.0000013500182272</v>
      </c>
      <c r="AO129" s="50">
        <f t="shared" si="133"/>
        <v>-1.6431778409215527E-3</v>
      </c>
      <c r="AP129" s="59" t="str">
        <f t="shared" si="134"/>
        <v>68.4582422561388-27.1089394028917i</v>
      </c>
      <c r="AQ129" s="50">
        <f t="shared" si="135"/>
        <v>37.341134964452081</v>
      </c>
      <c r="AR129" s="62">
        <f t="shared" si="136"/>
        <v>-21.603186236504694</v>
      </c>
      <c r="AS129" s="32" t="str">
        <f t="shared" si="112"/>
        <v>-0.0000166666666666667</v>
      </c>
      <c r="AT129" s="32" t="str">
        <f t="shared" si="113"/>
        <v>2.75206562276086E-06i</v>
      </c>
      <c r="AU129" s="32">
        <f t="shared" si="137"/>
        <v>2.7520656227608599E-6</v>
      </c>
      <c r="AV129" s="32">
        <f t="shared" si="138"/>
        <v>1.5707963267948966</v>
      </c>
      <c r="AW129" s="32" t="str">
        <f t="shared" si="114"/>
        <v>1+0.00279682239932479i</v>
      </c>
      <c r="AX129" s="32">
        <f t="shared" si="139"/>
        <v>1.0000039111001182</v>
      </c>
      <c r="AY129" s="32">
        <f t="shared" si="140"/>
        <v>2.7968151069098102E-3</v>
      </c>
      <c r="AZ129" s="32" t="str">
        <f t="shared" si="115"/>
        <v>1+0.0950919615770427i</v>
      </c>
      <c r="BA129" s="32">
        <f t="shared" si="141"/>
        <v>1.0045110657213139</v>
      </c>
      <c r="BB129" s="32">
        <f t="shared" si="142"/>
        <v>9.4806884246271553E-2</v>
      </c>
      <c r="BC129" s="59" t="str">
        <f t="shared" si="143"/>
        <v>-0.558940264526981+6.05762039745011i</v>
      </c>
      <c r="BD129" s="50">
        <f t="shared" si="144"/>
        <v>15.682859819211854</v>
      </c>
      <c r="BE129" s="62">
        <f t="shared" si="145"/>
        <v>95.271788634392323</v>
      </c>
      <c r="BF129" s="59" t="str">
        <f t="shared" si="146"/>
        <v>45.5579698402336+151.055045525047i</v>
      </c>
      <c r="BG129" s="65">
        <f t="shared" si="147"/>
        <v>43.960799501875357</v>
      </c>
      <c r="BH129" s="62">
        <f t="shared" si="148"/>
        <v>73.216769573266106</v>
      </c>
      <c r="BI129" s="59" t="str">
        <f t="shared" si="152"/>
        <v>125.951596244497+429.846322425266i</v>
      </c>
      <c r="BJ129" s="65">
        <f t="shared" si="149"/>
        <v>53.023994783663937</v>
      </c>
      <c r="BK129" s="62">
        <f t="shared" si="153"/>
        <v>73.668602397887696</v>
      </c>
      <c r="BL129" s="50">
        <f t="shared" si="150"/>
        <v>43.960799501875357</v>
      </c>
      <c r="BM129" s="62">
        <f t="shared" si="151"/>
        <v>73.216769573266106</v>
      </c>
    </row>
    <row r="130" spans="14:65" x14ac:dyDescent="0.3">
      <c r="N130" s="11">
        <v>12</v>
      </c>
      <c r="O130" s="51">
        <f t="shared" si="154"/>
        <v>131.82567385564084</v>
      </c>
      <c r="P130" s="49" t="str">
        <f t="shared" si="103"/>
        <v>27.9103246607183</v>
      </c>
      <c r="Q130" s="18" t="str">
        <f t="shared" si="104"/>
        <v>1+0.406871644740302i</v>
      </c>
      <c r="R130" s="18">
        <f t="shared" si="117"/>
        <v>1.0796038788804339</v>
      </c>
      <c r="S130" s="18">
        <f t="shared" si="118"/>
        <v>0.38641613645327566</v>
      </c>
      <c r="T130" s="18" t="str">
        <f t="shared" si="105"/>
        <v>1+0.000364445460314677i</v>
      </c>
      <c r="U130" s="18">
        <f t="shared" si="119"/>
        <v>1.0000000664102446</v>
      </c>
      <c r="V130" s="18">
        <f t="shared" si="120"/>
        <v>3.6444544417940303E-4</v>
      </c>
      <c r="W130" s="32" t="str">
        <f t="shared" si="106"/>
        <v>1-0.00480609894354371i</v>
      </c>
      <c r="X130" s="18">
        <f t="shared" si="121"/>
        <v>1.0000115492268351</v>
      </c>
      <c r="Y130" s="18">
        <f t="shared" si="122"/>
        <v>-4.8060619393582747E-3</v>
      </c>
      <c r="Z130" s="32" t="str">
        <f t="shared" si="107"/>
        <v>0.999999640950242+0.0021977793125898i</v>
      </c>
      <c r="AA130" s="18">
        <f t="shared" si="123"/>
        <v>1.0000020560651461</v>
      </c>
      <c r="AB130" s="18">
        <f t="shared" si="124"/>
        <v>2.1977765631126058E-3</v>
      </c>
      <c r="AC130" s="67" t="str">
        <f t="shared" si="125"/>
        <v>23.8811807512936-9.90188331643343i</v>
      </c>
      <c r="AD130" s="65">
        <f t="shared" si="126"/>
        <v>28.250092074838101</v>
      </c>
      <c r="AE130" s="62">
        <f t="shared" si="127"/>
        <v>-22.520422955292595</v>
      </c>
      <c r="AF130" s="50" t="str">
        <f t="shared" si="108"/>
        <v>79.1527877025864</v>
      </c>
      <c r="AG130" s="50" t="str">
        <f t="shared" si="109"/>
        <v>1+0.403693432963949i</v>
      </c>
      <c r="AH130" s="50">
        <f t="shared" si="128"/>
        <v>1.0784101204171901</v>
      </c>
      <c r="AI130" s="50">
        <f t="shared" si="129"/>
        <v>0.38368631035937212</v>
      </c>
      <c r="AJ130" s="50" t="str">
        <f t="shared" si="110"/>
        <v>1+0.000364445460314677i</v>
      </c>
      <c r="AK130" s="50">
        <f t="shared" si="130"/>
        <v>1.0000000664102446</v>
      </c>
      <c r="AL130" s="50">
        <f t="shared" si="131"/>
        <v>3.6444544417940303E-4</v>
      </c>
      <c r="AM130" s="50" t="str">
        <f t="shared" si="111"/>
        <v>1-0.00168145388301354i</v>
      </c>
      <c r="AN130" s="50">
        <f t="shared" si="132"/>
        <v>1.0000014136425812</v>
      </c>
      <c r="AO130" s="50">
        <f t="shared" si="133"/>
        <v>-1.6814522983652365E-3</v>
      </c>
      <c r="AP130" s="59" t="str">
        <f t="shared" si="134"/>
        <v>68.0248526608282-27.5654311856009i</v>
      </c>
      <c r="AQ130" s="50">
        <f t="shared" si="135"/>
        <v>37.313658057962101</v>
      </c>
      <c r="AR130" s="62">
        <f t="shared" si="136"/>
        <v>-22.059065174873265</v>
      </c>
      <c r="AS130" s="32" t="str">
        <f t="shared" si="112"/>
        <v>-0.0000166666666666667</v>
      </c>
      <c r="AT130" s="32" t="str">
        <f t="shared" si="113"/>
        <v>2.81616946606796E-06i</v>
      </c>
      <c r="AU130" s="32">
        <f t="shared" si="137"/>
        <v>2.8161694660679598E-6</v>
      </c>
      <c r="AV130" s="32">
        <f t="shared" si="138"/>
        <v>1.5707963267948966</v>
      </c>
      <c r="AW130" s="32" t="str">
        <f t="shared" si="114"/>
        <v>1+0.0028619687618829i</v>
      </c>
      <c r="AX130" s="32">
        <f t="shared" si="139"/>
        <v>1.0000040954242109</v>
      </c>
      <c r="AY130" s="32">
        <f t="shared" si="140"/>
        <v>2.8619609479211957E-3</v>
      </c>
      <c r="AZ130" s="32" t="str">
        <f t="shared" si="115"/>
        <v>1+0.0973069379040187i</v>
      </c>
      <c r="BA130" s="32">
        <f t="shared" si="141"/>
        <v>1.0047231659339086</v>
      </c>
      <c r="BB130" s="32">
        <f t="shared" si="142"/>
        <v>9.7001549542924073E-2</v>
      </c>
      <c r="BC130" s="59" t="str">
        <f t="shared" si="143"/>
        <v>-0.558940058475531+5.91980411921055i</v>
      </c>
      <c r="BD130" s="50">
        <f t="shared" si="144"/>
        <v>15.484692030322229</v>
      </c>
      <c r="BE130" s="62">
        <f t="shared" si="145"/>
        <v>95.393801111591557</v>
      </c>
      <c r="BF130" s="59" t="str">
        <f t="shared" si="146"/>
        <v>45.2690610789721+146.906471423025i</v>
      </c>
      <c r="BG130" s="65">
        <f t="shared" si="147"/>
        <v>43.734784105160351</v>
      </c>
      <c r="BH130" s="62">
        <f t="shared" si="148"/>
        <v>72.873378156298983</v>
      </c>
      <c r="BI130" s="59" t="str">
        <f t="shared" si="152"/>
        <v>125.160137956302+418.101226709045i</v>
      </c>
      <c r="BJ130" s="65">
        <f t="shared" si="149"/>
        <v>52.798350088284344</v>
      </c>
      <c r="BK130" s="62">
        <f t="shared" si="153"/>
        <v>73.33473593671836</v>
      </c>
      <c r="BL130" s="50">
        <f t="shared" si="150"/>
        <v>43.734784105160351</v>
      </c>
      <c r="BM130" s="62">
        <f t="shared" si="151"/>
        <v>72.873378156298983</v>
      </c>
    </row>
    <row r="131" spans="14:65" x14ac:dyDescent="0.3">
      <c r="N131" s="11">
        <v>13</v>
      </c>
      <c r="O131" s="51">
        <f t="shared" si="154"/>
        <v>134.89628825916537</v>
      </c>
      <c r="P131" s="49" t="str">
        <f t="shared" si="103"/>
        <v>27.9103246607183</v>
      </c>
      <c r="Q131" s="18" t="str">
        <f t="shared" si="104"/>
        <v>1+0.416348902820495i</v>
      </c>
      <c r="R131" s="18">
        <f t="shared" si="117"/>
        <v>1.0832111561832394</v>
      </c>
      <c r="S131" s="18">
        <f t="shared" si="118"/>
        <v>0.39452033179723711</v>
      </c>
      <c r="T131" s="18" t="str">
        <f t="shared" si="105"/>
        <v>1+0.000372934485608542i</v>
      </c>
      <c r="U131" s="18">
        <f t="shared" si="119"/>
        <v>1.0000000695400628</v>
      </c>
      <c r="V131" s="18">
        <f t="shared" si="120"/>
        <v>3.7293446831928445E-4</v>
      </c>
      <c r="W131" s="32" t="str">
        <f t="shared" si="106"/>
        <v>1-0.00491804736913621i</v>
      </c>
      <c r="X131" s="18">
        <f t="shared" si="121"/>
        <v>1.000012093521836</v>
      </c>
      <c r="Y131" s="18">
        <f t="shared" si="122"/>
        <v>-4.9180077184630393E-3</v>
      </c>
      <c r="Z131" s="32" t="str">
        <f t="shared" si="107"/>
        <v>0.999999624028748+0.00224897216915275i</v>
      </c>
      <c r="AA131" s="18">
        <f t="shared" si="123"/>
        <v>1.0000021529644099</v>
      </c>
      <c r="AB131" s="18">
        <f t="shared" si="124"/>
        <v>2.2489692230351971E-3</v>
      </c>
      <c r="AC131" s="67" t="str">
        <f t="shared" si="125"/>
        <v>23.7193464568383-10.0651482434389i</v>
      </c>
      <c r="AD131" s="65">
        <f t="shared" si="126"/>
        <v>28.221122228254437</v>
      </c>
      <c r="AE131" s="62">
        <f t="shared" si="127"/>
        <v>-22.993619903628339</v>
      </c>
      <c r="AF131" s="50" t="str">
        <f t="shared" si="108"/>
        <v>79.1527877025864</v>
      </c>
      <c r="AG131" s="50" t="str">
        <f t="shared" si="109"/>
        <v>1+0.413096660981769i</v>
      </c>
      <c r="AH131" s="50">
        <f t="shared" si="128"/>
        <v>1.0819652726932998</v>
      </c>
      <c r="AI131" s="50">
        <f t="shared" si="129"/>
        <v>0.3917453704126509</v>
      </c>
      <c r="AJ131" s="50" t="str">
        <f t="shared" si="110"/>
        <v>1+0.000372934485608542i</v>
      </c>
      <c r="AK131" s="50">
        <f t="shared" si="130"/>
        <v>1.0000000695400628</v>
      </c>
      <c r="AL131" s="50">
        <f t="shared" si="131"/>
        <v>3.7293446831928445E-4</v>
      </c>
      <c r="AM131" s="50" t="str">
        <f t="shared" si="111"/>
        <v>1-0.00172061997533102i</v>
      </c>
      <c r="AN131" s="50">
        <f t="shared" si="132"/>
        <v>1.0000014802654542</v>
      </c>
      <c r="AO131" s="50">
        <f t="shared" si="133"/>
        <v>-1.7206182773499066E-3</v>
      </c>
      <c r="AP131" s="59" t="str">
        <f t="shared" si="134"/>
        <v>67.5768588659904-28.0224478206348i</v>
      </c>
      <c r="AQ131" s="50">
        <f t="shared" si="135"/>
        <v>37.285071328226309</v>
      </c>
      <c r="AR131" s="62">
        <f t="shared" si="136"/>
        <v>-22.522572962809615</v>
      </c>
      <c r="AS131" s="32" t="str">
        <f t="shared" si="112"/>
        <v>-0.0000166666666666667</v>
      </c>
      <c r="AT131" s="32" t="str">
        <f t="shared" si="113"/>
        <v>2.88176647970237E-06i</v>
      </c>
      <c r="AU131" s="32">
        <f t="shared" si="137"/>
        <v>2.88176647970237E-6</v>
      </c>
      <c r="AV131" s="32">
        <f t="shared" si="138"/>
        <v>1.5707963267948966</v>
      </c>
      <c r="AW131" s="32" t="str">
        <f t="shared" si="114"/>
        <v>1+0.0029286325781612i</v>
      </c>
      <c r="AX131" s="32">
        <f t="shared" si="139"/>
        <v>1.0000042884351936</v>
      </c>
      <c r="AY131" s="32">
        <f t="shared" si="140"/>
        <v>2.9286242053523227E-3</v>
      </c>
      <c r="AZ131" s="32" t="str">
        <f t="shared" si="115"/>
        <v>1+0.0995735076574807i</v>
      </c>
      <c r="BA131" s="32">
        <f t="shared" si="141"/>
        <v>1.0049452141421513</v>
      </c>
      <c r="BB131" s="32">
        <f t="shared" si="142"/>
        <v>9.9246365038286641E-2</v>
      </c>
      <c r="BC131" s="59" t="str">
        <f t="shared" si="143"/>
        <v>-0.558939842713338+5.78512659941726i</v>
      </c>
      <c r="BD131" s="50">
        <f t="shared" si="144"/>
        <v>15.286609761315725</v>
      </c>
      <c r="BE131" s="62">
        <f t="shared" si="145"/>
        <v>95.518600041962017</v>
      </c>
      <c r="BF131" s="59" t="str">
        <f t="shared" si="146"/>
        <v>44.9704690523479+142.845234484323i</v>
      </c>
      <c r="BG131" s="65">
        <f t="shared" si="147"/>
        <v>43.507731989570161</v>
      </c>
      <c r="BH131" s="62">
        <f t="shared" si="148"/>
        <v>72.524980138333689</v>
      </c>
      <c r="BI131" s="59" t="str">
        <f t="shared" si="152"/>
        <v>124.342009402318+406.603546308015i</v>
      </c>
      <c r="BJ131" s="65">
        <f t="shared" si="149"/>
        <v>52.571681089542025</v>
      </c>
      <c r="BK131" s="62">
        <f t="shared" si="153"/>
        <v>72.996027079152441</v>
      </c>
      <c r="BL131" s="50">
        <f t="shared" si="150"/>
        <v>43.507731989570161</v>
      </c>
      <c r="BM131" s="62">
        <f t="shared" si="151"/>
        <v>72.524980138333689</v>
      </c>
    </row>
    <row r="132" spans="14:65" x14ac:dyDescent="0.3">
      <c r="N132" s="11">
        <v>14</v>
      </c>
      <c r="O132" s="51">
        <f t="shared" si="154"/>
        <v>138.0384264602886</v>
      </c>
      <c r="P132" s="49" t="str">
        <f t="shared" si="103"/>
        <v>27.9103246607183</v>
      </c>
      <c r="Q132" s="18" t="str">
        <f t="shared" si="104"/>
        <v>1+0.426046914599993i</v>
      </c>
      <c r="R132" s="18">
        <f t="shared" si="117"/>
        <v>1.0869756084844653</v>
      </c>
      <c r="S132" s="18">
        <f t="shared" si="118"/>
        <v>0.40275705923664951</v>
      </c>
      <c r="T132" s="18" t="str">
        <f t="shared" si="105"/>
        <v>1+0.000381621245703049i</v>
      </c>
      <c r="U132" s="18">
        <f t="shared" si="119"/>
        <v>1.000000072817385</v>
      </c>
      <c r="V132" s="18">
        <f t="shared" si="120"/>
        <v>3.8162122717727586E-4</v>
      </c>
      <c r="W132" s="32" t="str">
        <f t="shared" si="106"/>
        <v>1-0.00503260340854189i</v>
      </c>
      <c r="X132" s="18">
        <f t="shared" si="121"/>
        <v>1.0000126634683522</v>
      </c>
      <c r="Y132" s="18">
        <f t="shared" si="122"/>
        <v>-5.0325609221091791E-3</v>
      </c>
      <c r="Z132" s="32" t="str">
        <f t="shared" si="107"/>
        <v>0.999999606309769+0.00230135746052846i</v>
      </c>
      <c r="AA132" s="18">
        <f t="shared" si="123"/>
        <v>1.0000022544303857</v>
      </c>
      <c r="AB132" s="18">
        <f t="shared" si="124"/>
        <v>2.3013543037070068E-3</v>
      </c>
      <c r="AC132" s="67" t="str">
        <f t="shared" si="125"/>
        <v>23.552175883918-10.2283731208482i</v>
      </c>
      <c r="AD132" s="65">
        <f t="shared" si="126"/>
        <v>28.190992836342939</v>
      </c>
      <c r="AE132" s="62">
        <f t="shared" si="127"/>
        <v>-23.474616767416506</v>
      </c>
      <c r="AF132" s="50" t="str">
        <f t="shared" si="108"/>
        <v>79.1527877025864</v>
      </c>
      <c r="AG132" s="50" t="str">
        <f t="shared" si="109"/>
        <v>1+0.422718918317223i</v>
      </c>
      <c r="AH132" s="50">
        <f t="shared" si="128"/>
        <v>1.0856754965933804</v>
      </c>
      <c r="AI132" s="50">
        <f t="shared" si="129"/>
        <v>0.39993696530885636</v>
      </c>
      <c r="AJ132" s="50" t="str">
        <f t="shared" si="110"/>
        <v>1+0.000381621245703049i</v>
      </c>
      <c r="AK132" s="50">
        <f t="shared" si="130"/>
        <v>1.000000072817385</v>
      </c>
      <c r="AL132" s="50">
        <f t="shared" si="131"/>
        <v>3.8162122717727586E-4</v>
      </c>
      <c r="AM132" s="50" t="str">
        <f t="shared" si="111"/>
        <v>1-0.00176069836313451i</v>
      </c>
      <c r="AN132" s="50">
        <f t="shared" si="132"/>
        <v>1.0000015500281616</v>
      </c>
      <c r="AO132" s="50">
        <f t="shared" si="133"/>
        <v>-1.7606965437151195E-3</v>
      </c>
      <c r="AP132" s="59" t="str">
        <f t="shared" si="134"/>
        <v>67.1140093261154-28.4795192245691i</v>
      </c>
      <c r="AQ132" s="50">
        <f t="shared" si="135"/>
        <v>37.255337675249201</v>
      </c>
      <c r="AR132" s="62">
        <f t="shared" si="136"/>
        <v>-22.993715378735796</v>
      </c>
      <c r="AS132" s="32" t="str">
        <f t="shared" si="112"/>
        <v>-0.0000166666666666667</v>
      </c>
      <c r="AT132" s="32" t="str">
        <f t="shared" si="113"/>
        <v>2.94889144406902E-06i</v>
      </c>
      <c r="AU132" s="32">
        <f t="shared" si="137"/>
        <v>2.9488914440690202E-6</v>
      </c>
      <c r="AV132" s="32">
        <f t="shared" si="138"/>
        <v>1.5707963267948966</v>
      </c>
      <c r="AW132" s="32" t="str">
        <f t="shared" si="114"/>
        <v>1+0.00299684919419747i</v>
      </c>
      <c r="AX132" s="32">
        <f t="shared" si="139"/>
        <v>1.0000044905424639</v>
      </c>
      <c r="AY132" s="32">
        <f t="shared" si="140"/>
        <v>2.996840222573295E-3</v>
      </c>
      <c r="AZ132" s="32" t="str">
        <f t="shared" si="115"/>
        <v>1+0.101892872602714i</v>
      </c>
      <c r="BA132" s="32">
        <f t="shared" si="141"/>
        <v>1.0051776745865544</v>
      </c>
      <c r="BB132" s="32">
        <f t="shared" si="142"/>
        <v>0.10154243041700763</v>
      </c>
      <c r="BC132" s="59" t="str">
        <f t="shared" si="143"/>
        <v>-0.558939616782761+5.6535164302626i</v>
      </c>
      <c r="BD132" s="50">
        <f t="shared" si="144"/>
        <v>15.088616963389423</v>
      </c>
      <c r="BE132" s="62">
        <f t="shared" si="145"/>
        <v>95.646246407766867</v>
      </c>
      <c r="BF132" s="59" t="str">
        <f t="shared" si="146"/>
        <v>44.6620313306143+138.869656280643i</v>
      </c>
      <c r="BG132" s="65">
        <f t="shared" si="147"/>
        <v>43.279609799732356</v>
      </c>
      <c r="BH132" s="62">
        <f t="shared" si="148"/>
        <v>72.171629640350375</v>
      </c>
      <c r="BI132" s="59" t="str">
        <f t="shared" si="152"/>
        <v>123.496751208587+395.348485987529i</v>
      </c>
      <c r="BJ132" s="65">
        <f t="shared" si="149"/>
        <v>52.343954638638628</v>
      </c>
      <c r="BK132" s="62">
        <f t="shared" si="153"/>
        <v>72.652531029031124</v>
      </c>
      <c r="BL132" s="50">
        <f t="shared" si="150"/>
        <v>43.279609799732356</v>
      </c>
      <c r="BM132" s="62">
        <f t="shared" si="151"/>
        <v>72.171629640350375</v>
      </c>
    </row>
    <row r="133" spans="14:65" x14ac:dyDescent="0.3">
      <c r="N133" s="11">
        <v>15</v>
      </c>
      <c r="O133" s="51">
        <f t="shared" si="154"/>
        <v>141.25375446227542</v>
      </c>
      <c r="P133" s="49" t="str">
        <f t="shared" si="103"/>
        <v>27.9103246607183</v>
      </c>
      <c r="Q133" s="18" t="str">
        <f t="shared" si="104"/>
        <v>1+0.43597082209301i</v>
      </c>
      <c r="R133" s="18">
        <f t="shared" si="117"/>
        <v>1.0909035510605212</v>
      </c>
      <c r="S133" s="18">
        <f t="shared" si="118"/>
        <v>0.41112621446329661</v>
      </c>
      <c r="T133" s="18" t="str">
        <f t="shared" si="105"/>
        <v>1+0.000390510346433382i</v>
      </c>
      <c r="U133" s="18">
        <f t="shared" si="119"/>
        <v>1.0000000762491623</v>
      </c>
      <c r="V133" s="18">
        <f t="shared" si="120"/>
        <v>3.9051032658265849E-4</v>
      </c>
      <c r="W133" s="32" t="str">
        <f t="shared" si="106"/>
        <v>1-0.00514982780088915i</v>
      </c>
      <c r="X133" s="18">
        <f t="shared" si="121"/>
        <v>1.000013260275272</v>
      </c>
      <c r="Y133" s="18">
        <f t="shared" si="122"/>
        <v>-5.1497822758888928E-3</v>
      </c>
      <c r="Z133" s="32" t="str">
        <f t="shared" si="107"/>
        <v>0.99999958775572+0.0023549629620918i</v>
      </c>
      <c r="AA133" s="18">
        <f t="shared" si="123"/>
        <v>1.0000023606782951</v>
      </c>
      <c r="AB133" s="18">
        <f t="shared" si="124"/>
        <v>2.3549595794970977E-3</v>
      </c>
      <c r="AC133" s="67" t="str">
        <f t="shared" si="125"/>
        <v>23.3795867834238-10.3913786862614i</v>
      </c>
      <c r="AD133" s="65">
        <f t="shared" si="126"/>
        <v>28.159665992272721</v>
      </c>
      <c r="AE133" s="62">
        <f t="shared" si="127"/>
        <v>-23.963412377016589</v>
      </c>
      <c r="AF133" s="50" t="str">
        <f t="shared" si="108"/>
        <v>79.1527877025864</v>
      </c>
      <c r="AG133" s="50" t="str">
        <f t="shared" si="109"/>
        <v>1+0.432565306818514i</v>
      </c>
      <c r="AH133" s="50">
        <f t="shared" si="128"/>
        <v>1.0895470364619397</v>
      </c>
      <c r="AI133" s="50">
        <f t="shared" si="129"/>
        <v>0.4082610398958314</v>
      </c>
      <c r="AJ133" s="50" t="str">
        <f t="shared" si="110"/>
        <v>1+0.000390510346433382i</v>
      </c>
      <c r="AK133" s="50">
        <f t="shared" si="130"/>
        <v>1.0000000762491623</v>
      </c>
      <c r="AL133" s="50">
        <f t="shared" si="131"/>
        <v>3.9051032658265849E-4</v>
      </c>
      <c r="AM133" s="50" t="str">
        <f t="shared" si="111"/>
        <v>1-0.00180171029651574i</v>
      </c>
      <c r="AN133" s="50">
        <f t="shared" si="132"/>
        <v>1.000001623078679</v>
      </c>
      <c r="AO133" s="50">
        <f t="shared" si="133"/>
        <v>-1.8017083469729093E-3</v>
      </c>
      <c r="AP133" s="59" t="str">
        <f t="shared" si="134"/>
        <v>66.6360680793885-28.9361516439948i</v>
      </c>
      <c r="AQ133" s="50">
        <f t="shared" si="135"/>
        <v>37.224419384813807</v>
      </c>
      <c r="AR133" s="62">
        <f t="shared" si="136"/>
        <v>-23.47249021627881</v>
      </c>
      <c r="AS133" s="32" t="str">
        <f t="shared" si="112"/>
        <v>-0.0000166666666666667</v>
      </c>
      <c r="AT133" s="32" t="str">
        <f t="shared" si="113"/>
        <v>3.01757994971249E-06i</v>
      </c>
      <c r="AU133" s="32">
        <f t="shared" si="137"/>
        <v>3.0175799497124899E-6</v>
      </c>
      <c r="AV133" s="32">
        <f t="shared" si="138"/>
        <v>1.5707963267948966</v>
      </c>
      <c r="AW133" s="32" t="str">
        <f t="shared" si="114"/>
        <v>1+0.0030666547793445i</v>
      </c>
      <c r="AX133" s="32">
        <f t="shared" si="139"/>
        <v>1.0000047021747127</v>
      </c>
      <c r="AY133" s="32">
        <f t="shared" si="140"/>
        <v>3.0666451660784385E-3</v>
      </c>
      <c r="AZ133" s="32" t="str">
        <f t="shared" si="115"/>
        <v>1+0.104266262497713i</v>
      </c>
      <c r="BA133" s="32">
        <f t="shared" si="141"/>
        <v>1.0054210329485067</v>
      </c>
      <c r="BB133" s="32">
        <f t="shared" si="142"/>
        <v>0.10389086619294992</v>
      </c>
      <c r="BC133" s="59" t="str">
        <f t="shared" si="143"/>
        <v>-0.558939380204606+5.52490383028858i</v>
      </c>
      <c r="BD133" s="50">
        <f t="shared" si="144"/>
        <v>14.890717766428466</v>
      </c>
      <c r="BE133" s="62">
        <f t="shared" si="145"/>
        <v>95.776802337533908</v>
      </c>
      <c r="BF133" s="59" t="str">
        <f t="shared" si="146"/>
        <v>44.343596159538+134.978119332673i</v>
      </c>
      <c r="BG133" s="65">
        <f t="shared" si="147"/>
        <v>43.050383758701201</v>
      </c>
      <c r="BH133" s="62">
        <f t="shared" si="148"/>
        <v>71.81338996051737</v>
      </c>
      <c r="BI133" s="59" t="str">
        <f t="shared" si="152"/>
        <v>122.623932460153+384.331422432585i</v>
      </c>
      <c r="BJ133" s="65">
        <f t="shared" si="149"/>
        <v>52.115137151242273</v>
      </c>
      <c r="BK133" s="62">
        <f t="shared" si="153"/>
        <v>72.304312121255066</v>
      </c>
      <c r="BL133" s="50">
        <f t="shared" si="150"/>
        <v>43.050383758701201</v>
      </c>
      <c r="BM133" s="62">
        <f t="shared" si="151"/>
        <v>71.81338996051737</v>
      </c>
    </row>
    <row r="134" spans="14:65" x14ac:dyDescent="0.3">
      <c r="N134" s="11">
        <v>16</v>
      </c>
      <c r="O134" s="51">
        <f t="shared" si="154"/>
        <v>144.54397707459285</v>
      </c>
      <c r="P134" s="49" t="str">
        <f t="shared" si="103"/>
        <v>27.9103246607183</v>
      </c>
      <c r="Q134" s="18" t="str">
        <f t="shared" si="104"/>
        <v>1+0.446125887086657i</v>
      </c>
      <c r="R134" s="18">
        <f t="shared" si="117"/>
        <v>1.0950015101034594</v>
      </c>
      <c r="S134" s="18">
        <f t="shared" si="118"/>
        <v>0.41962754427332527</v>
      </c>
      <c r="T134" s="18" t="str">
        <f t="shared" si="105"/>
        <v>1+0.00039960650091841i</v>
      </c>
      <c r="U134" s="18">
        <f t="shared" si="119"/>
        <v>1.0000000798426747</v>
      </c>
      <c r="V134" s="18">
        <f t="shared" si="120"/>
        <v>3.9960647964797661E-4</v>
      </c>
      <c r="W134" s="32" t="str">
        <f t="shared" si="106"/>
        <v>1-0.00526978270010248i</v>
      </c>
      <c r="X134" s="18">
        <f t="shared" si="121"/>
        <v>1.0000138852084537</v>
      </c>
      <c r="Y134" s="18">
        <f t="shared" si="122"/>
        <v>-5.2697339192224156E-3</v>
      </c>
      <c r="Z134" s="32" t="str">
        <f t="shared" si="107"/>
        <v>0.999999568327246+0.00240981709618927i</v>
      </c>
      <c r="AA134" s="18">
        <f t="shared" si="123"/>
        <v>1.0000024719335026</v>
      </c>
      <c r="AB134" s="18">
        <f t="shared" si="124"/>
        <v>2.4098134716742238E-3</v>
      </c>
      <c r="AC134" s="67" t="str">
        <f t="shared" si="125"/>
        <v>23.201503348787-10.553977318057i</v>
      </c>
      <c r="AD134" s="65">
        <f t="shared" si="126"/>
        <v>28.127103232065949</v>
      </c>
      <c r="AE134" s="62">
        <f t="shared" si="127"/>
        <v>-24.459997143619852</v>
      </c>
      <c r="AF134" s="50" t="str">
        <f t="shared" si="108"/>
        <v>79.1527877025864</v>
      </c>
      <c r="AG134" s="50" t="str">
        <f t="shared" si="109"/>
        <v>1+0.44264104717116i</v>
      </c>
      <c r="AH134" s="50">
        <f t="shared" si="128"/>
        <v>1.0935863462209012</v>
      </c>
      <c r="AI134" s="50">
        <f t="shared" si="129"/>
        <v>0.41671739244117051</v>
      </c>
      <c r="AJ134" s="50" t="str">
        <f t="shared" si="110"/>
        <v>1+0.00039960650091841i</v>
      </c>
      <c r="AK134" s="50">
        <f t="shared" si="130"/>
        <v>1.0000000798426747</v>
      </c>
      <c r="AL134" s="50">
        <f t="shared" si="131"/>
        <v>3.9960647964797661E-4</v>
      </c>
      <c r="AM134" s="50" t="str">
        <f t="shared" si="111"/>
        <v>1-0.00184367752054464i</v>
      </c>
      <c r="AN134" s="50">
        <f t="shared" si="132"/>
        <v>1.0000016995719556</v>
      </c>
      <c r="AO134" s="50">
        <f t="shared" si="133"/>
        <v>-1.8436754315720525E-3</v>
      </c>
      <c r="AP134" s="59" t="str">
        <f t="shared" si="134"/>
        <v>66.1428165669407-29.3918278348845i</v>
      </c>
      <c r="AQ134" s="50">
        <f t="shared" si="135"/>
        <v>37.192278170012102</v>
      </c>
      <c r="AR134" s="62">
        <f t="shared" si="136"/>
        <v>-23.958886892847026</v>
      </c>
      <c r="AS134" s="32" t="str">
        <f t="shared" si="112"/>
        <v>-0.0000166666666666667</v>
      </c>
      <c r="AT134" s="32" t="str">
        <f t="shared" si="113"/>
        <v>3.08786841618771E-06i</v>
      </c>
      <c r="AU134" s="32">
        <f t="shared" si="137"/>
        <v>3.08786841618771E-6</v>
      </c>
      <c r="AV134" s="32">
        <f t="shared" si="138"/>
        <v>1.5707963267948966</v>
      </c>
      <c r="AW134" s="32" t="str">
        <f t="shared" si="114"/>
        <v>1+0.00313808634544751i</v>
      </c>
      <c r="AX134" s="32">
        <f t="shared" si="139"/>
        <v>1.0000049237808339</v>
      </c>
      <c r="AY134" s="32">
        <f t="shared" si="140"/>
        <v>3.138076044650078E-3</v>
      </c>
      <c r="AZ134" s="32" t="str">
        <f t="shared" si="115"/>
        <v>1+0.106694935745215i</v>
      </c>
      <c r="BA134" s="32">
        <f t="shared" si="141"/>
        <v>1.0056757973192332</v>
      </c>
      <c r="BB134" s="32">
        <f t="shared" si="142"/>
        <v>0.10629281386536323</v>
      </c>
      <c r="BC134" s="59" t="str">
        <f t="shared" si="143"/>
        <v>-0.558939132477074+5.39922060738771i</v>
      </c>
      <c r="BD134" s="50">
        <f t="shared" si="144"/>
        <v>14.69291648671836</v>
      </c>
      <c r="BE134" s="62">
        <f t="shared" si="145"/>
        <v>95.9103311139054</v>
      </c>
      <c r="BF134" s="59" t="str">
        <f t="shared" si="146"/>
        <v>44.0150236716209+131.169065929483i</v>
      </c>
      <c r="BG134" s="65">
        <f t="shared" si="147"/>
        <v>42.820019718784295</v>
      </c>
      <c r="BH134" s="62">
        <f t="shared" si="148"/>
        <v>71.450333970285513</v>
      </c>
      <c r="BI134" s="59" t="str">
        <f t="shared" si="152"/>
        <v>121.723154023384+373.547900990837i</v>
      </c>
      <c r="BJ134" s="65">
        <f t="shared" si="149"/>
        <v>51.885194656730455</v>
      </c>
      <c r="BK134" s="62">
        <f t="shared" si="153"/>
        <v>71.951444221058352</v>
      </c>
      <c r="BL134" s="50">
        <f t="shared" si="150"/>
        <v>42.820019718784295</v>
      </c>
      <c r="BM134" s="62">
        <f t="shared" si="151"/>
        <v>71.450333970285513</v>
      </c>
    </row>
    <row r="135" spans="14:65" x14ac:dyDescent="0.3">
      <c r="N135" s="11">
        <v>17</v>
      </c>
      <c r="O135" s="51">
        <f t="shared" si="154"/>
        <v>147.91083881682084</v>
      </c>
      <c r="P135" s="49" t="str">
        <f t="shared" si="103"/>
        <v>27.9103246607183</v>
      </c>
      <c r="Q135" s="18" t="str">
        <f t="shared" si="104"/>
        <v>1+0.456517493930811i</v>
      </c>
      <c r="R135" s="18">
        <f t="shared" si="117"/>
        <v>1.0992762265531206</v>
      </c>
      <c r="S135" s="18">
        <f t="shared" si="118"/>
        <v>0.42826063983136325</v>
      </c>
      <c r="T135" s="18" t="str">
        <f t="shared" si="105"/>
        <v>1+0.000408914532059642i</v>
      </c>
      <c r="U135" s="18">
        <f t="shared" si="119"/>
        <v>1.0000000836055438</v>
      </c>
      <c r="V135" s="18">
        <f t="shared" si="120"/>
        <v>4.0891450926796213E-4</v>
      </c>
      <c r="W135" s="32" t="str">
        <f t="shared" si="106"/>
        <v>1-0.00539253170785722i</v>
      </c>
      <c r="X135" s="18">
        <f t="shared" si="121"/>
        <v>1.0000145395934104</v>
      </c>
      <c r="Y135" s="18">
        <f t="shared" si="122"/>
        <v>-5.3924794382435486E-3</v>
      </c>
      <c r="Z135" s="32" t="str">
        <f t="shared" si="107"/>
        <v>0.999999547983136+0.00246594894720883i</v>
      </c>
      <c r="AA135" s="18">
        <f t="shared" si="123"/>
        <v>1.0000025884319932</v>
      </c>
      <c r="AB135" s="18">
        <f t="shared" si="124"/>
        <v>2.4659450634715242E-3</v>
      </c>
      <c r="AC135" s="67" t="str">
        <f t="shared" si="125"/>
        <v>23.0178568897645-10.715973164572i</v>
      </c>
      <c r="AD135" s="65">
        <f t="shared" si="126"/>
        <v>28.093265582404221</v>
      </c>
      <c r="AE135" s="62">
        <f t="shared" si="127"/>
        <v>-24.964352675917127</v>
      </c>
      <c r="AF135" s="50" t="str">
        <f t="shared" si="108"/>
        <v>79.1527877025864</v>
      </c>
      <c r="AG135" s="50" t="str">
        <f t="shared" si="109"/>
        <v>1+0.452951481666063i</v>
      </c>
      <c r="AH135" s="50">
        <f t="shared" si="128"/>
        <v>1.0978000932517185</v>
      </c>
      <c r="AI135" s="50">
        <f t="shared" si="129"/>
        <v>0.42530566786299773</v>
      </c>
      <c r="AJ135" s="50" t="str">
        <f t="shared" si="110"/>
        <v>1+0.000408914532059642i</v>
      </c>
      <c r="AK135" s="50">
        <f t="shared" si="130"/>
        <v>1.0000000836055438</v>
      </c>
      <c r="AL135" s="50">
        <f t="shared" si="131"/>
        <v>4.0891450926796213E-4</v>
      </c>
      <c r="AM135" s="50" t="str">
        <f t="shared" si="111"/>
        <v>1-0.00188662228679888i</v>
      </c>
      <c r="AN135" s="50">
        <f t="shared" si="132"/>
        <v>1.000001779670243</v>
      </c>
      <c r="AO135" s="50">
        <f t="shared" si="133"/>
        <v>-1.8866200484246394E-3</v>
      </c>
      <c r="AP135" s="59" t="str">
        <f t="shared" si="134"/>
        <v>65.6340555034818-29.846007376252i</v>
      </c>
      <c r="AQ135" s="50">
        <f t="shared" si="135"/>
        <v>37.158875217423933</v>
      </c>
      <c r="AR135" s="62">
        <f t="shared" si="136"/>
        <v>-24.452886062299289</v>
      </c>
      <c r="AS135" s="32" t="str">
        <f t="shared" si="112"/>
        <v>-0.0000166666666666667</v>
      </c>
      <c r="AT135" s="32" t="str">
        <f t="shared" si="113"/>
        <v>3.15979411136995E-06i</v>
      </c>
      <c r="AU135" s="32">
        <f t="shared" si="137"/>
        <v>3.1597941113699498E-6</v>
      </c>
      <c r="AV135" s="32">
        <f t="shared" si="138"/>
        <v>1.5707963267948966</v>
      </c>
      <c r="AW135" s="32" t="str">
        <f t="shared" si="114"/>
        <v>1+0.00321118176646836i</v>
      </c>
      <c r="AX135" s="32">
        <f t="shared" si="139"/>
        <v>1.0000051558308773</v>
      </c>
      <c r="AY135" s="32">
        <f t="shared" si="140"/>
        <v>3.2111707289681256E-3</v>
      </c>
      <c r="AZ135" s="32" t="str">
        <f t="shared" si="115"/>
        <v>1+0.109180180059924i</v>
      </c>
      <c r="BA135" s="32">
        <f t="shared" si="141"/>
        <v>1.0059424992105253</v>
      </c>
      <c r="BB135" s="32">
        <f t="shared" si="142"/>
        <v>0.10874943605674371</v>
      </c>
      <c r="BC135" s="59" t="str">
        <f t="shared" si="143"/>
        <v>-0.558938873074743+5.27640012264673i</v>
      </c>
      <c r="BD135" s="50">
        <f t="shared" si="144"/>
        <v>14.495217634955132</v>
      </c>
      <c r="BE135" s="62">
        <f t="shared" si="145"/>
        <v>96.046897180413396</v>
      </c>
      <c r="BF135" s="59" t="str">
        <f t="shared" si="146"/>
        <v>43.6761871292661+127.440996880723i</v>
      </c>
      <c r="BG135" s="65">
        <f t="shared" si="147"/>
        <v>42.58848321735934</v>
      </c>
      <c r="BH135" s="62">
        <f t="shared" si="148"/>
        <v>71.082544504496241</v>
      </c>
      <c r="BI135" s="59" t="str">
        <f t="shared" si="152"/>
        <v>120.79405196213+362.993632237036i</v>
      </c>
      <c r="BJ135" s="65">
        <f t="shared" si="149"/>
        <v>51.654092852379058</v>
      </c>
      <c r="BK135" s="62">
        <f t="shared" si="153"/>
        <v>71.594011118114111</v>
      </c>
      <c r="BL135" s="50">
        <f t="shared" si="150"/>
        <v>42.58848321735934</v>
      </c>
      <c r="BM135" s="62">
        <f t="shared" si="151"/>
        <v>71.082544504496241</v>
      </c>
    </row>
    <row r="136" spans="14:65" x14ac:dyDescent="0.3">
      <c r="N136" s="11">
        <v>18</v>
      </c>
      <c r="O136" s="51">
        <f t="shared" si="154"/>
        <v>151.3561248436209</v>
      </c>
      <c r="P136" s="49" t="str">
        <f t="shared" si="103"/>
        <v>27.9103246607183</v>
      </c>
      <c r="Q136" s="18" t="str">
        <f t="shared" si="104"/>
        <v>1+0.46715115239297i</v>
      </c>
      <c r="R136" s="18">
        <f t="shared" si="117"/>
        <v>1.1037346597720306</v>
      </c>
      <c r="S136" s="18">
        <f t="shared" si="118"/>
        <v>0.43702493006061549</v>
      </c>
      <c r="T136" s="18" t="str">
        <f t="shared" si="105"/>
        <v>1+0.000418439375098395i</v>
      </c>
      <c r="U136" s="18">
        <f t="shared" si="119"/>
        <v>1.0000000875457515</v>
      </c>
      <c r="V136" s="18">
        <f t="shared" si="120"/>
        <v>4.1843935067667015E-4</v>
      </c>
      <c r="W136" s="32" t="str">
        <f t="shared" si="106"/>
        <v>1-0.00551813990730205i</v>
      </c>
      <c r="X136" s="18">
        <f t="shared" si="121"/>
        <v>1.0000152248181207</v>
      </c>
      <c r="Y136" s="18">
        <f t="shared" si="122"/>
        <v>-5.5180838994479779E-3</v>
      </c>
      <c r="Z136" s="32" t="str">
        <f t="shared" si="107"/>
        <v>0.999999526680237+0.0025233882770009i</v>
      </c>
      <c r="AA136" s="18">
        <f t="shared" si="123"/>
        <v>1.000002710420874</v>
      </c>
      <c r="AB136" s="18">
        <f t="shared" si="124"/>
        <v>2.523384115502006E-3</v>
      </c>
      <c r="AC136" s="67" t="str">
        <f t="shared" si="125"/>
        <v>22.8285865201509-10.8771623258742i</v>
      </c>
      <c r="AD136" s="65">
        <f t="shared" si="126"/>
        <v>28.058113613237889</v>
      </c>
      <c r="AE136" s="62">
        <f t="shared" si="127"/>
        <v>-25.476451404043328</v>
      </c>
      <c r="AF136" s="50" t="str">
        <f t="shared" si="108"/>
        <v>79.1527877025864</v>
      </c>
      <c r="AG136" s="50" t="str">
        <f t="shared" si="109"/>
        <v>1+0.463502077032067i</v>
      </c>
      <c r="AH136" s="50">
        <f t="shared" si="128"/>
        <v>1.102195162125583</v>
      </c>
      <c r="AI136" s="50">
        <f t="shared" si="129"/>
        <v>0.43402535107235013</v>
      </c>
      <c r="AJ136" s="50" t="str">
        <f t="shared" si="110"/>
        <v>1+0.000418439375098395i</v>
      </c>
      <c r="AK136" s="50">
        <f t="shared" si="130"/>
        <v>1.0000000875457515</v>
      </c>
      <c r="AL136" s="50">
        <f t="shared" si="131"/>
        <v>4.1843935067667015E-4</v>
      </c>
      <c r="AM136" s="50" t="str">
        <f t="shared" si="111"/>
        <v>1-0.00193056736516199i</v>
      </c>
      <c r="AN136" s="50">
        <f t="shared" si="132"/>
        <v>1.0000018635434393</v>
      </c>
      <c r="AO136" s="50">
        <f t="shared" si="133"/>
        <v>-1.9305649667010205E-3</v>
      </c>
      <c r="AP136" s="59" t="str">
        <f t="shared" si="134"/>
        <v>65.1096067902933-30.2981271278188i</v>
      </c>
      <c r="AQ136" s="50">
        <f t="shared" si="135"/>
        <v>37.1241712380629</v>
      </c>
      <c r="AR136" s="62">
        <f t="shared" si="136"/>
        <v>-24.954459234021368</v>
      </c>
      <c r="AS136" s="32" t="str">
        <f t="shared" si="112"/>
        <v>-0.0000166666666666667</v>
      </c>
      <c r="AT136" s="32" t="str">
        <f t="shared" si="113"/>
        <v>3.23339517121487E-06i</v>
      </c>
      <c r="AU136" s="32">
        <f t="shared" si="137"/>
        <v>3.23339517121487E-6</v>
      </c>
      <c r="AV136" s="32">
        <f t="shared" si="138"/>
        <v>1.5707963267948966</v>
      </c>
      <c r="AW136" s="32" t="str">
        <f t="shared" si="114"/>
        <v>1+0.0032859797985668i</v>
      </c>
      <c r="AX136" s="32">
        <f t="shared" si="139"/>
        <v>1.0000053988170448</v>
      </c>
      <c r="AY136" s="32">
        <f t="shared" si="140"/>
        <v>3.285967971675666E-3</v>
      </c>
      <c r="AZ136" s="32" t="str">
        <f t="shared" si="115"/>
        <v>1+0.111723313151271i</v>
      </c>
      <c r="BA136" s="32">
        <f t="shared" si="141"/>
        <v>1.0062216946088456</v>
      </c>
      <c r="BB136" s="32">
        <f t="shared" si="142"/>
        <v>0.11126191663056292</v>
      </c>
      <c r="BC136" s="59" t="str">
        <f t="shared" si="143"/>
        <v>-0.558938601447411+5.15637725501363i</v>
      </c>
      <c r="BD136" s="50">
        <f t="shared" si="144"/>
        <v>14.297625924560762</v>
      </c>
      <c r="BE136" s="62">
        <f t="shared" si="145"/>
        <v>96.18656614707551</v>
      </c>
      <c r="BF136" s="59" t="str">
        <f t="shared" si="146"/>
        <v>43.3269741936345+123.792470194757i</v>
      </c>
      <c r="BG136" s="65">
        <f t="shared" si="147"/>
        <v>42.355739537798627</v>
      </c>
      <c r="BH136" s="62">
        <f t="shared" si="148"/>
        <v>70.710114743032122</v>
      </c>
      <c r="BI136" s="59" t="str">
        <f t="shared" si="152"/>
        <v>119.836301031239+352.664488339648i</v>
      </c>
      <c r="BJ136" s="65">
        <f t="shared" si="149"/>
        <v>51.421797162623662</v>
      </c>
      <c r="BK136" s="62">
        <f t="shared" si="153"/>
        <v>71.23210691305411</v>
      </c>
      <c r="BL136" s="50">
        <f t="shared" si="150"/>
        <v>42.355739537798627</v>
      </c>
      <c r="BM136" s="62">
        <f t="shared" si="151"/>
        <v>70.710114743032122</v>
      </c>
    </row>
    <row r="137" spans="14:65" x14ac:dyDescent="0.3">
      <c r="N137" s="11">
        <v>19</v>
      </c>
      <c r="O137" s="51">
        <f t="shared" si="154"/>
        <v>154.8816618912482</v>
      </c>
      <c r="P137" s="49" t="str">
        <f t="shared" si="103"/>
        <v>27.9103246607183</v>
      </c>
      <c r="Q137" s="18" t="str">
        <f t="shared" si="104"/>
        <v>1+0.478032500579605i</v>
      </c>
      <c r="R137" s="18">
        <f t="shared" si="117"/>
        <v>1.1083839910475024</v>
      </c>
      <c r="S137" s="18">
        <f t="shared" si="118"/>
        <v>0.44591967520295672</v>
      </c>
      <c r="T137" s="18" t="str">
        <f t="shared" si="105"/>
        <v>1+0.000428186080232525i</v>
      </c>
      <c r="U137" s="18">
        <f t="shared" si="119"/>
        <v>1.0000000916716556</v>
      </c>
      <c r="V137" s="18">
        <f t="shared" si="120"/>
        <v>4.2818605406417544E-4</v>
      </c>
      <c r="W137" s="32" t="str">
        <f t="shared" si="106"/>
        <v>1-0.00564667389756696i</v>
      </c>
      <c r="X137" s="18">
        <f t="shared" si="121"/>
        <v>1.0000159423359736</v>
      </c>
      <c r="Y137" s="18">
        <f t="shared" si="122"/>
        <v>-5.646613884121748E-3</v>
      </c>
      <c r="Z137" s="32" t="str">
        <f t="shared" si="107"/>
        <v>0.999999504373364+0.00258216554065843i</v>
      </c>
      <c r="AA137" s="18">
        <f t="shared" si="123"/>
        <v>1.000002838158899</v>
      </c>
      <c r="AB137" s="18">
        <f t="shared" si="124"/>
        <v>2.5821610815327028E-3</v>
      </c>
      <c r="AC137" s="67" t="str">
        <f t="shared" si="125"/>
        <v>22.6336398555472-11.0373330913792i</v>
      </c>
      <c r="AD137" s="65">
        <f t="shared" si="126"/>
        <v>28.021607495282002</v>
      </c>
      <c r="AE137" s="62">
        <f t="shared" si="127"/>
        <v>-25.996256213324529</v>
      </c>
      <c r="AF137" s="50" t="str">
        <f t="shared" si="108"/>
        <v>79.1527877025864</v>
      </c>
      <c r="AG137" s="50" t="str">
        <f t="shared" si="109"/>
        <v>1+0.474298427334488i</v>
      </c>
      <c r="AH137" s="50">
        <f t="shared" si="128"/>
        <v>1.1067786581661072</v>
      </c>
      <c r="AI137" s="50">
        <f t="shared" si="129"/>
        <v>0.4428757604702675</v>
      </c>
      <c r="AJ137" s="50" t="str">
        <f t="shared" si="110"/>
        <v>1+0.000428186080232525i</v>
      </c>
      <c r="AK137" s="50">
        <f t="shared" si="130"/>
        <v>1.0000000916716556</v>
      </c>
      <c r="AL137" s="50">
        <f t="shared" si="131"/>
        <v>4.2818605406417544E-4</v>
      </c>
      <c r="AM137" s="50" t="str">
        <f t="shared" si="111"/>
        <v>1-0.00197553605589618i</v>
      </c>
      <c r="AN137" s="50">
        <f t="shared" si="132"/>
        <v>1.0000019513694502</v>
      </c>
      <c r="AO137" s="50">
        <f t="shared" si="133"/>
        <v>-1.9755334858992191E-3</v>
      </c>
      <c r="AP137" s="59" t="str">
        <f t="shared" si="134"/>
        <v>64.569315460216-30.7476018409702i</v>
      </c>
      <c r="AQ137" s="50">
        <f t="shared" si="135"/>
        <v>37.088126523182744</v>
      </c>
      <c r="AR137" s="62">
        <f t="shared" si="136"/>
        <v>-25.463568400877662</v>
      </c>
      <c r="AS137" s="32" t="str">
        <f t="shared" si="112"/>
        <v>-0.0000166666666666667</v>
      </c>
      <c r="AT137" s="32" t="str">
        <f t="shared" si="113"/>
        <v>0.0000033087106199786i</v>
      </c>
      <c r="AU137" s="32">
        <f t="shared" si="137"/>
        <v>3.3087106199785999E-6</v>
      </c>
      <c r="AV137" s="32">
        <f t="shared" si="138"/>
        <v>1.5707963267948966</v>
      </c>
      <c r="AW137" s="32" t="str">
        <f t="shared" si="114"/>
        <v>1+0.00336252010064953i</v>
      </c>
      <c r="AX137" s="32">
        <f t="shared" si="139"/>
        <v>1.0000056532547341</v>
      </c>
      <c r="AY137" s="32">
        <f t="shared" si="140"/>
        <v>3.362507427911228E-3</v>
      </c>
      <c r="AZ137" s="32" t="str">
        <f t="shared" si="115"/>
        <v>1+0.114325683422084i</v>
      </c>
      <c r="BA137" s="32">
        <f t="shared" si="141"/>
        <v>1.0065139650744677</v>
      </c>
      <c r="BB137" s="32">
        <f t="shared" si="142"/>
        <v>0.11383146078694543</v>
      </c>
      <c r="BC137" s="59" t="str">
        <f t="shared" si="143"/>
        <v>-0.558938317018964+5.03908836676974i</v>
      </c>
      <c r="BD137" s="50">
        <f t="shared" si="144"/>
        <v>14.100146280312504</v>
      </c>
      <c r="BE137" s="62">
        <f t="shared" si="145"/>
        <v>96.329404794700181</v>
      </c>
      <c r="BF137" s="59" t="str">
        <f t="shared" si="146"/>
        <v>42.9672882120587+120.222099676217i</v>
      </c>
      <c r="BG137" s="65">
        <f t="shared" si="147"/>
        <v>42.121753775594499</v>
      </c>
      <c r="BH137" s="62">
        <f t="shared" si="148"/>
        <v>70.333148581375667</v>
      </c>
      <c r="BI137" s="59" t="str">
        <f t="shared" si="152"/>
        <v>118.849618228501+342.556499211221i</v>
      </c>
      <c r="BJ137" s="65">
        <f t="shared" si="149"/>
        <v>51.188272803495245</v>
      </c>
      <c r="BK137" s="62">
        <f t="shared" si="153"/>
        <v>70.865836393822548</v>
      </c>
      <c r="BL137" s="50">
        <f t="shared" si="150"/>
        <v>42.121753775594499</v>
      </c>
      <c r="BM137" s="62">
        <f t="shared" si="151"/>
        <v>70.333148581375667</v>
      </c>
    </row>
    <row r="138" spans="14:65" x14ac:dyDescent="0.3">
      <c r="N138" s="11">
        <v>20</v>
      </c>
      <c r="O138" s="51">
        <f t="shared" si="154"/>
        <v>158.48931924611153</v>
      </c>
      <c r="P138" s="49" t="str">
        <f t="shared" si="103"/>
        <v>27.9103246607183</v>
      </c>
      <c r="Q138" s="18" t="str">
        <f t="shared" si="104"/>
        <v>1+0.489167307925556i</v>
      </c>
      <c r="R138" s="18">
        <f t="shared" si="117"/>
        <v>1.1132316269057108</v>
      </c>
      <c r="S138" s="18">
        <f t="shared" si="118"/>
        <v>0.4549439605955945</v>
      </c>
      <c r="T138" s="18" t="str">
        <f t="shared" si="105"/>
        <v>1+0.000438159815294108i</v>
      </c>
      <c r="U138" s="18">
        <f t="shared" si="119"/>
        <v>1.0000000959920072</v>
      </c>
      <c r="V138" s="18">
        <f t="shared" si="120"/>
        <v>4.3815978725421644E-4</v>
      </c>
      <c r="W138" s="32" t="str">
        <f t="shared" si="106"/>
        <v>1-0.00577820182907493i</v>
      </c>
      <c r="X138" s="18">
        <f t="shared" si="121"/>
        <v>1.0000166936688495</v>
      </c>
      <c r="Y138" s="18">
        <f t="shared" si="122"/>
        <v>-5.7781375235677898E-3</v>
      </c>
      <c r="Z138" s="32" t="str">
        <f t="shared" si="107"/>
        <v>0.9999994810152+0.00264231190266462i</v>
      </c>
      <c r="AA138" s="18">
        <f t="shared" si="123"/>
        <v>1.000002971917014</v>
      </c>
      <c r="AB138" s="18">
        <f t="shared" si="124"/>
        <v>2.6423071246260807E-3</v>
      </c>
      <c r="AC138" s="67" t="str">
        <f t="shared" si="125"/>
        <v>22.4329737168366-11.1962662363346i</v>
      </c>
      <c r="AD138" s="65">
        <f t="shared" si="126"/>
        <v>27.98370706245629</v>
      </c>
      <c r="AE138" s="62">
        <f t="shared" si="127"/>
        <v>-26.523720090496678</v>
      </c>
      <c r="AF138" s="50" t="str">
        <f t="shared" si="108"/>
        <v>79.1527877025864</v>
      </c>
      <c r="AG138" s="50" t="str">
        <f t="shared" si="109"/>
        <v>1+0.485346256941165i</v>
      </c>
      <c r="AH138" s="50">
        <f t="shared" si="128"/>
        <v>1.1115579108291207</v>
      </c>
      <c r="AI138" s="50">
        <f t="shared" si="129"/>
        <v>0.45185604164532001</v>
      </c>
      <c r="AJ138" s="50" t="str">
        <f t="shared" si="110"/>
        <v>1+0.000438159815294108i</v>
      </c>
      <c r="AK138" s="50">
        <f t="shared" si="130"/>
        <v>1.0000000959920072</v>
      </c>
      <c r="AL138" s="50">
        <f t="shared" si="131"/>
        <v>4.3815978725421644E-4</v>
      </c>
      <c r="AM138" s="50" t="str">
        <f t="shared" si="111"/>
        <v>1-0.00202155220199653i</v>
      </c>
      <c r="AN138" s="50">
        <f t="shared" si="132"/>
        <v>1.0000020433345651</v>
      </c>
      <c r="AO138" s="50">
        <f t="shared" si="133"/>
        <v>-2.021549448195476E-3</v>
      </c>
      <c r="AP138" s="59" t="str">
        <f t="shared" si="134"/>
        <v>64.0130516429121-31.1938249317034i</v>
      </c>
      <c r="AQ138" s="50">
        <f t="shared" si="135"/>
        <v>37.050701005010737</v>
      </c>
      <c r="AR138" s="62">
        <f t="shared" si="136"/>
        <v>-25.980165678660963</v>
      </c>
      <c r="AS138" s="32" t="str">
        <f t="shared" si="112"/>
        <v>-0.0000166666666666667</v>
      </c>
      <c r="AT138" s="32" t="str">
        <f t="shared" si="113"/>
        <v>3.38578039090901E-06i</v>
      </c>
      <c r="AU138" s="32">
        <f t="shared" si="137"/>
        <v>3.38578039090901E-6</v>
      </c>
      <c r="AV138" s="32">
        <f t="shared" si="138"/>
        <v>1.5707963267948966</v>
      </c>
      <c r="AW138" s="32" t="str">
        <f t="shared" si="114"/>
        <v>1+0.00344084325539785i</v>
      </c>
      <c r="AX138" s="32">
        <f t="shared" si="139"/>
        <v>1.0000059196836328</v>
      </c>
      <c r="AY138" s="32">
        <f t="shared" si="140"/>
        <v>3.4408296763184507E-3</v>
      </c>
      <c r="AZ138" s="32" t="str">
        <f t="shared" si="115"/>
        <v>1+0.116988670683527i</v>
      </c>
      <c r="BA138" s="32">
        <f t="shared" si="141"/>
        <v>1.0068199188873346</v>
      </c>
      <c r="BB138" s="32">
        <f t="shared" si="142"/>
        <v>0.1164592951342279</v>
      </c>
      <c r="BC138" s="59" t="str">
        <f t="shared" si="143"/>
        <v>-0.55893801918613+4.92447126978794i</v>
      </c>
      <c r="BD138" s="50">
        <f t="shared" si="144"/>
        <v>13.902783847292838</v>
      </c>
      <c r="BE138" s="62">
        <f t="shared" si="145"/>
        <v>96.475481077783314</v>
      </c>
      <c r="BF138" s="59" t="str">
        <f t="shared" si="146"/>
        <v>42.5970495159833+116.728553436887i</v>
      </c>
      <c r="BG138" s="65">
        <f t="shared" si="147"/>
        <v>41.886490909749121</v>
      </c>
      <c r="BH138" s="62">
        <f t="shared" si="148"/>
        <v>69.951760987286619</v>
      </c>
      <c r="BI138" s="59" t="str">
        <f t="shared" si="152"/>
        <v>117.833766383619+332.665848425138i</v>
      </c>
      <c r="BJ138" s="65">
        <f t="shared" si="149"/>
        <v>50.953484852303589</v>
      </c>
      <c r="BK138" s="62">
        <f t="shared" si="153"/>
        <v>70.495315399122447</v>
      </c>
      <c r="BL138" s="50">
        <f t="shared" si="150"/>
        <v>41.886490909749121</v>
      </c>
      <c r="BM138" s="62">
        <f t="shared" si="151"/>
        <v>69.951760987286619</v>
      </c>
    </row>
    <row r="139" spans="14:65" x14ac:dyDescent="0.3">
      <c r="N139" s="11">
        <v>21</v>
      </c>
      <c r="O139" s="51">
        <f t="shared" si="154"/>
        <v>162.18100973589304</v>
      </c>
      <c r="P139" s="49" t="str">
        <f t="shared" si="103"/>
        <v>27.9103246607183</v>
      </c>
      <c r="Q139" s="18" t="str">
        <f t="shared" si="104"/>
        <v>1+0.500561478253061i</v>
      </c>
      <c r="R139" s="18">
        <f t="shared" si="117"/>
        <v>1.1182852022229792</v>
      </c>
      <c r="S139" s="18">
        <f t="shared" si="118"/>
        <v>0.46409669071321252</v>
      </c>
      <c r="T139" s="18" t="str">
        <f t="shared" si="105"/>
        <v>1+0.000448365868489489i</v>
      </c>
      <c r="U139" s="18">
        <f t="shared" si="119"/>
        <v>1.0000001005159709</v>
      </c>
      <c r="V139" s="18">
        <f t="shared" si="120"/>
        <v>4.4836583844420403E-4</v>
      </c>
      <c r="W139" s="32" t="str">
        <f t="shared" si="106"/>
        <v>1-0.00591279343967619i</v>
      </c>
      <c r="X139" s="18">
        <f t="shared" si="121"/>
        <v>1.0000174804103477</v>
      </c>
      <c r="Y139" s="18">
        <f t="shared" si="122"/>
        <v>-5.9127245351489072E-3</v>
      </c>
      <c r="Z139" s="32" t="str">
        <f t="shared" si="107"/>
        <v>0.9999994565562+0.00270385925341672i</v>
      </c>
      <c r="AA139" s="18">
        <f t="shared" si="123"/>
        <v>1.0000031119789368</v>
      </c>
      <c r="AB139" s="18">
        <f t="shared" si="124"/>
        <v>2.7038541336570372E-3</v>
      </c>
      <c r="AC139" s="67" t="str">
        <f t="shared" si="125"/>
        <v>22.2265548345251-11.3537353798937i</v>
      </c>
      <c r="AD139" s="65">
        <f t="shared" si="126"/>
        <v>27.944371879291232</v>
      </c>
      <c r="AE139" s="62">
        <f t="shared" si="127"/>
        <v>-27.058785785199767</v>
      </c>
      <c r="AF139" s="50" t="str">
        <f t="shared" si="108"/>
        <v>79.1527877025864</v>
      </c>
      <c r="AG139" s="50" t="str">
        <f t="shared" si="109"/>
        <v>1+0.496651423557586i</v>
      </c>
      <c r="AH139" s="50">
        <f t="shared" si="128"/>
        <v>1.116540476884639</v>
      </c>
      <c r="AI139" s="50">
        <f t="shared" si="129"/>
        <v>0.46096516131970411</v>
      </c>
      <c r="AJ139" s="50" t="str">
        <f t="shared" si="110"/>
        <v>1+0.000448365868489489i</v>
      </c>
      <c r="AK139" s="50">
        <f t="shared" si="130"/>
        <v>1.0000001005159709</v>
      </c>
      <c r="AL139" s="50">
        <f t="shared" si="131"/>
        <v>4.4836583844420403E-4</v>
      </c>
      <c r="AM139" s="50" t="str">
        <f t="shared" si="111"/>
        <v>1-0.00206864020183276i</v>
      </c>
      <c r="AN139" s="50">
        <f t="shared" si="132"/>
        <v>1.0000021396338534</v>
      </c>
      <c r="AO139" s="50">
        <f t="shared" si="133"/>
        <v>-2.068637251082109E-3</v>
      </c>
      <c r="AP139" s="59" t="str">
        <f t="shared" si="134"/>
        <v>63.4407125373166-31.6361694234929i</v>
      </c>
      <c r="AQ139" s="50">
        <f t="shared" si="135"/>
        <v>37.011854322442673</v>
      </c>
      <c r="AR139" s="62">
        <f t="shared" si="136"/>
        <v>-26.504192959796004</v>
      </c>
      <c r="AS139" s="32" t="str">
        <f t="shared" si="112"/>
        <v>-0.0000166666666666667</v>
      </c>
      <c r="AT139" s="32" t="str">
        <f t="shared" si="113"/>
        <v>3.46464534741878E-06i</v>
      </c>
      <c r="AU139" s="32">
        <f t="shared" si="137"/>
        <v>3.46464534741878E-6</v>
      </c>
      <c r="AV139" s="32">
        <f t="shared" si="138"/>
        <v>1.5707963267948966</v>
      </c>
      <c r="AW139" s="32" t="str">
        <f t="shared" si="114"/>
        <v>1+0.0035209907907851i</v>
      </c>
      <c r="AX139" s="32">
        <f t="shared" si="139"/>
        <v>1.0000061986688626</v>
      </c>
      <c r="AY139" s="32">
        <f t="shared" si="140"/>
        <v>3.5209762405442476E-3</v>
      </c>
      <c r="AZ139" s="32" t="str">
        <f t="shared" si="115"/>
        <v>1+0.119713686886693i</v>
      </c>
      <c r="BA139" s="32">
        <f t="shared" si="141"/>
        <v>1.0071401922413807</v>
      </c>
      <c r="BB139" s="32">
        <f t="shared" si="142"/>
        <v>0.11914666773421653</v>
      </c>
      <c r="BC139" s="59" t="str">
        <f t="shared" si="143"/>
        <v>-0.558937707317198+4.81246519255986i</v>
      </c>
      <c r="BD139" s="50">
        <f t="shared" si="144"/>
        <v>13.705544000168672</v>
      </c>
      <c r="BE139" s="62">
        <f t="shared" si="145"/>
        <v>96.624864125869138</v>
      </c>
      <c r="BF139" s="59" t="str">
        <f t="shared" si="146"/>
        <v>42.2161967205044+113.310552314399i</v>
      </c>
      <c r="BG139" s="65">
        <f t="shared" si="147"/>
        <v>41.649915879459904</v>
      </c>
      <c r="BH139" s="62">
        <f t="shared" si="148"/>
        <v>69.566078340669364</v>
      </c>
      <c r="BI139" s="59" t="str">
        <f t="shared" si="152"/>
        <v>116.788557760309+322.988868882898i</v>
      </c>
      <c r="BJ139" s="65">
        <f t="shared" si="149"/>
        <v>50.717398322611359</v>
      </c>
      <c r="BK139" s="62">
        <f t="shared" si="153"/>
        <v>70.120671166073151</v>
      </c>
      <c r="BL139" s="50">
        <f t="shared" si="150"/>
        <v>41.649915879459904</v>
      </c>
      <c r="BM139" s="62">
        <f t="shared" si="151"/>
        <v>69.566078340669364</v>
      </c>
    </row>
    <row r="140" spans="14:65" x14ac:dyDescent="0.3">
      <c r="N140" s="11">
        <v>22</v>
      </c>
      <c r="O140" s="51">
        <f t="shared" si="154"/>
        <v>165.95869074375622</v>
      </c>
      <c r="P140" s="49" t="str">
        <f t="shared" si="103"/>
        <v>27.9103246607183</v>
      </c>
      <c r="Q140" s="18" t="str">
        <f t="shared" si="104"/>
        <v>1+0.512221052902054i</v>
      </c>
      <c r="R140" s="18">
        <f t="shared" si="117"/>
        <v>1.1235525831202067</v>
      </c>
      <c r="S140" s="18">
        <f t="shared" si="118"/>
        <v>0.47337658352658396</v>
      </c>
      <c r="T140" s="18" t="str">
        <f t="shared" si="105"/>
        <v>1+0.00045880965120317i</v>
      </c>
      <c r="U140" s="18">
        <f t="shared" si="119"/>
        <v>1.0000001052531424</v>
      </c>
      <c r="V140" s="18">
        <f t="shared" si="120"/>
        <v>4.5880961900906733E-4</v>
      </c>
      <c r="W140" s="32" t="str">
        <f t="shared" si="106"/>
        <v>1-0.00605052009162428i</v>
      </c>
      <c r="X140" s="18">
        <f t="shared" si="121"/>
        <v>1.0000183042291673</v>
      </c>
      <c r="Y140" s="18">
        <f t="shared" si="122"/>
        <v>-6.0504462591660672E-3</v>
      </c>
      <c r="Z140" s="32" t="str">
        <f t="shared" si="107"/>
        <v>0.999999430944483+0.00276684022613481i</v>
      </c>
      <c r="AA140" s="18">
        <f t="shared" si="123"/>
        <v>1.000003258641754</v>
      </c>
      <c r="AB140" s="18">
        <f t="shared" si="124"/>
        <v>2.7668347402144285E-3</v>
      </c>
      <c r="AC140" s="67" t="str">
        <f t="shared" si="125"/>
        <v>22.0143605486362-11.5095074071395i</v>
      </c>
      <c r="AD140" s="65">
        <f t="shared" si="126"/>
        <v>27.903561313288868</v>
      </c>
      <c r="AE140" s="62">
        <f t="shared" si="127"/>
        <v>-27.601385489671493</v>
      </c>
      <c r="AF140" s="50" t="str">
        <f t="shared" si="108"/>
        <v>79.1527877025864</v>
      </c>
      <c r="AG140" s="50" t="str">
        <f t="shared" si="109"/>
        <v>1+0.508219921332741i</v>
      </c>
      <c r="AH140" s="50">
        <f t="shared" si="128"/>
        <v>1.1217341433866839</v>
      </c>
      <c r="AI140" s="50">
        <f t="shared" si="129"/>
        <v>0.47020190159424341</v>
      </c>
      <c r="AJ140" s="50" t="str">
        <f t="shared" si="110"/>
        <v>1+0.00045880965120317i</v>
      </c>
      <c r="AK140" s="50">
        <f t="shared" si="130"/>
        <v>1.0000001052531424</v>
      </c>
      <c r="AL140" s="50">
        <f t="shared" si="131"/>
        <v>4.5880961900906733E-4</v>
      </c>
      <c r="AM140" s="50" t="str">
        <f t="shared" si="111"/>
        <v>1-0.00211682502208572i</v>
      </c>
      <c r="AN140" s="50">
        <f t="shared" si="132"/>
        <v>1.0000022404715772</v>
      </c>
      <c r="AO140" s="50">
        <f t="shared" si="133"/>
        <v>-2.116821860299815E-3</v>
      </c>
      <c r="AP140" s="59" t="str">
        <f t="shared" si="134"/>
        <v>62.8522243768532-32.0739890670512i</v>
      </c>
      <c r="AQ140" s="50">
        <f t="shared" si="135"/>
        <v>36.971545891699932</v>
      </c>
      <c r="AR140" s="62">
        <f t="shared" si="136"/>
        <v>-27.035581584182783</v>
      </c>
      <c r="AS140" s="32" t="str">
        <f t="shared" si="112"/>
        <v>-0.0000166666666666667</v>
      </c>
      <c r="AT140" s="32" t="str">
        <f t="shared" si="113"/>
        <v>3.54534730475176E-06i</v>
      </c>
      <c r="AU140" s="32">
        <f t="shared" si="137"/>
        <v>3.5453473047517602E-6</v>
      </c>
      <c r="AV140" s="32">
        <f t="shared" si="138"/>
        <v>1.5707963267948966</v>
      </c>
      <c r="AW140" s="32" t="str">
        <f t="shared" si="114"/>
        <v>1+0.00360300520209548i</v>
      </c>
      <c r="AX140" s="32">
        <f t="shared" si="139"/>
        <v>1.000006490802178</v>
      </c>
      <c r="AY140" s="32">
        <f t="shared" si="140"/>
        <v>3.602989611236976E-3</v>
      </c>
      <c r="AZ140" s="32" t="str">
        <f t="shared" si="115"/>
        <v>1+0.122502176871246i</v>
      </c>
      <c r="BA140" s="32">
        <f t="shared" si="141"/>
        <v>1.0074754504890895</v>
      </c>
      <c r="BB140" s="32">
        <f t="shared" si="142"/>
        <v>0.12189484811882367</v>
      </c>
      <c r="BC140" s="59" t="str">
        <f t="shared" si="143"/>
        <v>-0.558937380750716+4.70301074797386i</v>
      </c>
      <c r="BD140" s="50">
        <f t="shared" si="144"/>
        <v>13.508432352805656</v>
      </c>
      <c r="BE140" s="62">
        <f t="shared" si="145"/>
        <v>96.777624243243395</v>
      </c>
      <c r="BF140" s="59" t="str">
        <f t="shared" si="146"/>
        <v>41.8246880157052+109.966868193885i</v>
      </c>
      <c r="BG140" s="65">
        <f t="shared" si="147"/>
        <v>41.411993666094503</v>
      </c>
      <c r="BH140" s="62">
        <f t="shared" si="148"/>
        <v>69.176238753571866</v>
      </c>
      <c r="BI140" s="59" t="str">
        <f t="shared" si="152"/>
        <v>115.713857645183+313.52203821777i</v>
      </c>
      <c r="BJ140" s="65">
        <f t="shared" si="149"/>
        <v>50.479978244505588</v>
      </c>
      <c r="BK140" s="62">
        <f t="shared" si="153"/>
        <v>69.742042659060672</v>
      </c>
      <c r="BL140" s="50">
        <f t="shared" si="150"/>
        <v>41.411993666094503</v>
      </c>
      <c r="BM140" s="62">
        <f t="shared" si="151"/>
        <v>69.176238753571866</v>
      </c>
    </row>
    <row r="141" spans="14:65" x14ac:dyDescent="0.3">
      <c r="N141" s="11">
        <v>23</v>
      </c>
      <c r="O141" s="51">
        <f t="shared" si="154"/>
        <v>169.82436524617444</v>
      </c>
      <c r="P141" s="49" t="str">
        <f t="shared" si="103"/>
        <v>27.9103246607183</v>
      </c>
      <c r="Q141" s="18" t="str">
        <f t="shared" si="104"/>
        <v>1+0.52415221393334i</v>
      </c>
      <c r="R141" s="18">
        <f t="shared" si="117"/>
        <v>1.1290418696271727</v>
      </c>
      <c r="S141" s="18">
        <f t="shared" si="118"/>
        <v>0.48278216523033129</v>
      </c>
      <c r="T141" s="18" t="str">
        <f t="shared" si="105"/>
        <v>1+0.000469496700866979i</v>
      </c>
      <c r="U141" s="18">
        <f t="shared" si="119"/>
        <v>1.00000011021357</v>
      </c>
      <c r="V141" s="18">
        <f t="shared" si="120"/>
        <v>4.6949666637037665E-4</v>
      </c>
      <c r="W141" s="32" t="str">
        <f t="shared" si="106"/>
        <v>1-0.00619145480941301i</v>
      </c>
      <c r="X141" s="18">
        <f t="shared" si="121"/>
        <v>1.0000191668726441</v>
      </c>
      <c r="Y141" s="18">
        <f t="shared" si="122"/>
        <v>-6.191375696590575E-3</v>
      </c>
      <c r="Z141" s="32" t="str">
        <f t="shared" si="107"/>
        <v>0.999999404125723+0.00283128821416424i</v>
      </c>
      <c r="AA141" s="18">
        <f t="shared" si="123"/>
        <v>1.0000034122165546</v>
      </c>
      <c r="AB141" s="18">
        <f t="shared" si="124"/>
        <v>2.8312823358957176E-3</v>
      </c>
      <c r="AC141" s="67" t="str">
        <f t="shared" si="125"/>
        <v>21.7963794983909-11.6633429569799i</v>
      </c>
      <c r="AD141" s="65">
        <f t="shared" si="126"/>
        <v>27.861234612186717</v>
      </c>
      <c r="AE141" s="62">
        <f t="shared" si="127"/>
        <v>-28.151440539658328</v>
      </c>
      <c r="AF141" s="50" t="str">
        <f t="shared" si="108"/>
        <v>79.1527877025864</v>
      </c>
      <c r="AG141" s="50" t="str">
        <f t="shared" si="109"/>
        <v>1+0.520057884037268i</v>
      </c>
      <c r="AH141" s="50">
        <f t="shared" si="128"/>
        <v>1.1271469304173793</v>
      </c>
      <c r="AI141" s="50">
        <f t="shared" si="129"/>
        <v>0.47956485454439784</v>
      </c>
      <c r="AJ141" s="50" t="str">
        <f t="shared" si="110"/>
        <v>1+0.000469496700866979i</v>
      </c>
      <c r="AK141" s="50">
        <f t="shared" si="130"/>
        <v>1.00000011021357</v>
      </c>
      <c r="AL141" s="50">
        <f t="shared" si="131"/>
        <v>4.6949666637037665E-4</v>
      </c>
      <c r="AM141" s="50" t="str">
        <f t="shared" si="111"/>
        <v>1-0.00216613221098486i</v>
      </c>
      <c r="AN141" s="50">
        <f t="shared" si="132"/>
        <v>1.0000023460616259</v>
      </c>
      <c r="AO141" s="50">
        <f t="shared" si="133"/>
        <v>-2.1661288230706531E-3</v>
      </c>
      <c r="AP141" s="59" t="str">
        <f t="shared" si="134"/>
        <v>62.2475443716937-32.5066196428i</v>
      </c>
      <c r="AQ141" s="50">
        <f t="shared" si="135"/>
        <v>36.929734981910663</v>
      </c>
      <c r="AR141" s="62">
        <f t="shared" si="136"/>
        <v>-27.574252030164313</v>
      </c>
      <c r="AS141" s="32" t="str">
        <f t="shared" si="112"/>
        <v>-0.0000166666666666667</v>
      </c>
      <c r="AT141" s="32" t="str">
        <f t="shared" si="113"/>
        <v>3.62792905215393E-06i</v>
      </c>
      <c r="AU141" s="32">
        <f t="shared" si="137"/>
        <v>3.62792905215393E-6</v>
      </c>
      <c r="AV141" s="32">
        <f t="shared" si="138"/>
        <v>1.5707963267948966</v>
      </c>
      <c r="AW141" s="32" t="str">
        <f t="shared" si="114"/>
        <v>1+0.00368692997445539i</v>
      </c>
      <c r="AX141" s="32">
        <f t="shared" si="139"/>
        <v>1.0000067967032207</v>
      </c>
      <c r="AY141" s="32">
        <f t="shared" si="140"/>
        <v>3.6869132685556504E-3</v>
      </c>
      <c r="AZ141" s="32" t="str">
        <f t="shared" si="115"/>
        <v>1+0.125355619131483i</v>
      </c>
      <c r="BA141" s="32">
        <f t="shared" si="141"/>
        <v>1.0078263894381003</v>
      </c>
      <c r="BB141" s="32">
        <f t="shared" si="142"/>
        <v>0.12470512727558727</v>
      </c>
      <c r="BC141" s="59" t="str">
        <f t="shared" si="143"/>
        <v>-0.558937038794036+4.59604990182719i</v>
      </c>
      <c r="BD141" s="50">
        <f t="shared" si="144"/>
        <v>13.311454768225206</v>
      </c>
      <c r="BE141" s="62">
        <f t="shared" si="145"/>
        <v>96.933832906813905</v>
      </c>
      <c r="BF141" s="59" t="str">
        <f t="shared" si="146"/>
        <v>41.4225024391427+106.696322228581i</v>
      </c>
      <c r="BG141" s="65">
        <f t="shared" si="147"/>
        <v>41.17268938041191</v>
      </c>
      <c r="BH141" s="62">
        <f t="shared" si="148"/>
        <v>68.782392367155524</v>
      </c>
      <c r="BI141" s="59" t="str">
        <f t="shared" si="152"/>
        <v>114.60958789471+304.261973922857i</v>
      </c>
      <c r="BJ141" s="65">
        <f t="shared" si="149"/>
        <v>50.241189750135867</v>
      </c>
      <c r="BK141" s="62">
        <f t="shared" si="153"/>
        <v>69.359580876649574</v>
      </c>
      <c r="BL141" s="50">
        <f t="shared" si="150"/>
        <v>41.17268938041191</v>
      </c>
      <c r="BM141" s="62">
        <f t="shared" si="151"/>
        <v>68.782392367155524</v>
      </c>
    </row>
    <row r="142" spans="14:65" x14ac:dyDescent="0.3">
      <c r="N142" s="11">
        <v>24</v>
      </c>
      <c r="O142" s="51">
        <f t="shared" si="154"/>
        <v>173.78008287493768</v>
      </c>
      <c r="P142" s="49" t="str">
        <f t="shared" si="103"/>
        <v>27.9103246607183</v>
      </c>
      <c r="Q142" s="18" t="str">
        <f t="shared" si="104"/>
        <v>1+0.536361287406431i</v>
      </c>
      <c r="R142" s="18">
        <f t="shared" si="117"/>
        <v>1.1347613981045901</v>
      </c>
      <c r="S142" s="18">
        <f t="shared" si="118"/>
        <v>0.49231176539398097</v>
      </c>
      <c r="T142" s="18" t="str">
        <f t="shared" si="105"/>
        <v>1+0.000480432683896115i</v>
      </c>
      <c r="U142" s="18">
        <f t="shared" si="119"/>
        <v>1.0000001154077753</v>
      </c>
      <c r="V142" s="18">
        <f t="shared" si="120"/>
        <v>4.8043264693233988E-4</v>
      </c>
      <c r="W142" s="32" t="str">
        <f t="shared" si="106"/>
        <v>1-0.00633567231849533i</v>
      </c>
      <c r="X142" s="18">
        <f t="shared" si="121"/>
        <v>1.0000200701704578</v>
      </c>
      <c r="Y142" s="18">
        <f t="shared" si="122"/>
        <v>-6.3355875476706859E-3</v>
      </c>
      <c r="Z142" s="32" t="str">
        <f t="shared" si="107"/>
        <v>0.999999376043033+0.00289723738868137i</v>
      </c>
      <c r="AA142" s="18">
        <f t="shared" si="123"/>
        <v>1.0000035730290875</v>
      </c>
      <c r="AB142" s="18">
        <f t="shared" si="124"/>
        <v>2.8972310900043734E-3</v>
      </c>
      <c r="AC142" s="67" t="str">
        <f t="shared" si="125"/>
        <v>21.5726122954762-11.8149969773313i</v>
      </c>
      <c r="AD142" s="65">
        <f t="shared" si="126"/>
        <v>27.817350986030899</v>
      </c>
      <c r="AE142" s="62">
        <f t="shared" si="127"/>
        <v>-28.708861139648789</v>
      </c>
      <c r="AF142" s="50" t="str">
        <f t="shared" si="108"/>
        <v>79.1527877025864</v>
      </c>
      <c r="AG142" s="50" t="str">
        <f t="shared" si="109"/>
        <v>1+0.532171588315695i</v>
      </c>
      <c r="AH142" s="50">
        <f t="shared" si="128"/>
        <v>1.1327870935928117</v>
      </c>
      <c r="AI142" s="50">
        <f t="shared" si="129"/>
        <v>0.48905241722103687</v>
      </c>
      <c r="AJ142" s="50" t="str">
        <f t="shared" si="110"/>
        <v>1+0.000480432683896115i</v>
      </c>
      <c r="AK142" s="50">
        <f t="shared" si="130"/>
        <v>1.0000001154077753</v>
      </c>
      <c r="AL142" s="50">
        <f t="shared" si="131"/>
        <v>4.8043264693233988E-4</v>
      </c>
      <c r="AM142" s="50" t="str">
        <f t="shared" si="111"/>
        <v>1-0.00221658791185443i</v>
      </c>
      <c r="AN142" s="50">
        <f t="shared" si="132"/>
        <v>1.0000024566279679</v>
      </c>
      <c r="AO142" s="50">
        <f t="shared" si="133"/>
        <v>-2.2165842816394342E-3</v>
      </c>
      <c r="AP142" s="59" t="str">
        <f t="shared" si="134"/>
        <v>61.6266626111118-32.9333804505281i</v>
      </c>
      <c r="AQ142" s="50">
        <f t="shared" si="135"/>
        <v>36.886380795536169</v>
      </c>
      <c r="AR142" s="62">
        <f t="shared" si="136"/>
        <v>-28.120113628699897</v>
      </c>
      <c r="AS142" s="32" t="str">
        <f t="shared" si="112"/>
        <v>-0.0000166666666666667</v>
      </c>
      <c r="AT142" s="32" t="str">
        <f t="shared" si="113"/>
        <v>3.71243437556088E-06i</v>
      </c>
      <c r="AU142" s="32">
        <f t="shared" si="137"/>
        <v>3.7124343755608799E-6</v>
      </c>
      <c r="AV142" s="32">
        <f t="shared" si="138"/>
        <v>1.5707963267948966</v>
      </c>
      <c r="AW142" s="32" t="str">
        <f t="shared" si="114"/>
        <v>1+0.00377280960589007i</v>
      </c>
      <c r="AX142" s="32">
        <f t="shared" si="139"/>
        <v>1.0000071170208351</v>
      </c>
      <c r="AY142" s="32">
        <f t="shared" si="140"/>
        <v>3.7727917052028685E-3</v>
      </c>
      <c r="AZ142" s="32" t="str">
        <f t="shared" si="115"/>
        <v>1+0.128275526600263i</v>
      </c>
      <c r="BA142" s="32">
        <f t="shared" si="141"/>
        <v>1.0081937367017189</v>
      </c>
      <c r="BB142" s="32">
        <f t="shared" si="142"/>
        <v>0.12757881759949291</v>
      </c>
      <c r="BC142" s="59" t="str">
        <f t="shared" si="143"/>
        <v>-0.55893668072189+4.49152594205553i</v>
      </c>
      <c r="BD142" s="50">
        <f t="shared" si="144"/>
        <v>13.114617368910332</v>
      </c>
      <c r="BE142" s="62">
        <f t="shared" si="145"/>
        <v>97.093562762030203</v>
      </c>
      <c r="BF142" s="59" t="str">
        <f t="shared" si="146"/>
        <v>41.0096411180575+103.497782956286i</v>
      </c>
      <c r="BG142" s="65">
        <f t="shared" si="147"/>
        <v>40.931968354941219</v>
      </c>
      <c r="BH142" s="62">
        <f t="shared" si="148"/>
        <v>68.384701622381399</v>
      </c>
      <c r="BI142" s="59" t="str">
        <f t="shared" si="152"/>
        <v>113.475730409309+295.205428194082i</v>
      </c>
      <c r="BJ142" s="65">
        <f t="shared" si="149"/>
        <v>50.000998164446521</v>
      </c>
      <c r="BK142" s="62">
        <f t="shared" si="153"/>
        <v>68.973449133330305</v>
      </c>
      <c r="BL142" s="50">
        <f t="shared" si="150"/>
        <v>40.931968354941219</v>
      </c>
      <c r="BM142" s="62">
        <f t="shared" si="151"/>
        <v>68.384701622381399</v>
      </c>
    </row>
    <row r="143" spans="14:65" x14ac:dyDescent="0.3">
      <c r="N143" s="11">
        <v>25</v>
      </c>
      <c r="O143" s="51">
        <f t="shared" si="154"/>
        <v>177.82794100389242</v>
      </c>
      <c r="P143" s="49" t="str">
        <f t="shared" si="103"/>
        <v>27.9103246607183</v>
      </c>
      <c r="Q143" s="18" t="str">
        <f t="shared" si="104"/>
        <v>1+0.548854746733687i</v>
      </c>
      <c r="R143" s="18">
        <f t="shared" si="117"/>
        <v>1.140719743412947</v>
      </c>
      <c r="S143" s="18">
        <f t="shared" si="118"/>
        <v>0.50196351259123584</v>
      </c>
      <c r="T143" s="18" t="str">
        <f t="shared" si="105"/>
        <v>1+0.000491623398693531i</v>
      </c>
      <c r="U143" s="18">
        <f t="shared" si="119"/>
        <v>1.0000001208467757</v>
      </c>
      <c r="V143" s="18">
        <f t="shared" si="120"/>
        <v>4.9162335908613263E-4</v>
      </c>
      <c r="W143" s="32" t="str">
        <f t="shared" si="106"/>
        <v>1-0.00648324908490345i</v>
      </c>
      <c r="X143" s="18">
        <f t="shared" si="121"/>
        <v>1.0000210160385115</v>
      </c>
      <c r="Y143" s="18">
        <f t="shared" si="122"/>
        <v>-6.4831582514314218E-3</v>
      </c>
      <c r="Z143" s="32" t="str">
        <f t="shared" si="107"/>
        <v>0.999999346636847+0.00296472271681145i</v>
      </c>
      <c r="AA143" s="18">
        <f t="shared" si="123"/>
        <v>1.000003741420455</v>
      </c>
      <c r="AB143" s="18">
        <f t="shared" si="124"/>
        <v>2.9647159676588031E-3</v>
      </c>
      <c r="AC143" s="67" t="str">
        <f t="shared" si="125"/>
        <v>21.3430721743226-11.9642193484269i</v>
      </c>
      <c r="AD143" s="65">
        <f t="shared" si="126"/>
        <v>27.771869693920532</v>
      </c>
      <c r="AE143" s="62">
        <f t="shared" si="127"/>
        <v>-29.273546115578487</v>
      </c>
      <c r="AF143" s="50" t="str">
        <f t="shared" si="108"/>
        <v>79.1527877025864</v>
      </c>
      <c r="AG143" s="50" t="str">
        <f t="shared" si="109"/>
        <v>1+0.544567457014371i</v>
      </c>
      <c r="AH143" s="50">
        <f t="shared" si="128"/>
        <v>1.1386631263192371</v>
      </c>
      <c r="AI143" s="50">
        <f t="shared" si="129"/>
        <v>0.49866278711061091</v>
      </c>
      <c r="AJ143" s="50" t="str">
        <f t="shared" si="110"/>
        <v>1+0.000491623398693531i</v>
      </c>
      <c r="AK143" s="50">
        <f t="shared" si="130"/>
        <v>1.0000001208467757</v>
      </c>
      <c r="AL143" s="50">
        <f t="shared" si="131"/>
        <v>4.9162335908613263E-4</v>
      </c>
      <c r="AM143" s="50" t="str">
        <f t="shared" si="111"/>
        <v>1-0.00226821887697488i</v>
      </c>
      <c r="AN143" s="50">
        <f t="shared" si="132"/>
        <v>1.0000025724051282</v>
      </c>
      <c r="AO143" s="50">
        <f t="shared" si="133"/>
        <v>-2.2682149871299704E-3</v>
      </c>
      <c r="AP143" s="59" t="str">
        <f t="shared" si="134"/>
        <v>60.9896039078652-33.3535759891457i</v>
      </c>
      <c r="AQ143" s="50">
        <f t="shared" si="135"/>
        <v>36.84144255351984</v>
      </c>
      <c r="AR143" s="62">
        <f t="shared" si="136"/>
        <v>-28.673064303873879</v>
      </c>
      <c r="AS143" s="32" t="str">
        <f t="shared" si="112"/>
        <v>-0.0000166666666666667</v>
      </c>
      <c r="AT143" s="32" t="str">
        <f t="shared" si="113"/>
        <v>3.79890808081363E-06i</v>
      </c>
      <c r="AU143" s="32">
        <f t="shared" si="137"/>
        <v>3.79890808081363E-6</v>
      </c>
      <c r="AV143" s="32">
        <f t="shared" si="138"/>
        <v>1.5707963267948966</v>
      </c>
      <c r="AW143" s="32" t="str">
        <f t="shared" si="114"/>
        <v>1+0.00386068963091684i</v>
      </c>
      <c r="AX143" s="32">
        <f t="shared" si="139"/>
        <v>1.0000074524344438</v>
      </c>
      <c r="AY143" s="32">
        <f t="shared" si="140"/>
        <v>3.8606704499926465E-3</v>
      </c>
      <c r="AZ143" s="32" t="str">
        <f t="shared" si="115"/>
        <v>1+0.131263447451173i</v>
      </c>
      <c r="BA143" s="32">
        <f t="shared" si="141"/>
        <v>1.0085782531052148</v>
      </c>
      <c r="BB143" s="32">
        <f t="shared" si="142"/>
        <v>0.13051725280827609</v>
      </c>
      <c r="BC143" s="59" t="str">
        <f t="shared" si="143"/>
        <v>-0.558936305774809+4.38938344866334i</v>
      </c>
      <c r="BD143" s="50">
        <f t="shared" si="144"/>
        <v>12.917926547465425</v>
      </c>
      <c r="BE143" s="62">
        <f t="shared" si="145"/>
        <v>97.256887616680743</v>
      </c>
      <c r="BF143" s="59" t="str">
        <f t="shared" si="146"/>
        <v>40.5861284691617+100.370164309688i</v>
      </c>
      <c r="BG143" s="65">
        <f t="shared" si="147"/>
        <v>40.689796241385963</v>
      </c>
      <c r="BH143" s="62">
        <f t="shared" si="148"/>
        <v>67.983341501102302</v>
      </c>
      <c r="BI143" s="59" t="str">
        <f t="shared" si="152"/>
        <v>112.31233050156+286.349282481469i</v>
      </c>
      <c r="BJ143" s="65">
        <f t="shared" si="149"/>
        <v>49.759369100985268</v>
      </c>
      <c r="BK143" s="62">
        <f t="shared" si="153"/>
        <v>68.583823312806899</v>
      </c>
      <c r="BL143" s="50">
        <f t="shared" si="150"/>
        <v>40.689796241385963</v>
      </c>
      <c r="BM143" s="62">
        <f t="shared" si="151"/>
        <v>67.983341501102302</v>
      </c>
    </row>
    <row r="144" spans="14:65" x14ac:dyDescent="0.3">
      <c r="N144" s="11">
        <v>26</v>
      </c>
      <c r="O144" s="51">
        <f t="shared" si="154"/>
        <v>181.9700858609983</v>
      </c>
      <c r="P144" s="49" t="str">
        <f t="shared" si="103"/>
        <v>27.9103246607183</v>
      </c>
      <c r="Q144" s="18" t="str">
        <f t="shared" si="104"/>
        <v>1+0.561639216112606i</v>
      </c>
      <c r="R144" s="18">
        <f t="shared" si="117"/>
        <v>1.1469257208187384</v>
      </c>
      <c r="S144" s="18">
        <f t="shared" si="118"/>
        <v>0.51173533056293619</v>
      </c>
      <c r="T144" s="18" t="str">
        <f t="shared" si="105"/>
        <v>1+0.000503074778724334i</v>
      </c>
      <c r="U144" s="18">
        <f t="shared" si="119"/>
        <v>1.0000001265421083</v>
      </c>
      <c r="V144" s="18">
        <f t="shared" si="120"/>
        <v>5.0307473628424229E-4</v>
      </c>
      <c r="W144" s="32" t="str">
        <f t="shared" si="106"/>
        <v>1-0.00663426335579227i</v>
      </c>
      <c r="X144" s="18">
        <f t="shared" si="121"/>
        <v>1.0000220064829943</v>
      </c>
      <c r="Y144" s="18">
        <f t="shared" si="122"/>
        <v>-6.6341660260891087E-3</v>
      </c>
      <c r="Z144" s="32" t="str">
        <f t="shared" si="107"/>
        <v>0.99999931584479+0.00303377998016869i</v>
      </c>
      <c r="AA144" s="18">
        <f t="shared" si="123"/>
        <v>1.0000039177478337</v>
      </c>
      <c r="AB144" s="18">
        <f t="shared" si="124"/>
        <v>3.0337727483228535E-3</v>
      </c>
      <c r="AC144" s="67" t="str">
        <f t="shared" si="125"/>
        <v>21.1077856124704-12.1107555744371i</v>
      </c>
      <c r="AD144" s="65">
        <f t="shared" si="126"/>
        <v>27.724750135236363</v>
      </c>
      <c r="AE144" s="62">
        <f t="shared" si="127"/>
        <v>-29.845382698184114</v>
      </c>
      <c r="AF144" s="50" t="str">
        <f t="shared" si="108"/>
        <v>79.1527877025864</v>
      </c>
      <c r="AG144" s="50" t="str">
        <f t="shared" si="109"/>
        <v>1+0.557252062586953i</v>
      </c>
      <c r="AH144" s="50">
        <f t="shared" si="128"/>
        <v>1.1447837617897161</v>
      </c>
      <c r="AI144" s="50">
        <f t="shared" si="129"/>
        <v>0.5083939581101361</v>
      </c>
      <c r="AJ144" s="50" t="str">
        <f t="shared" si="110"/>
        <v>1+0.000503074778724334i</v>
      </c>
      <c r="AK144" s="50">
        <f t="shared" si="130"/>
        <v>1.0000001265421083</v>
      </c>
      <c r="AL144" s="50">
        <f t="shared" si="131"/>
        <v>5.0307473628424229E-4</v>
      </c>
      <c r="AM144" s="50" t="str">
        <f t="shared" si="111"/>
        <v>1-0.0023210524817673i</v>
      </c>
      <c r="AN144" s="50">
        <f t="shared" si="132"/>
        <v>1.0000026936386837</v>
      </c>
      <c r="AO144" s="50">
        <f t="shared" si="133"/>
        <v>-2.3210483137239913E-3</v>
      </c>
      <c r="AP144" s="59" t="str">
        <f t="shared" si="134"/>
        <v>60.3364295655383-33.7664978277056i</v>
      </c>
      <c r="AQ144" s="50">
        <f t="shared" si="135"/>
        <v>36.794879584988237</v>
      </c>
      <c r="AR144" s="62">
        <f t="shared" si="136"/>
        <v>-29.232990342915148</v>
      </c>
      <c r="AS144" s="32" t="str">
        <f t="shared" si="112"/>
        <v>-0.0000166666666666667</v>
      </c>
      <c r="AT144" s="32" t="str">
        <f t="shared" si="113"/>
        <v>3.88739601741531E-06i</v>
      </c>
      <c r="AU144" s="32">
        <f t="shared" si="137"/>
        <v>3.8873960174153101E-6</v>
      </c>
      <c r="AV144" s="32">
        <f t="shared" si="138"/>
        <v>1.5707963267948966</v>
      </c>
      <c r="AW144" s="32" t="str">
        <f t="shared" si="114"/>
        <v>1+0.00395061664468815i</v>
      </c>
      <c r="AX144" s="32">
        <f t="shared" si="139"/>
        <v>1.0000078036554882</v>
      </c>
      <c r="AY144" s="32">
        <f t="shared" si="140"/>
        <v>3.950596091966246E-3</v>
      </c>
      <c r="AZ144" s="32" t="str">
        <f t="shared" si="115"/>
        <v>1+0.134320965919397i</v>
      </c>
      <c r="BA144" s="32">
        <f t="shared" si="141"/>
        <v>1.0089807341498249</v>
      </c>
      <c r="BB144" s="32">
        <f t="shared" si="142"/>
        <v>0.13352178781830604</v>
      </c>
      <c r="BC144" s="59" t="str">
        <f t="shared" si="143"/>
        <v>-0.558935913157551+4.28956826433953i</v>
      </c>
      <c r="BD144" s="50">
        <f t="shared" si="144"/>
        <v>12.721388977636028</v>
      </c>
      <c r="BE144" s="62">
        <f t="shared" si="145"/>
        <v>97.423882432399665</v>
      </c>
      <c r="BF144" s="59" t="str">
        <f t="shared" si="146"/>
        <v>40.1520133432385+97.3124235197615i</v>
      </c>
      <c r="BG144" s="65">
        <f t="shared" si="147"/>
        <v>40.446139112872395</v>
      </c>
      <c r="BH144" s="62">
        <f t="shared" si="148"/>
        <v>67.578499734215555</v>
      </c>
      <c r="BI144" s="59" t="str">
        <f t="shared" si="152"/>
        <v>111.119500123735+277.690541745352i</v>
      </c>
      <c r="BJ144" s="65">
        <f t="shared" si="149"/>
        <v>49.516268562624276</v>
      </c>
      <c r="BK144" s="62">
        <f t="shared" si="153"/>
        <v>68.190892089484592</v>
      </c>
      <c r="BL144" s="50">
        <f t="shared" si="150"/>
        <v>40.446139112872395</v>
      </c>
      <c r="BM144" s="62">
        <f t="shared" si="151"/>
        <v>67.578499734215555</v>
      </c>
    </row>
    <row r="145" spans="14:65" x14ac:dyDescent="0.3">
      <c r="N145" s="11">
        <v>27</v>
      </c>
      <c r="O145" s="51">
        <f t="shared" si="154"/>
        <v>186.20871366628685</v>
      </c>
      <c r="P145" s="49" t="str">
        <f t="shared" si="103"/>
        <v>27.9103246607183</v>
      </c>
      <c r="Q145" s="18" t="str">
        <f t="shared" si="104"/>
        <v>1+0.574721474038085i</v>
      </c>
      <c r="R145" s="18">
        <f t="shared" si="117"/>
        <v>1.1533883876303372</v>
      </c>
      <c r="S145" s="18">
        <f t="shared" si="118"/>
        <v>0.52162493496899454</v>
      </c>
      <c r="T145" s="18" t="str">
        <f t="shared" si="105"/>
        <v>1+0.000514792895661801i</v>
      </c>
      <c r="U145" s="18">
        <f t="shared" si="119"/>
        <v>1.0000001325058538</v>
      </c>
      <c r="V145" s="18">
        <f t="shared" si="120"/>
        <v>5.1479285018642379E-4</v>
      </c>
      <c r="W145" s="32" t="str">
        <f t="shared" si="106"/>
        <v>1-0.00678879520092722i</v>
      </c>
      <c r="X145" s="18">
        <f t="shared" si="121"/>
        <v>1.0000230436046362</v>
      </c>
      <c r="Y145" s="18">
        <f t="shared" si="122"/>
        <v>-6.7886909104011026E-3</v>
      </c>
      <c r="Z145" s="32" t="str">
        <f t="shared" si="107"/>
        <v>0.999999283601549+0.00310444579382826i</v>
      </c>
      <c r="AA145" s="18">
        <f t="shared" si="123"/>
        <v>1.0000041023852344</v>
      </c>
      <c r="AB145" s="18">
        <f t="shared" si="124"/>
        <v>3.1044380447675336E-3</v>
      </c>
      <c r="AC145" s="67" t="str">
        <f t="shared" si="125"/>
        <v>20.8667929138341-12.254347542878i</v>
      </c>
      <c r="AD145" s="65">
        <f t="shared" si="126"/>
        <v>27.675951945118342</v>
      </c>
      <c r="AE145" s="62">
        <f t="shared" si="127"/>
        <v>-30.424246340180112</v>
      </c>
      <c r="AF145" s="50" t="str">
        <f t="shared" si="108"/>
        <v>79.1527877025864</v>
      </c>
      <c r="AG145" s="50" t="str">
        <f t="shared" si="109"/>
        <v>1+0.570232130579225i</v>
      </c>
      <c r="AH145" s="50">
        <f t="shared" si="128"/>
        <v>1.1511579747128204</v>
      </c>
      <c r="AI145" s="50">
        <f t="shared" si="129"/>
        <v>0.51824371707236616</v>
      </c>
      <c r="AJ145" s="50" t="str">
        <f t="shared" si="110"/>
        <v>1+0.000514792895661801i</v>
      </c>
      <c r="AK145" s="50">
        <f t="shared" si="130"/>
        <v>1.0000001325058538</v>
      </c>
      <c r="AL145" s="50">
        <f t="shared" si="131"/>
        <v>5.1479285018642379E-4</v>
      </c>
      <c r="AM145" s="50" t="str">
        <f t="shared" si="111"/>
        <v>1-0.00237511673930833i</v>
      </c>
      <c r="AN145" s="50">
        <f t="shared" si="132"/>
        <v>1.0000028205857847</v>
      </c>
      <c r="AO145" s="50">
        <f t="shared" si="133"/>
        <v>-2.3751122731701397E-3</v>
      </c>
      <c r="AP145" s="59" t="str">
        <f t="shared" si="134"/>
        <v>59.6672390489544-34.1714266669194i</v>
      </c>
      <c r="AQ145" s="50">
        <f t="shared" si="135"/>
        <v>36.74665142128584</v>
      </c>
      <c r="AR145" s="62">
        <f t="shared" si="136"/>
        <v>-29.799766198901683</v>
      </c>
      <c r="AS145" s="32" t="str">
        <f t="shared" si="112"/>
        <v>-0.0000166666666666667</v>
      </c>
      <c r="AT145" s="32" t="str">
        <f t="shared" si="113"/>
        <v>0.0000039779451028412i</v>
      </c>
      <c r="AU145" s="32">
        <f t="shared" si="137"/>
        <v>3.9779451028412003E-6</v>
      </c>
      <c r="AV145" s="32">
        <f t="shared" si="138"/>
        <v>1.5707963267948966</v>
      </c>
      <c r="AW145" s="32" t="str">
        <f t="shared" si="114"/>
        <v>1+0.00404263832769708i</v>
      </c>
      <c r="AX145" s="32">
        <f t="shared" si="139"/>
        <v>1.0000081714289382</v>
      </c>
      <c r="AY145" s="32">
        <f t="shared" si="140"/>
        <v>4.0426163050685041E-3</v>
      </c>
      <c r="AZ145" s="32" t="str">
        <f t="shared" si="115"/>
        <v>1+0.137449703141701i</v>
      </c>
      <c r="BA145" s="32">
        <f t="shared" si="141"/>
        <v>1.0094020115364055</v>
      </c>
      <c r="BB145" s="32">
        <f t="shared" si="142"/>
        <v>0.13659379857792042</v>
      </c>
      <c r="BC145" s="59" t="str">
        <f t="shared" si="143"/>
        <v>-0.558935502037408+4.19202746574238i</v>
      </c>
      <c r="BD145" s="50">
        <f t="shared" si="144"/>
        <v>12.525011625691931</v>
      </c>
      <c r="BE145" s="62">
        <f t="shared" si="145"/>
        <v>97.594623313703693</v>
      </c>
      <c r="BF145" s="59" t="str">
        <f t="shared" si="146"/>
        <v>39.7073701012927+94.3235589127704i</v>
      </c>
      <c r="BG145" s="65">
        <f t="shared" si="147"/>
        <v>40.200963570810273</v>
      </c>
      <c r="BH145" s="62">
        <f t="shared" si="148"/>
        <v>67.170376973523602</v>
      </c>
      <c r="BI145" s="59" t="str">
        <f t="shared" si="152"/>
        <v>109.897420918314+269.226328417642i</v>
      </c>
      <c r="BJ145" s="65">
        <f t="shared" si="149"/>
        <v>49.271663046977764</v>
      </c>
      <c r="BK145" s="62">
        <f t="shared" si="153"/>
        <v>67.79485711480207</v>
      </c>
      <c r="BL145" s="50">
        <f t="shared" si="150"/>
        <v>40.200963570810273</v>
      </c>
      <c r="BM145" s="62">
        <f t="shared" si="151"/>
        <v>67.170376973523602</v>
      </c>
    </row>
    <row r="146" spans="14:65" x14ac:dyDescent="0.3">
      <c r="N146" s="11">
        <v>28</v>
      </c>
      <c r="O146" s="51">
        <f t="shared" si="154"/>
        <v>190.54607179632498</v>
      </c>
      <c r="P146" s="49" t="str">
        <f t="shared" si="103"/>
        <v>27.9103246607183</v>
      </c>
      <c r="Q146" s="18" t="str">
        <f t="shared" si="104"/>
        <v>1+0.588108456896442i</v>
      </c>
      <c r="R146" s="18">
        <f t="shared" si="117"/>
        <v>1.1601170445576232</v>
      </c>
      <c r="S146" s="18">
        <f t="shared" si="118"/>
        <v>0.53162983078379911</v>
      </c>
      <c r="T146" s="18" t="str">
        <f t="shared" si="105"/>
        <v>1+0.000526783962606643i</v>
      </c>
      <c r="U146" s="18">
        <f t="shared" si="119"/>
        <v>1.0000001387506621</v>
      </c>
      <c r="V146" s="18">
        <f t="shared" si="120"/>
        <v>5.2678391387889873E-4</v>
      </c>
      <c r="W146" s="32" t="str">
        <f t="shared" si="106"/>
        <v>1-0.0069469265551381i</v>
      </c>
      <c r="X146" s="18">
        <f t="shared" si="121"/>
        <v>1.0000241296031624</v>
      </c>
      <c r="Y146" s="18">
        <f t="shared" si="122"/>
        <v>-6.9468148059716409E-3</v>
      </c>
      <c r="Z146" s="32" t="str">
        <f t="shared" si="107"/>
        <v>0.99999924983873+0.00317675762573995i</v>
      </c>
      <c r="AA146" s="18">
        <f t="shared" si="123"/>
        <v>1.0000042957242912</v>
      </c>
      <c r="AB146" s="18">
        <f t="shared" si="124"/>
        <v>3.1767493224736953E-3</v>
      </c>
      <c r="AC146" s="67" t="str">
        <f t="shared" si="125"/>
        <v>20.6201487474732-12.3947343505011i</v>
      </c>
      <c r="AD146" s="65">
        <f t="shared" si="126"/>
        <v>27.625435093904024</v>
      </c>
      <c r="AE146" s="62">
        <f t="shared" si="127"/>
        <v>-31.010000570375244</v>
      </c>
      <c r="AF146" s="50" t="str">
        <f t="shared" si="108"/>
        <v>79.1527877025864</v>
      </c>
      <c r="AG146" s="50" t="str">
        <f t="shared" si="109"/>
        <v>1+0.583514543195049i</v>
      </c>
      <c r="AH146" s="50">
        <f t="shared" si="128"/>
        <v>1.1577949827668657</v>
      </c>
      <c r="AI146" s="50">
        <f t="shared" si="129"/>
        <v>0.52820964097598311</v>
      </c>
      <c r="AJ146" s="50" t="str">
        <f t="shared" si="110"/>
        <v>1+0.000526783962606643i</v>
      </c>
      <c r="AK146" s="50">
        <f t="shared" si="130"/>
        <v>1.0000001387506621</v>
      </c>
      <c r="AL146" s="50">
        <f t="shared" si="131"/>
        <v>5.2678391387889873E-4</v>
      </c>
      <c r="AM146" s="50" t="str">
        <f t="shared" si="111"/>
        <v>1-0.00243044031518295i</v>
      </c>
      <c r="AN146" s="50">
        <f t="shared" si="132"/>
        <v>1.0000029535157011</v>
      </c>
      <c r="AO146" s="50">
        <f t="shared" si="133"/>
        <v>-2.4304355296304227E-3</v>
      </c>
      <c r="AP146" s="59" t="str">
        <f t="shared" si="134"/>
        <v>58.982171537133-34.5676345882764i</v>
      </c>
      <c r="AQ146" s="50">
        <f t="shared" si="135"/>
        <v>36.696717894073579</v>
      </c>
      <c r="AR146" s="62">
        <f t="shared" si="136"/>
        <v>-30.37325432929017</v>
      </c>
      <c r="AS146" s="32" t="str">
        <f t="shared" si="112"/>
        <v>-0.0000166666666666667</v>
      </c>
      <c r="AT146" s="32" t="str">
        <f t="shared" si="113"/>
        <v>4.07060334741495E-06i</v>
      </c>
      <c r="AU146" s="32">
        <f t="shared" si="137"/>
        <v>4.0706033474149496E-6</v>
      </c>
      <c r="AV146" s="32">
        <f t="shared" si="138"/>
        <v>1.5707963267948966</v>
      </c>
      <c r="AW146" s="32" t="str">
        <f t="shared" si="114"/>
        <v>1+0.00413680347105804i</v>
      </c>
      <c r="AX146" s="32">
        <f t="shared" si="139"/>
        <v>1.000008556534872</v>
      </c>
      <c r="AY146" s="32">
        <f t="shared" si="140"/>
        <v>4.1367798733972748E-3</v>
      </c>
      <c r="AZ146" s="32" t="str">
        <f t="shared" si="115"/>
        <v>1+0.140651318015973i</v>
      </c>
      <c r="BA146" s="32">
        <f t="shared" si="141"/>
        <v>1.0098429547507031</v>
      </c>
      <c r="BB146" s="32">
        <f t="shared" si="142"/>
        <v>0.13973468185492377</v>
      </c>
      <c r="BC146" s="59" t="str">
        <f t="shared" si="143"/>
        <v>-0.558935071542418+4.09670933543889i</v>
      </c>
      <c r="BD146" s="50">
        <f t="shared" si="144"/>
        <v>12.328801762177882</v>
      </c>
      <c r="BE146" s="62">
        <f t="shared" si="145"/>
        <v>97.769187494370087</v>
      </c>
      <c r="BF146" s="59" t="str">
        <f t="shared" si="146"/>
        <v>39.2522996085987+91.4026076028586i</v>
      </c>
      <c r="BG146" s="65">
        <f t="shared" si="147"/>
        <v>39.954236856081899</v>
      </c>
      <c r="BH146" s="62">
        <f t="shared" si="148"/>
        <v>66.759186923994861</v>
      </c>
      <c r="BI146" s="59" t="str">
        <f t="shared" si="152"/>
        <v>108.646347053998+260.953876072281i</v>
      </c>
      <c r="BJ146" s="65">
        <f t="shared" si="149"/>
        <v>49.025519656251461</v>
      </c>
      <c r="BK146" s="62">
        <f t="shared" si="153"/>
        <v>67.395933165079839</v>
      </c>
      <c r="BL146" s="50">
        <f t="shared" si="150"/>
        <v>39.954236856081899</v>
      </c>
      <c r="BM146" s="62">
        <f t="shared" si="151"/>
        <v>66.759186923994861</v>
      </c>
    </row>
    <row r="147" spans="14:65" x14ac:dyDescent="0.3">
      <c r="N147" s="11">
        <v>29</v>
      </c>
      <c r="O147" s="51">
        <f t="shared" si="154"/>
        <v>194.98445997580458</v>
      </c>
      <c r="P147" s="49" t="str">
        <f t="shared" ref="P147:P210" si="155">COMPLEX(Adc,0)</f>
        <v>27.9103246607183</v>
      </c>
      <c r="Q147" s="18" t="str">
        <f t="shared" ref="Q147:Q210" si="156">IMSUM(COMPLEX(1,0),IMDIV(COMPLEX(0,2*PI()*O147),COMPLEX(wp_lf,0)))</f>
        <v>1+0.601807262643174i</v>
      </c>
      <c r="R147" s="18">
        <f t="shared" si="117"/>
        <v>1.1671212367916497</v>
      </c>
      <c r="S147" s="18">
        <f t="shared" si="118"/>
        <v>0.54174731038829305</v>
      </c>
      <c r="T147" s="18" t="str">
        <f t="shared" ref="T147:T210" si="157">IMSUM(COMPLEX(1,0),IMDIV(COMPLEX(0,2*PI()*O147),COMPLEX(wz_esr,0)))</f>
        <v>1+0.000539054337381261i</v>
      </c>
      <c r="U147" s="18">
        <f t="shared" si="119"/>
        <v>1.0000001452897787</v>
      </c>
      <c r="V147" s="18">
        <f t="shared" si="120"/>
        <v>5.3905428516854272E-4</v>
      </c>
      <c r="W147" s="32" t="str">
        <f t="shared" ref="W147:W210" si="158">IMSUB(COMPLEX(1,0),IMDIV(COMPLEX(0,2*PI()*O147),COMPLEX(wz_rhp,0)))</f>
        <v>1-0.00710874126176185i</v>
      </c>
      <c r="X147" s="18">
        <f t="shared" si="121"/>
        <v>1.0000252667819582</v>
      </c>
      <c r="Y147" s="18">
        <f t="shared" si="122"/>
        <v>-7.1086215205360421E-3</v>
      </c>
      <c r="Z147" s="32" t="str">
        <f t="shared" ref="Z147:Z210" si="159">IMSUM(COMPLEX(1,0),IMDIV(COMPLEX(0,2*PI()*O147),COMPLEX(Q*(wsl/2),0)),IMDIV(IMPOWER(COMPLEX(0,2*PI()*O147),2),IMPOWER(COMPLEX(wsl/2,0),2)))</f>
        <v>0.999999214484718+0.00325075381659412i</v>
      </c>
      <c r="AA147" s="18">
        <f t="shared" si="123"/>
        <v>1.000004498175098</v>
      </c>
      <c r="AB147" s="18">
        <f t="shared" si="124"/>
        <v>3.2507449194861767E-3</v>
      </c>
      <c r="AC147" s="67" t="str">
        <f t="shared" si="125"/>
        <v>20.3679226343615-12.5316531935369i</v>
      </c>
      <c r="AD147" s="65">
        <f t="shared" si="126"/>
        <v>27.573159990188358</v>
      </c>
      <c r="AE147" s="62">
        <f t="shared" si="127"/>
        <v>-31.60249688778725</v>
      </c>
      <c r="AF147" s="50" t="str">
        <f t="shared" ref="AF147:AF210" si="160">COMPLEX($B$72,0)</f>
        <v>79.1527877025864</v>
      </c>
      <c r="AG147" s="50" t="str">
        <f t="shared" ref="AG147:AG210" si="161">IMSUM(COMPLEX(1,0),IMDIV(COMPLEX(0,2*PI()*O147),COMPLEX(wp_lf_DCM,0)))</f>
        <v>1+0.597106342945396i</v>
      </c>
      <c r="AH147" s="50">
        <f t="shared" si="128"/>
        <v>1.164704247775213</v>
      </c>
      <c r="AI147" s="50">
        <f t="shared" si="129"/>
        <v>0.53828909477455888</v>
      </c>
      <c r="AJ147" s="50" t="str">
        <f t="shared" ref="AJ147:AJ210" si="162">IMSUM(COMPLEX(1,0),IMDIV(COMPLEX(0,2*PI()*O147),COMPLEX(wz1_dcm,0)))</f>
        <v>1+0.000539054337381261i</v>
      </c>
      <c r="AK147" s="50">
        <f t="shared" si="130"/>
        <v>1.0000001452897787</v>
      </c>
      <c r="AL147" s="50">
        <f t="shared" si="131"/>
        <v>5.3905428516854272E-4</v>
      </c>
      <c r="AM147" s="50" t="str">
        <f t="shared" ref="AM147:AM210" si="163">IMSUB(COMPLEX(1,0),IMDIV(COMPLEX(0,2*PI()*O147),COMPLEX(wz2_dcm,0)))</f>
        <v>1-0.00248705254268332i</v>
      </c>
      <c r="AN147" s="50">
        <f t="shared" si="132"/>
        <v>1.0000030927103927</v>
      </c>
      <c r="AO147" s="50">
        <f t="shared" si="133"/>
        <v>-2.4870474148722577E-3</v>
      </c>
      <c r="AP147" s="59" t="str">
        <f t="shared" si="134"/>
        <v>58.2814073378554-34.9543874856071i</v>
      </c>
      <c r="AQ147" s="50">
        <f t="shared" si="135"/>
        <v>36.645039237168895</v>
      </c>
      <c r="AR147" s="62">
        <f t="shared" si="136"/>
        <v>-30.953305073352304</v>
      </c>
      <c r="AS147" s="32" t="str">
        <f t="shared" ref="AS147:AS210" si="164">COMPLEX(Adc_ea,0)</f>
        <v>-0.0000166666666666667</v>
      </c>
      <c r="AT147" s="32" t="str">
        <f t="shared" ref="AT147:AT210" si="165">COMPLEX(0,2*PI()*O147*wp0_ea)</f>
        <v>4.16541987976429E-06i</v>
      </c>
      <c r="AU147" s="32">
        <f t="shared" si="137"/>
        <v>4.1654198797642903E-6</v>
      </c>
      <c r="AV147" s="32">
        <f t="shared" si="138"/>
        <v>1.5707963267948966</v>
      </c>
      <c r="AW147" s="32" t="str">
        <f t="shared" ref="AW147:AW210" si="166">IMSUM(COMPLEX(1,0),IMDIV(COMPLEX(0,2*PI()*O147),COMPLEX(wp1_ea,0)))</f>
        <v>1+0.00423316200237637i</v>
      </c>
      <c r="AX147" s="32">
        <f t="shared" si="139"/>
        <v>1.0000089597901303</v>
      </c>
      <c r="AY147" s="32">
        <f t="shared" si="140"/>
        <v>4.2331367170395373E-3</v>
      </c>
      <c r="AZ147" s="32" t="str">
        <f t="shared" ref="AZ147:AZ210" si="167">IMSUM(COMPLEX(1,0),IMDIV(COMPLEX(0,2*PI()*O147),COMPLEX(wz_ea,0)))</f>
        <v>1+0.143927508080797i</v>
      </c>
      <c r="BA147" s="32">
        <f t="shared" si="141"/>
        <v>1.0103044727122352</v>
      </c>
      <c r="BB147" s="32">
        <f t="shared" si="142"/>
        <v>0.14294585497481119</v>
      </c>
      <c r="BC147" s="59" t="str">
        <f t="shared" si="143"/>
        <v>-0.558934620759536+4.00356333448354i</v>
      </c>
      <c r="BD147" s="50">
        <f t="shared" si="144"/>
        <v>12.132766974034194</v>
      </c>
      <c r="BE147" s="62">
        <f t="shared" si="145"/>
        <v>97.947653320957599</v>
      </c>
      <c r="BF147" s="59" t="str">
        <f t="shared" si="146"/>
        <v>38.7869301328115+88.5486430837467i</v>
      </c>
      <c r="BG147" s="65">
        <f t="shared" si="147"/>
        <v>39.705926964222556</v>
      </c>
      <c r="BH147" s="62">
        <f t="shared" si="148"/>
        <v>66.345156433170345</v>
      </c>
      <c r="BI147" s="59" t="str">
        <f t="shared" si="152"/>
        <v>107.366607808991+252.870522813088i</v>
      </c>
      <c r="BJ147" s="65">
        <f t="shared" si="149"/>
        <v>48.777806211203114</v>
      </c>
      <c r="BK147" s="62">
        <f t="shared" si="153"/>
        <v>66.994348247605259</v>
      </c>
      <c r="BL147" s="50">
        <f t="shared" si="150"/>
        <v>39.705926964222556</v>
      </c>
      <c r="BM147" s="62">
        <f t="shared" si="151"/>
        <v>66.345156433170345</v>
      </c>
    </row>
    <row r="148" spans="14:65" x14ac:dyDescent="0.3">
      <c r="N148" s="11">
        <v>30</v>
      </c>
      <c r="O148" s="51">
        <f t="shared" si="154"/>
        <v>199.52623149688802</v>
      </c>
      <c r="P148" s="49" t="str">
        <f t="shared" si="155"/>
        <v>27.9103246607183</v>
      </c>
      <c r="Q148" s="18" t="str">
        <f t="shared" si="156"/>
        <v>1+0.615825154566424i</v>
      </c>
      <c r="R148" s="18">
        <f t="shared" ref="R148:R211" si="168">IMABS(Q148)</f>
        <v>1.1744107548029181</v>
      </c>
      <c r="S148" s="18">
        <f t="shared" ref="S148:S211" si="169">IMARGUMENT(Q148)</f>
        <v>0.55197445240982068</v>
      </c>
      <c r="T148" s="18" t="str">
        <f t="shared" si="157"/>
        <v>1+0.000551610525900791i</v>
      </c>
      <c r="U148" s="18">
        <f t="shared" ref="U148:U211" si="170">IMABS(T148)</f>
        <v>1.0000001521370745</v>
      </c>
      <c r="V148" s="18">
        <f t="shared" ref="V148:V211" si="171">IMARGUMENT(T148)</f>
        <v>5.5161046995385579E-4</v>
      </c>
      <c r="W148" s="32" t="str">
        <f t="shared" si="158"/>
        <v>1-0.00727432511709796i</v>
      </c>
      <c r="X148" s="18">
        <f t="shared" ref="X148:X211" si="172">IMABS(W148)</f>
        <v>1.0000264575529536</v>
      </c>
      <c r="Y148" s="18">
        <f t="shared" ref="Y148:Y211" si="173">IMARGUMENT(W148)</f>
        <v>-7.2741968122462088E-3</v>
      </c>
      <c r="Z148" s="32" t="str">
        <f t="shared" si="159"/>
        <v>0.999999177464524+0.00332647360015068i</v>
      </c>
      <c r="AA148" s="18">
        <f t="shared" ref="AA148:AA211" si="174">IMABS(Z148)</f>
        <v>1.0000047101670757</v>
      </c>
      <c r="AB148" s="18">
        <f t="shared" ref="AB148:AB211" si="175">IMARGUMENT(Z148)</f>
        <v>3.3264640667301604E-3</v>
      </c>
      <c r="AC148" s="67" t="str">
        <f t="shared" ref="AC148:AC211" si="176">(IMDIV(IMPRODUCT(P148,T148,W148),IMPRODUCT(Q148,Z148)))</f>
        <v>20.110199374627-12.6648403192826i</v>
      </c>
      <c r="AD148" s="65">
        <f t="shared" ref="AD148:AD211" si="177">20*LOG(IMABS(AC148))</f>
        <v>27.519087587110963</v>
      </c>
      <c r="AE148" s="62">
        <f t="shared" ref="AE148:AE211" si="178">(180/PI())*IMARGUMENT(AC148)</f>
        <v>-32.201574698678563</v>
      </c>
      <c r="AF148" s="50" t="str">
        <f t="shared" si="160"/>
        <v>79.1527877025864</v>
      </c>
      <c r="AG148" s="50" t="str">
        <f t="shared" si="161"/>
        <v>1+0.611014736382413i</v>
      </c>
      <c r="AH148" s="50">
        <f t="shared" ref="AH148:AH211" si="179">IMABS(AG148)</f>
        <v>1.1718954766003962</v>
      </c>
      <c r="AI148" s="50">
        <f t="shared" ref="AI148:AI211" si="180">IMARGUMENT(AG148)</f>
        <v>0.54847922997616427</v>
      </c>
      <c r="AJ148" s="50" t="str">
        <f t="shared" si="162"/>
        <v>1+0.000551610525900791i</v>
      </c>
      <c r="AK148" s="50">
        <f t="shared" ref="AK148:AK211" si="181">IMABS(AJ148)</f>
        <v>1.0000001521370745</v>
      </c>
      <c r="AL148" s="50">
        <f t="shared" ref="AL148:AL211" si="182">IMARGUMENT(AJ148)</f>
        <v>5.5161046995385579E-4</v>
      </c>
      <c r="AM148" s="50" t="str">
        <f t="shared" si="163"/>
        <v>1-0.00254498343836188i</v>
      </c>
      <c r="AN148" s="50">
        <f t="shared" ref="AN148:AN211" si="183">IMABS(AM148)</f>
        <v>1.000003238465107</v>
      </c>
      <c r="AO148" s="50">
        <f t="shared" ref="AO148:AO211" si="184">IMARGUMENT(AM148)</f>
        <v>-2.544977943814294E-3</v>
      </c>
      <c r="AP148" s="59" t="str">
        <f t="shared" ref="AP148:AP211" si="185">(IMDIV(IMPRODUCT(AF148,AJ148,AM148),IMPRODUCT(AG148)))</f>
        <v>57.5651691427534-35.3309476715206i</v>
      </c>
      <c r="AQ148" s="50">
        <f t="shared" ref="AQ148:AQ211" si="186">20*LOG(IMABS(AP148))</f>
        <v>36.591576191752104</v>
      </c>
      <c r="AR148" s="62">
        <f t="shared" ref="AR148:AR211" si="187">(180/PI())*IMARGUMENT(AP148)</f>
        <v>-31.53975657149034</v>
      </c>
      <c r="AS148" s="32" t="str">
        <f t="shared" si="164"/>
        <v>-0.0000166666666666667</v>
      </c>
      <c r="AT148" s="32" t="str">
        <f t="shared" si="165"/>
        <v>4.26244497286974E-06i</v>
      </c>
      <c r="AU148" s="32">
        <f t="shared" ref="AU148:AU211" si="188">IMABS(AT148)</f>
        <v>4.2624449728697403E-6</v>
      </c>
      <c r="AV148" s="32">
        <f t="shared" ref="AV148:AV211" si="189">IMARGUMENT(AT148)</f>
        <v>1.5707963267948966</v>
      </c>
      <c r="AW148" s="32" t="str">
        <f t="shared" si="166"/>
        <v>1+0.00433176501222091i</v>
      </c>
      <c r="AX148" s="32">
        <f t="shared" ref="AX148:AX211" si="190">IMABS(AW148)</f>
        <v>1.0000093820500491</v>
      </c>
      <c r="AY148" s="32">
        <f t="shared" ref="AY148:AY211" si="191">IMARGUMENT(AW148)</f>
        <v>4.3317379185080817E-3</v>
      </c>
      <c r="AZ148" s="32" t="str">
        <f t="shared" si="167"/>
        <v>1+0.147280010415511i</v>
      </c>
      <c r="BA148" s="32">
        <f t="shared" ref="BA148:BA211" si="192">IMABS(AZ148)</f>
        <v>1.010787515488786</v>
      </c>
      <c r="BB148" s="32">
        <f t="shared" ref="BB148:BB211" si="193">IMARGUMENT(AZ148)</f>
        <v>0.1462287555060556</v>
      </c>
      <c r="BC148" s="59" t="str">
        <f t="shared" ref="BC148:BC211" si="194">IMPRODUCT(AS148,IMDIV(AZ148,IMPRODUCT(AT148,AW148)))</f>
        <v>-0.558934148732688+3.91254007562162i</v>
      </c>
      <c r="BD148" s="50">
        <f t="shared" ref="BD148:BD211" si="195">20*LOG(IMABS(BC148))</f>
        <v>11.936915177088061</v>
      </c>
      <c r="BE148" s="62">
        <f t="shared" ref="BE148:BE211" si="196">(180/PI())*IMARGUMENT(BC148)</f>
        <v>98.130100233260109</v>
      </c>
      <c r="BF148" s="59" t="str">
        <f t="shared" ref="BF148:BF211" si="197">IMPRODUCT(AC148,BC148)</f>
        <v>38.3114181322399+85.7607727246626i</v>
      </c>
      <c r="BG148" s="65">
        <f t="shared" ref="BG148:BG211" si="198">20*LOG(IMABS(BF148))</f>
        <v>39.45600276419902</v>
      </c>
      <c r="BH148" s="62">
        <f t="shared" ref="BH148:BH211" si="199">(180/PI())*IMARGUMENT(BF148)</f>
        <v>65.928525534581553</v>
      </c>
      <c r="BI148" s="59" t="str">
        <f t="shared" si="152"/>
        <v>106.058609863057+244.97370439166i</v>
      </c>
      <c r="BJ148" s="65">
        <f t="shared" ref="BJ148:BJ211" si="200">20*LOG(IMABS(BI148))</f>
        <v>48.528491368840164</v>
      </c>
      <c r="BK148" s="62">
        <f t="shared" si="153"/>
        <v>66.59034366176968</v>
      </c>
      <c r="BL148" s="50">
        <f t="shared" ref="BL148:BL211" si="201">IF($B$31=0,BJ148,BG148)</f>
        <v>39.45600276419902</v>
      </c>
      <c r="BM148" s="62">
        <f t="shared" ref="BM148:BM211" si="202">IF($B$31=0,BK148,BH148)</f>
        <v>65.928525534581553</v>
      </c>
    </row>
    <row r="149" spans="14:65" x14ac:dyDescent="0.3">
      <c r="N149" s="11">
        <v>31</v>
      </c>
      <c r="O149" s="51">
        <f t="shared" si="154"/>
        <v>204.17379446695315</v>
      </c>
      <c r="P149" s="49" t="str">
        <f t="shared" si="155"/>
        <v>27.9103246607183</v>
      </c>
      <c r="Q149" s="18" t="str">
        <f t="shared" si="156"/>
        <v>1+0.630169565138032i</v>
      </c>
      <c r="R149" s="18">
        <f t="shared" si="168"/>
        <v>1.1819956348592224</v>
      </c>
      <c r="S149" s="18">
        <f t="shared" si="169"/>
        <v>0.56230812135791919</v>
      </c>
      <c r="T149" s="18" t="str">
        <f t="shared" si="157"/>
        <v>1+0.000564459185622579i</v>
      </c>
      <c r="U149" s="18">
        <f t="shared" si="170"/>
        <v>1.0000001593070733</v>
      </c>
      <c r="V149" s="18">
        <f t="shared" si="171"/>
        <v>5.644591256743583E-4</v>
      </c>
      <c r="W149" s="32" t="str">
        <f t="shared" si="158"/>
        <v>1-0.0074437659158982i</v>
      </c>
      <c r="X149" s="18">
        <f t="shared" si="172"/>
        <v>1.0000277044417372</v>
      </c>
      <c r="Y149" s="18">
        <f t="shared" si="173"/>
        <v>-7.443628434978298E-3</v>
      </c>
      <c r="Z149" s="32" t="str">
        <f t="shared" si="159"/>
        <v>0.999999138699621+0.00340395712404111i</v>
      </c>
      <c r="AA149" s="18">
        <f t="shared" si="174"/>
        <v>1.0000049321498798</v>
      </c>
      <c r="AB149" s="18">
        <f t="shared" si="175"/>
        <v>3.4039469087996776E-3</v>
      </c>
      <c r="AC149" s="67" t="str">
        <f t="shared" si="176"/>
        <v>19.8470794078248-12.7940320351205i</v>
      </c>
      <c r="AD149" s="65">
        <f t="shared" si="177"/>
        <v>27.463179491426057</v>
      </c>
      <c r="AE149" s="62">
        <f t="shared" si="178"/>
        <v>-32.807061299278843</v>
      </c>
      <c r="AF149" s="50" t="str">
        <f t="shared" si="160"/>
        <v>79.1527877025864</v>
      </c>
      <c r="AG149" s="50" t="str">
        <f t="shared" si="161"/>
        <v>1+0.625247097920394i</v>
      </c>
      <c r="AH149" s="50">
        <f t="shared" si="179"/>
        <v>1.179378621757184</v>
      </c>
      <c r="AI149" s="50">
        <f t="shared" si="180"/>
        <v>0.5587769840028497</v>
      </c>
      <c r="AJ149" s="50" t="str">
        <f t="shared" si="162"/>
        <v>1+0.000564459185622579i</v>
      </c>
      <c r="AK149" s="50">
        <f t="shared" si="181"/>
        <v>1.0000001593070733</v>
      </c>
      <c r="AL149" s="50">
        <f t="shared" si="182"/>
        <v>5.644591256743583E-4</v>
      </c>
      <c r="AM149" s="50" t="str">
        <f t="shared" si="163"/>
        <v>1-0.00260426371794628i</v>
      </c>
      <c r="AN149" s="50">
        <f t="shared" si="183"/>
        <v>1.0000033910890065</v>
      </c>
      <c r="AO149" s="50">
        <f t="shared" si="184"/>
        <v>-2.6042578304335462E-3</v>
      </c>
      <c r="AP149" s="59" t="str">
        <f t="shared" si="185"/>
        <v>56.8337231019826-35.6965766486277i</v>
      </c>
      <c r="AQ149" s="50">
        <f t="shared" si="186"/>
        <v>36.536290114511552</v>
      </c>
      <c r="AR149" s="62">
        <f t="shared" si="187"/>
        <v>-32.132434729251386</v>
      </c>
      <c r="AS149" s="32" t="str">
        <f t="shared" si="164"/>
        <v>-0.0000166666666666667</v>
      </c>
      <c r="AT149" s="32" t="str">
        <f t="shared" si="165"/>
        <v>4.36173007071994E-06i</v>
      </c>
      <c r="AU149" s="32">
        <f t="shared" si="188"/>
        <v>4.36173007071994E-6</v>
      </c>
      <c r="AV149" s="32">
        <f t="shared" si="189"/>
        <v>1.5707963267948966</v>
      </c>
      <c r="AW149" s="32" t="str">
        <f t="shared" si="166"/>
        <v>1+0.0044326647812126i</v>
      </c>
      <c r="AX149" s="32">
        <f t="shared" si="190"/>
        <v>1.0000098242102737</v>
      </c>
      <c r="AY149" s="32">
        <f t="shared" si="191"/>
        <v>4.4326357497916583E-3</v>
      </c>
      <c r="AZ149" s="32" t="str">
        <f t="shared" si="167"/>
        <v>1+0.150710602561228i</v>
      </c>
      <c r="BA149" s="32">
        <f t="shared" si="192"/>
        <v>1.0112930760785266</v>
      </c>
      <c r="BB149" s="32">
        <f t="shared" si="193"/>
        <v>0.14958484088862548</v>
      </c>
      <c r="BC149" s="59" t="str">
        <f t="shared" si="194"/>
        <v>-0.558933654460751+3.82359129710364i</v>
      </c>
      <c r="BD149" s="50">
        <f t="shared" si="195"/>
        <v>11.741254628917211</v>
      </c>
      <c r="BE149" s="62">
        <f t="shared" si="196"/>
        <v>98.316608741472294</v>
      </c>
      <c r="BF149" s="59" t="str">
        <f t="shared" si="197"/>
        <v>37.8259489205637+83.0381351773616i</v>
      </c>
      <c r="BG149" s="65">
        <f t="shared" si="198"/>
        <v>39.204434120343265</v>
      </c>
      <c r="BH149" s="62">
        <f t="shared" si="199"/>
        <v>65.509547442193451</v>
      </c>
      <c r="BI149" s="59" t="str">
        <f t="shared" si="152"/>
        <v>104.722839260084+237.260947072695i</v>
      </c>
      <c r="BJ149" s="65">
        <f t="shared" si="200"/>
        <v>48.277544743428763</v>
      </c>
      <c r="BK149" s="62">
        <f t="shared" si="153"/>
        <v>66.184174012221021</v>
      </c>
      <c r="BL149" s="50">
        <f t="shared" si="201"/>
        <v>39.204434120343265</v>
      </c>
      <c r="BM149" s="62">
        <f t="shared" si="202"/>
        <v>65.509547442193451</v>
      </c>
    </row>
    <row r="150" spans="14:65" x14ac:dyDescent="0.3">
      <c r="N150" s="11">
        <v>32</v>
      </c>
      <c r="O150" s="51">
        <f t="shared" si="154"/>
        <v>208.92961308540396</v>
      </c>
      <c r="P150" s="49" t="str">
        <f t="shared" si="155"/>
        <v>27.9103246607183</v>
      </c>
      <c r="Q150" s="18" t="str">
        <f t="shared" si="156"/>
        <v>1+0.644848099954362i</v>
      </c>
      <c r="R150" s="18">
        <f t="shared" si="168"/>
        <v>1.1898861592668228</v>
      </c>
      <c r="S150" s="18">
        <f t="shared" si="169"/>
        <v>0.57274496810087761</v>
      </c>
      <c r="T150" s="18" t="str">
        <f t="shared" si="157"/>
        <v>1+0.00057760712907609i</v>
      </c>
      <c r="U150" s="18">
        <f t="shared" si="170"/>
        <v>1.0000001668149838</v>
      </c>
      <c r="V150" s="18">
        <f t="shared" si="171"/>
        <v>5.7760706484041489E-4</v>
      </c>
      <c r="W150" s="32" t="str">
        <f t="shared" si="158"/>
        <v>1-0.007617153497917i</v>
      </c>
      <c r="X150" s="18">
        <f t="shared" si="172"/>
        <v>1.0000290100929126</v>
      </c>
      <c r="Y150" s="18">
        <f t="shared" si="173"/>
        <v>-7.6170061846880261E-3</v>
      </c>
      <c r="Z150" s="32" t="str">
        <f t="shared" si="159"/>
        <v>0.999999098107785+0.00348324547105544i</v>
      </c>
      <c r="AA150" s="18">
        <f t="shared" si="174"/>
        <v>1.0000051645943611</v>
      </c>
      <c r="AB150" s="18">
        <f t="shared" si="175"/>
        <v>3.4832345252300647E-3</v>
      </c>
      <c r="AC150" s="67" t="str">
        <f t="shared" si="176"/>
        <v>19.5786790989982-12.9189657701227i</v>
      </c>
      <c r="AD150" s="65">
        <f t="shared" si="177"/>
        <v>27.405398074856102</v>
      </c>
      <c r="AE150" s="62">
        <f t="shared" si="178"/>
        <v>-33.418771906760576</v>
      </c>
      <c r="AF150" s="50" t="str">
        <f t="shared" si="160"/>
        <v>79.1527877025864</v>
      </c>
      <c r="AG150" s="50" t="str">
        <f t="shared" si="161"/>
        <v>1+0.639810973745821i</v>
      </c>
      <c r="AH150" s="50">
        <f t="shared" si="179"/>
        <v>1.1871638817474088</v>
      </c>
      <c r="AI150" s="50">
        <f t="shared" si="180"/>
        <v>0.56917908037610709</v>
      </c>
      <c r="AJ150" s="50" t="str">
        <f t="shared" si="162"/>
        <v>1+0.00057760712907609i</v>
      </c>
      <c r="AK150" s="50">
        <f t="shared" si="181"/>
        <v>1.0000001668149838</v>
      </c>
      <c r="AL150" s="50">
        <f t="shared" si="182"/>
        <v>5.7760706484041489E-4</v>
      </c>
      <c r="AM150" s="50" t="str">
        <f t="shared" si="163"/>
        <v>1-0.00266492481262547i</v>
      </c>
      <c r="AN150" s="50">
        <f t="shared" si="183"/>
        <v>1.000003550905824</v>
      </c>
      <c r="AO150" s="50">
        <f t="shared" si="184"/>
        <v>-2.6649185040431254E-3</v>
      </c>
      <c r="AP150" s="59" t="str">
        <f t="shared" si="185"/>
        <v>56.0873796979738-36.0505380328861i</v>
      </c>
      <c r="AQ150" s="50">
        <f t="shared" si="186"/>
        <v>36.479143088246573</v>
      </c>
      <c r="AR150" s="62">
        <f t="shared" si="187"/>
        <v>-32.731153228684121</v>
      </c>
      <c r="AS150" s="32" t="str">
        <f t="shared" si="164"/>
        <v>-0.0000166666666666667</v>
      </c>
      <c r="AT150" s="32" t="str">
        <f t="shared" si="165"/>
        <v>4.46332781558795E-06i</v>
      </c>
      <c r="AU150" s="32">
        <f t="shared" si="188"/>
        <v>4.46332781558795E-6</v>
      </c>
      <c r="AV150" s="32">
        <f t="shared" si="189"/>
        <v>1.5707963267948966</v>
      </c>
      <c r="AW150" s="32" t="str">
        <f t="shared" si="166"/>
        <v>1+0.00453591480774458i</v>
      </c>
      <c r="AX150" s="32">
        <f t="shared" si="190"/>
        <v>1.0000102872086583</v>
      </c>
      <c r="AY150" s="32">
        <f t="shared" si="191"/>
        <v>4.535883700033866E-3</v>
      </c>
      <c r="AZ150" s="32" t="str">
        <f t="shared" si="167"/>
        <v>1+0.154221103463316i</v>
      </c>
      <c r="BA150" s="32">
        <f t="shared" si="192"/>
        <v>1.0118221922617843</v>
      </c>
      <c r="BB150" s="32">
        <f t="shared" si="193"/>
        <v>0.15301558800171353</v>
      </c>
      <c r="BC150" s="59" t="str">
        <f t="shared" si="194"/>
        <v>-0.558933136895443+3.73666983709602i</v>
      </c>
      <c r="BD150" s="50">
        <f t="shared" si="195"/>
        <v>11.545793942082927</v>
      </c>
      <c r="BE150" s="62">
        <f t="shared" si="196"/>
        <v>98.507260399836682</v>
      </c>
      <c r="BF150" s="59" t="str">
        <f t="shared" si="197"/>
        <v>37.3307371946211+80.3798977027484i</v>
      </c>
      <c r="BG150" s="65">
        <f t="shared" si="198"/>
        <v>38.951192016939025</v>
      </c>
      <c r="BH150" s="62">
        <f t="shared" si="199"/>
        <v>65.088488493076142</v>
      </c>
      <c r="BI150" s="59" t="str">
        <f t="shared" si="152"/>
        <v>103.359863003734+229.72986026866i</v>
      </c>
      <c r="BJ150" s="65">
        <f t="shared" si="200"/>
        <v>48.024937030329504</v>
      </c>
      <c r="BK150" s="62">
        <f t="shared" si="153"/>
        <v>65.776107171152603</v>
      </c>
      <c r="BL150" s="50">
        <f t="shared" si="201"/>
        <v>38.951192016939025</v>
      </c>
      <c r="BM150" s="62">
        <f t="shared" si="202"/>
        <v>65.088488493076142</v>
      </c>
    </row>
    <row r="151" spans="14:65" x14ac:dyDescent="0.3">
      <c r="N151" s="11">
        <v>33</v>
      </c>
      <c r="O151" s="51">
        <f t="shared" si="154"/>
        <v>213.79620895022339</v>
      </c>
      <c r="P151" s="49" t="str">
        <f t="shared" si="155"/>
        <v>27.9103246607183</v>
      </c>
      <c r="Q151" s="18" t="str">
        <f t="shared" si="156"/>
        <v>1+0.659868541768856i</v>
      </c>
      <c r="R151" s="18">
        <f t="shared" si="168"/>
        <v>1.1980928563413424</v>
      </c>
      <c r="S151" s="18">
        <f t="shared" si="169"/>
        <v>0.58328143122336751</v>
      </c>
      <c r="T151" s="18" t="str">
        <f t="shared" si="157"/>
        <v>1+0.000591061327474966i</v>
      </c>
      <c r="U151" s="18">
        <f t="shared" si="170"/>
        <v>1.0000001746767311</v>
      </c>
      <c r="V151" s="18">
        <f t="shared" si="171"/>
        <v>5.9106125864520067E-4</v>
      </c>
      <c r="W151" s="32" t="str">
        <f t="shared" si="158"/>
        <v>1-0.00779457979554528i</v>
      </c>
      <c r="X151" s="18">
        <f t="shared" si="172"/>
        <v>1.0000303772757051</v>
      </c>
      <c r="Y151" s="18">
        <f t="shared" si="173"/>
        <v>-7.7944219468354826E-3</v>
      </c>
      <c r="Z151" s="32" t="str">
        <f t="shared" si="159"/>
        <v>0.999999055602914+0.0035643806809247i</v>
      </c>
      <c r="AA151" s="18">
        <f t="shared" si="174"/>
        <v>1.0000054079935561</v>
      </c>
      <c r="AB151" s="18">
        <f t="shared" si="175"/>
        <v>3.5643689522648968E-3</v>
      </c>
      <c r="AC151" s="67" t="str">
        <f t="shared" si="176"/>
        <v>19.3051309436111-13.0393811834668i</v>
      </c>
      <c r="AD151" s="65">
        <f t="shared" si="177"/>
        <v>27.345706587182654</v>
      </c>
      <c r="AE151" s="62">
        <f t="shared" si="178"/>
        <v>-34.036509740785185</v>
      </c>
      <c r="AF151" s="50" t="str">
        <f t="shared" si="160"/>
        <v>79.1527877025864</v>
      </c>
      <c r="AG151" s="50" t="str">
        <f t="shared" si="161"/>
        <v>1+0.654714085818422i</v>
      </c>
      <c r="AH151" s="50">
        <f t="shared" si="179"/>
        <v>1.1952617011219979</v>
      </c>
      <c r="AI151" s="50">
        <f t="shared" si="180"/>
        <v>0.57968202977017946</v>
      </c>
      <c r="AJ151" s="50" t="str">
        <f t="shared" si="162"/>
        <v>1+0.000591061327474966i</v>
      </c>
      <c r="AK151" s="50">
        <f t="shared" si="181"/>
        <v>1.0000001746767311</v>
      </c>
      <c r="AL151" s="50">
        <f t="shared" si="182"/>
        <v>5.9106125864520067E-4</v>
      </c>
      <c r="AM151" s="50" t="str">
        <f t="shared" si="163"/>
        <v>1-0.00272699888571474i</v>
      </c>
      <c r="AN151" s="50">
        <f t="shared" si="183"/>
        <v>1.0000037182545487</v>
      </c>
      <c r="AO151" s="50">
        <f t="shared" si="184"/>
        <v>-2.7269921259483266E-3</v>
      </c>
      <c r="AP151" s="59" t="str">
        <f t="shared" si="185"/>
        <v>55.3264943985531-36.3921006137801i</v>
      </c>
      <c r="AQ151" s="50">
        <f t="shared" si="186"/>
        <v>36.420098034397704</v>
      </c>
      <c r="AR151" s="62">
        <f t="shared" si="187"/>
        <v>-33.33571358943643</v>
      </c>
      <c r="AS151" s="32" t="str">
        <f t="shared" si="164"/>
        <v>-0.0000166666666666667</v>
      </c>
      <c r="AT151" s="32" t="str">
        <f t="shared" si="165"/>
        <v>4.56729207594292E-06i</v>
      </c>
      <c r="AU151" s="32">
        <f t="shared" si="188"/>
        <v>4.5672920759429201E-6</v>
      </c>
      <c r="AV151" s="32">
        <f t="shared" si="189"/>
        <v>1.5707963267948966</v>
      </c>
      <c r="AW151" s="32" t="str">
        <f t="shared" si="166"/>
        <v>1+0.00464156983634752i</v>
      </c>
      <c r="AX151" s="32">
        <f t="shared" si="190"/>
        <v>1.0000107720272546</v>
      </c>
      <c r="AY151" s="32">
        <f t="shared" si="191"/>
        <v>4.6415365038543401E-3</v>
      </c>
      <c r="AZ151" s="32" t="str">
        <f t="shared" si="167"/>
        <v>1+0.157813374435816i</v>
      </c>
      <c r="BA151" s="32">
        <f t="shared" si="192"/>
        <v>1.0123759485244694</v>
      </c>
      <c r="BB151" s="32">
        <f t="shared" si="193"/>
        <v>0.15652249266643167</v>
      </c>
      <c r="BC151" s="59" t="str">
        <f t="shared" si="194"/>
        <v>-0.558932594939053+3.65172960867536i</v>
      </c>
      <c r="BD151" s="50">
        <f t="shared" si="195"/>
        <v>11.350542097731433</v>
      </c>
      <c r="BE151" s="62">
        <f t="shared" si="196"/>
        <v>98.702137776527152</v>
      </c>
      <c r="BF151" s="59" t="str">
        <f t="shared" si="197"/>
        <v>36.8260274125193+77.7852534274141i</v>
      </c>
      <c r="BG151" s="65">
        <f t="shared" si="198"/>
        <v>38.696248684914089</v>
      </c>
      <c r="BH151" s="62">
        <f t="shared" si="199"/>
        <v>64.665628035741975</v>
      </c>
      <c r="BI151" s="59" t="str">
        <f t="shared" si="152"/>
        <v>101.970330250169+222.378128970751i</v>
      </c>
      <c r="BJ151" s="65">
        <f t="shared" si="200"/>
        <v>47.770640132129138</v>
      </c>
      <c r="BK151" s="62">
        <f t="shared" si="153"/>
        <v>65.366424187090786</v>
      </c>
      <c r="BL151" s="50">
        <f t="shared" si="201"/>
        <v>38.696248684914089</v>
      </c>
      <c r="BM151" s="62">
        <f t="shared" si="202"/>
        <v>64.665628035741975</v>
      </c>
    </row>
    <row r="152" spans="14:65" x14ac:dyDescent="0.3">
      <c r="N152" s="11">
        <v>34</v>
      </c>
      <c r="O152" s="51">
        <f t="shared" si="154"/>
        <v>218.77616239495524</v>
      </c>
      <c r="P152" s="49" t="str">
        <f t="shared" si="155"/>
        <v>27.9103246607183</v>
      </c>
      <c r="Q152" s="18" t="str">
        <f t="shared" si="156"/>
        <v>1+0.675238854618591i</v>
      </c>
      <c r="R152" s="18">
        <f t="shared" si="168"/>
        <v>1.2066265001178396</v>
      </c>
      <c r="S152" s="18">
        <f t="shared" si="169"/>
        <v>0.59391373930057823</v>
      </c>
      <c r="T152" s="18" t="str">
        <f t="shared" si="157"/>
        <v>1+0.000604828914413293i</v>
      </c>
      <c r="U152" s="18">
        <f t="shared" si="170"/>
        <v>1.0000001829089911</v>
      </c>
      <c r="V152" s="18">
        <f t="shared" si="171"/>
        <v>6.0482884066087139E-4</v>
      </c>
      <c r="W152" s="32" t="str">
        <f t="shared" si="158"/>
        <v>1-0.00797613888255464i</v>
      </c>
      <c r="X152" s="18">
        <f t="shared" si="172"/>
        <v>1.0000318088898341</v>
      </c>
      <c r="Y152" s="18">
        <f t="shared" si="173"/>
        <v>-7.9759697449053469E-3</v>
      </c>
      <c r="Z152" s="32" t="str">
        <f t="shared" si="159"/>
        <v>0.999999011094851+0.00364740577261115i</v>
      </c>
      <c r="AA152" s="18">
        <f t="shared" si="174"/>
        <v>1.000005662863741</v>
      </c>
      <c r="AB152" s="18">
        <f t="shared" si="175"/>
        <v>3.6473932051295558E-3</v>
      </c>
      <c r="AC152" s="67" t="str">
        <f t="shared" si="176"/>
        <v>19.0265836848753-13.1550213129585i</v>
      </c>
      <c r="AD152" s="65">
        <f t="shared" si="177"/>
        <v>27.284069270477914</v>
      </c>
      <c r="AE152" s="62">
        <f t="shared" si="178"/>
        <v>-34.660066157644273</v>
      </c>
      <c r="AF152" s="50" t="str">
        <f t="shared" si="160"/>
        <v>79.1527877025864</v>
      </c>
      <c r="AG152" s="50" t="str">
        <f t="shared" si="161"/>
        <v>1+0.669964335965493i</v>
      </c>
      <c r="AH152" s="50">
        <f t="shared" si="179"/>
        <v>1.2036827702786494</v>
      </c>
      <c r="AI152" s="50">
        <f t="shared" si="180"/>
        <v>0.59028213197045243</v>
      </c>
      <c r="AJ152" s="50" t="str">
        <f t="shared" si="162"/>
        <v>1+0.000604828914413293i</v>
      </c>
      <c r="AK152" s="50">
        <f t="shared" si="181"/>
        <v>1.0000001829089911</v>
      </c>
      <c r="AL152" s="50">
        <f t="shared" si="182"/>
        <v>6.0482884066087139E-4</v>
      </c>
      <c r="AM152" s="50" t="str">
        <f t="shared" si="163"/>
        <v>1-0.00279051884970932i</v>
      </c>
      <c r="AN152" s="50">
        <f t="shared" si="183"/>
        <v>1.0000038934901456</v>
      </c>
      <c r="AO152" s="50">
        <f t="shared" si="184"/>
        <v>-2.7905116064906323E-3</v>
      </c>
      <c r="AP152" s="59" t="str">
        <f t="shared" si="185"/>
        <v>54.5514680708381-36.720541533454i</v>
      </c>
      <c r="AQ152" s="50">
        <f t="shared" si="186"/>
        <v>36.359118826924444</v>
      </c>
      <c r="AR152" s="62">
        <f t="shared" si="187"/>
        <v>-33.945905281727725</v>
      </c>
      <c r="AS152" s="32" t="str">
        <f t="shared" si="164"/>
        <v>-0.0000166666666666667</v>
      </c>
      <c r="AT152" s="32" t="str">
        <f t="shared" si="165"/>
        <v>0.0000046736779750118i</v>
      </c>
      <c r="AU152" s="32">
        <f t="shared" si="188"/>
        <v>4.6736779750118001E-6</v>
      </c>
      <c r="AV152" s="32">
        <f t="shared" si="189"/>
        <v>1.5707963267948966</v>
      </c>
      <c r="AW152" s="32" t="str">
        <f t="shared" si="166"/>
        <v>1+0.00474968588671615i</v>
      </c>
      <c r="AX152" s="32">
        <f t="shared" si="190"/>
        <v>1.0000112796943954</v>
      </c>
      <c r="AY152" s="32">
        <f t="shared" si="191"/>
        <v>4.7496501703279742E-3</v>
      </c>
      <c r="AZ152" s="32" t="str">
        <f t="shared" si="167"/>
        <v>1+0.161489320148349i</v>
      </c>
      <c r="BA152" s="32">
        <f t="shared" si="192"/>
        <v>1.0129554780551691</v>
      </c>
      <c r="BB152" s="32">
        <f t="shared" si="193"/>
        <v>0.16010706907908823</v>
      </c>
      <c r="BC152" s="59" t="str">
        <f t="shared" si="194"/>
        <v>-0.558932027442173+3.56872557539242i</v>
      </c>
      <c r="BD152" s="50">
        <f t="shared" si="195"/>
        <v>11.155508459557982</v>
      </c>
      <c r="BE152" s="62">
        <f t="shared" si="196"/>
        <v>98.901324419517891</v>
      </c>
      <c r="BF152" s="59" t="str">
        <f t="shared" si="197"/>
        <v>36.3120940101019+75.2534185420555i</v>
      </c>
      <c r="BG152" s="65">
        <f t="shared" si="198"/>
        <v>38.4395777300359</v>
      </c>
      <c r="BH152" s="62">
        <f t="shared" si="199"/>
        <v>64.241258261873583</v>
      </c>
      <c r="BI152" s="59" t="str">
        <f t="shared" si="152"/>
        <v>100.554973063916+215.203506007671i</v>
      </c>
      <c r="BJ152" s="65">
        <f t="shared" si="200"/>
        <v>47.514627286482423</v>
      </c>
      <c r="BK152" s="62">
        <f t="shared" si="153"/>
        <v>64.955419137790273</v>
      </c>
      <c r="BL152" s="50">
        <f t="shared" si="201"/>
        <v>38.4395777300359</v>
      </c>
      <c r="BM152" s="62">
        <f t="shared" si="202"/>
        <v>64.241258261873583</v>
      </c>
    </row>
    <row r="153" spans="14:65" x14ac:dyDescent="0.3">
      <c r="N153" s="11">
        <v>35</v>
      </c>
      <c r="O153" s="51">
        <f t="shared" si="154"/>
        <v>223.87211385683412</v>
      </c>
      <c r="P153" s="49" t="str">
        <f t="shared" si="155"/>
        <v>27.9103246607183</v>
      </c>
      <c r="Q153" s="18" t="str">
        <f t="shared" si="156"/>
        <v>1+0.690967188046889i</v>
      </c>
      <c r="R153" s="18">
        <f t="shared" si="168"/>
        <v>1.2154981098123621</v>
      </c>
      <c r="S153" s="18">
        <f t="shared" si="169"/>
        <v>0.60463791411829371</v>
      </c>
      <c r="T153" s="18" t="str">
        <f t="shared" si="157"/>
        <v>1+0.000618917189647901i</v>
      </c>
      <c r="U153" s="18">
        <f t="shared" si="170"/>
        <v>1.0000001915292254</v>
      </c>
      <c r="V153" s="18">
        <f t="shared" si="171"/>
        <v>6.1891711062075829E-4</v>
      </c>
      <c r="W153" s="32" t="str">
        <f t="shared" si="158"/>
        <v>1-0.00816192702397623i</v>
      </c>
      <c r="X153" s="18">
        <f t="shared" si="172"/>
        <v>1.0000333079716619</v>
      </c>
      <c r="Y153" s="18">
        <f t="shared" si="173"/>
        <v>-8.1617457900457855E-3</v>
      </c>
      <c r="Z153" s="32" t="str">
        <f t="shared" si="159"/>
        <v>0.999998964489187+0.00373236476711737i</v>
      </c>
      <c r="AA153" s="18">
        <f t="shared" si="174"/>
        <v>1.0000059297455197</v>
      </c>
      <c r="AB153" s="18">
        <f t="shared" si="175"/>
        <v>3.7323513008225011E-3</v>
      </c>
      <c r="AC153" s="67" t="str">
        <f t="shared" si="176"/>
        <v>18.743202337579-13.2656337560681i</v>
      </c>
      <c r="AD153" s="65">
        <f t="shared" si="177"/>
        <v>27.220451473839923</v>
      </c>
      <c r="AE153" s="62">
        <f t="shared" si="178"/>
        <v>-35.289220838690362</v>
      </c>
      <c r="AF153" s="50" t="str">
        <f t="shared" si="160"/>
        <v>79.1527877025864</v>
      </c>
      <c r="AG153" s="50" t="str">
        <f t="shared" si="161"/>
        <v>1+0.685569810071519i</v>
      </c>
      <c r="AH153" s="50">
        <f t="shared" si="179"/>
        <v>1.2124380250064326</v>
      </c>
      <c r="AI153" s="50">
        <f t="shared" si="180"/>
        <v>0.60097547876842294</v>
      </c>
      <c r="AJ153" s="50" t="str">
        <f t="shared" si="162"/>
        <v>1+0.000618917189647901i</v>
      </c>
      <c r="AK153" s="50">
        <f t="shared" si="181"/>
        <v>1.0000001915292254</v>
      </c>
      <c r="AL153" s="50">
        <f t="shared" si="182"/>
        <v>6.1891711062075829E-4</v>
      </c>
      <c r="AM153" s="50" t="str">
        <f t="shared" si="163"/>
        <v>1-0.0028555183837349i</v>
      </c>
      <c r="AN153" s="50">
        <f t="shared" si="183"/>
        <v>1.000004076984309</v>
      </c>
      <c r="AO153" s="50">
        <f t="shared" si="184"/>
        <v>-2.855510622487953E-3</v>
      </c>
      <c r="AP153" s="59" t="str">
        <f t="shared" si="185"/>
        <v>53.7627471388182-37.0351495643736i</v>
      </c>
      <c r="AQ153" s="50">
        <f t="shared" si="186"/>
        <v>36.296170406906541</v>
      </c>
      <c r="AR153" s="62">
        <f t="shared" si="187"/>
        <v>-34.56150589300097</v>
      </c>
      <c r="AS153" s="32" t="str">
        <f t="shared" si="164"/>
        <v>-0.0000166666666666667</v>
      </c>
      <c r="AT153" s="32" t="str">
        <f t="shared" si="165"/>
        <v>4.78254192000649E-06i</v>
      </c>
      <c r="AU153" s="32">
        <f t="shared" si="188"/>
        <v>4.7825419200064899E-6</v>
      </c>
      <c r="AV153" s="32">
        <f t="shared" si="189"/>
        <v>1.5707963267948966</v>
      </c>
      <c r="AW153" s="32" t="str">
        <f t="shared" si="166"/>
        <v>1+0.00486032028341145i</v>
      </c>
      <c r="AX153" s="32">
        <f t="shared" si="190"/>
        <v>1.0000118112868754</v>
      </c>
      <c r="AY153" s="32">
        <f t="shared" si="191"/>
        <v>4.8602820126364202E-3</v>
      </c>
      <c r="AZ153" s="32" t="str">
        <f t="shared" si="167"/>
        <v>1+0.165250889635989i</v>
      </c>
      <c r="BA153" s="32">
        <f t="shared" si="192"/>
        <v>1.0135619648178822</v>
      </c>
      <c r="BB153" s="32">
        <f t="shared" si="193"/>
        <v>0.16377084917037926</v>
      </c>
      <c r="BC153" s="59" t="str">
        <f t="shared" si="194"/>
        <v>-0.558931433201225+3.48761372739309i</v>
      </c>
      <c r="BD153" s="50">
        <f t="shared" si="195"/>
        <v>10.960702788127756</v>
      </c>
      <c r="BE153" s="62">
        <f t="shared" si="196"/>
        <v>99.104904818168905</v>
      </c>
      <c r="BF153" s="59" t="str">
        <f t="shared" si="197"/>
        <v>35.7892414449087+72.7836294554485i</v>
      </c>
      <c r="BG153" s="65">
        <f t="shared" si="198"/>
        <v>38.181154261967684</v>
      </c>
      <c r="BH153" s="62">
        <f t="shared" si="199"/>
        <v>63.815683979478557</v>
      </c>
      <c r="BI153" s="59" t="str">
        <f t="shared" si="152"/>
        <v>99.1146067056309+208.203804168543i</v>
      </c>
      <c r="BJ153" s="65">
        <f t="shared" si="200"/>
        <v>47.256873195034295</v>
      </c>
      <c r="BK153" s="62">
        <f t="shared" si="153"/>
        <v>64.543398925167935</v>
      </c>
      <c r="BL153" s="50">
        <f t="shared" si="201"/>
        <v>38.181154261967684</v>
      </c>
      <c r="BM153" s="62">
        <f t="shared" si="202"/>
        <v>63.815683979478557</v>
      </c>
    </row>
    <row r="154" spans="14:65" x14ac:dyDescent="0.3">
      <c r="N154" s="11">
        <v>36</v>
      </c>
      <c r="O154" s="51">
        <f t="shared" si="154"/>
        <v>229.08676527677744</v>
      </c>
      <c r="P154" s="49" t="str">
        <f t="shared" si="155"/>
        <v>27.9103246607183</v>
      </c>
      <c r="Q154" s="18" t="str">
        <f t="shared" si="156"/>
        <v>1+0.707061881424319i</v>
      </c>
      <c r="R154" s="18">
        <f t="shared" si="168"/>
        <v>1.2247189490504742</v>
      </c>
      <c r="S154" s="18">
        <f t="shared" si="169"/>
        <v>0.61544977486199981</v>
      </c>
      <c r="T154" s="18" t="str">
        <f t="shared" si="157"/>
        <v>1+0.000633333622968795i</v>
      </c>
      <c r="U154" s="18">
        <f t="shared" si="170"/>
        <v>1.0000002005557189</v>
      </c>
      <c r="V154" s="18">
        <f t="shared" si="171"/>
        <v>6.3333353828968683E-4</v>
      </c>
      <c r="W154" s="32" t="str">
        <f t="shared" si="158"/>
        <v>1-0.00835204272714178i</v>
      </c>
      <c r="X154" s="18">
        <f t="shared" si="172"/>
        <v>1.0000348777006309</v>
      </c>
      <c r="Y154" s="18">
        <f t="shared" si="173"/>
        <v>-8.3518485318523367E-3</v>
      </c>
      <c r="Z154" s="32" t="str">
        <f t="shared" si="159"/>
        <v>0.999998915687066+0.00381930271082679i</v>
      </c>
      <c r="AA154" s="18">
        <f t="shared" si="174"/>
        <v>1.0000062092049753</v>
      </c>
      <c r="AB154" s="18">
        <f t="shared" si="175"/>
        <v>3.8192882814366662E-3</v>
      </c>
      <c r="AC154" s="67" t="str">
        <f t="shared" si="176"/>
        <v>18.45516811322-13.3709718750366i</v>
      </c>
      <c r="AD154" s="65">
        <f t="shared" si="177"/>
        <v>27.154819767952354</v>
      </c>
      <c r="AE154" s="62">
        <f t="shared" si="178"/>
        <v>-35.923742034378968</v>
      </c>
      <c r="AF154" s="50" t="str">
        <f t="shared" si="160"/>
        <v>79.1527877025864</v>
      </c>
      <c r="AG154" s="50" t="str">
        <f t="shared" si="161"/>
        <v>1+0.701538782365432i</v>
      </c>
      <c r="AH154" s="50">
        <f t="shared" si="179"/>
        <v>1.2215386457917625</v>
      </c>
      <c r="AI154" s="50">
        <f t="shared" si="180"/>
        <v>0.61175795781864184</v>
      </c>
      <c r="AJ154" s="50" t="str">
        <f t="shared" si="162"/>
        <v>1+0.000633333622968795i</v>
      </c>
      <c r="AK154" s="50">
        <f t="shared" si="181"/>
        <v>1.0000002005557189</v>
      </c>
      <c r="AL154" s="50">
        <f t="shared" si="182"/>
        <v>6.3333353828968683E-4</v>
      </c>
      <c r="AM154" s="50" t="str">
        <f t="shared" si="163"/>
        <v>1-0.00292203195140479i</v>
      </c>
      <c r="AN154" s="50">
        <f t="shared" si="183"/>
        <v>1.0000042691262498</v>
      </c>
      <c r="AO154" s="50">
        <f t="shared" si="184"/>
        <v>-2.9220236350807711E-3</v>
      </c>
      <c r="AP154" s="59" t="str">
        <f t="shared" si="185"/>
        <v>52.9608234693642-37.3352284626743i</v>
      </c>
      <c r="AQ154" s="50">
        <f t="shared" si="186"/>
        <v>36.23121889720349</v>
      </c>
      <c r="AR154" s="62">
        <f t="shared" si="187"/>
        <v>-35.182281349709925</v>
      </c>
      <c r="AS154" s="32" t="str">
        <f t="shared" si="164"/>
        <v>-0.0000166666666666667</v>
      </c>
      <c r="AT154" s="32" t="str">
        <f t="shared" si="165"/>
        <v>4.89394163203158E-06i</v>
      </c>
      <c r="AU154" s="32">
        <f t="shared" si="188"/>
        <v>4.89394163203158E-6</v>
      </c>
      <c r="AV154" s="32">
        <f t="shared" si="189"/>
        <v>1.5707963267948966</v>
      </c>
      <c r="AW154" s="32" t="str">
        <f t="shared" si="166"/>
        <v>1+0.00497353168625494i</v>
      </c>
      <c r="AX154" s="32">
        <f t="shared" si="190"/>
        <v>1.0000123679322341</v>
      </c>
      <c r="AY154" s="32">
        <f t="shared" si="191"/>
        <v>4.9734906784080603E-3</v>
      </c>
      <c r="AZ154" s="32" t="str">
        <f t="shared" si="167"/>
        <v>1+0.169100077332668i</v>
      </c>
      <c r="BA154" s="32">
        <f t="shared" si="192"/>
        <v>1.0141966457023581</v>
      </c>
      <c r="BB154" s="32">
        <f t="shared" si="193"/>
        <v>0.16751538188569981</v>
      </c>
      <c r="BC154" s="59" t="str">
        <f t="shared" si="194"/>
        <v>-0.558930810955918+3.40835105808376i</v>
      </c>
      <c r="BD154" s="50">
        <f t="shared" si="195"/>
        <v>10.766135255545354</v>
      </c>
      <c r="BE154" s="62">
        <f t="shared" si="196"/>
        <v>99.312964360252408</v>
      </c>
      <c r="BF154" s="59" t="str">
        <f t="shared" si="197"/>
        <v>35.2578040580393+70.37513991919i</v>
      </c>
      <c r="BG154" s="65">
        <f t="shared" si="198"/>
        <v>37.920955023497704</v>
      </c>
      <c r="BH154" s="62">
        <f t="shared" si="199"/>
        <v>63.389222325873455</v>
      </c>
      <c r="BI154" s="59" t="str">
        <f t="shared" si="152"/>
        <v>97.6501294239299+201.376888230662i</v>
      </c>
      <c r="BJ154" s="65">
        <f t="shared" si="200"/>
        <v>46.997354152748855</v>
      </c>
      <c r="BK154" s="62">
        <f t="shared" si="153"/>
        <v>64.130683010542498</v>
      </c>
      <c r="BL154" s="50">
        <f t="shared" si="201"/>
        <v>37.920955023497704</v>
      </c>
      <c r="BM154" s="62">
        <f t="shared" si="202"/>
        <v>63.389222325873455</v>
      </c>
    </row>
    <row r="155" spans="14:65" x14ac:dyDescent="0.3">
      <c r="N155" s="11">
        <v>37</v>
      </c>
      <c r="O155" s="51">
        <f t="shared" si="154"/>
        <v>234.42288153199232</v>
      </c>
      <c r="P155" s="49" t="str">
        <f t="shared" si="155"/>
        <v>27.9103246607183</v>
      </c>
      <c r="Q155" s="18" t="str">
        <f t="shared" si="156"/>
        <v>1+0.723531468370347i</v>
      </c>
      <c r="R155" s="18">
        <f t="shared" si="168"/>
        <v>1.2343005248812586</v>
      </c>
      <c r="S155" s="18">
        <f t="shared" si="169"/>
        <v>0.62634494329084001</v>
      </c>
      <c r="T155" s="18" t="str">
        <f t="shared" si="157"/>
        <v>1+0.000648085858159745i</v>
      </c>
      <c r="U155" s="18">
        <f t="shared" si="170"/>
        <v>1.0000002100076177</v>
      </c>
      <c r="V155" s="18">
        <f t="shared" si="171"/>
        <v>6.4808576742444697E-4</v>
      </c>
      <c r="W155" s="32" t="str">
        <f t="shared" si="158"/>
        <v>1-0.00854658679391357i</v>
      </c>
      <c r="X155" s="18">
        <f t="shared" si="172"/>
        <v>1.0000365214060063</v>
      </c>
      <c r="Y155" s="18">
        <f t="shared" si="173"/>
        <v>-8.5463787103223707E-3</v>
      </c>
      <c r="Z155" s="32" t="str">
        <f t="shared" si="159"/>
        <v>0.999998864584971+0.00390826569938792i</v>
      </c>
      <c r="AA155" s="18">
        <f t="shared" si="174"/>
        <v>1.0000065018348672</v>
      </c>
      <c r="AB155" s="18">
        <f t="shared" si="175"/>
        <v>3.9082502380232264E-3</v>
      </c>
      <c r="AC155" s="67" t="str">
        <f t="shared" si="176"/>
        <v>18.1626782420801-13.4707960168285i</v>
      </c>
      <c r="AD155" s="65">
        <f t="shared" si="177"/>
        <v>27.087142058757578</v>
      </c>
      <c r="AE155" s="62">
        <f t="shared" si="178"/>
        <v>-36.563386864831834</v>
      </c>
      <c r="AF155" s="50" t="str">
        <f t="shared" si="160"/>
        <v>79.1527877025864</v>
      </c>
      <c r="AG155" s="50" t="str">
        <f t="shared" si="161"/>
        <v>1+0.717879719807716i</v>
      </c>
      <c r="AH155" s="50">
        <f t="shared" si="179"/>
        <v>1.2309960569031912</v>
      </c>
      <c r="AI155" s="50">
        <f t="shared" si="180"/>
        <v>0.62262525747594366</v>
      </c>
      <c r="AJ155" s="50" t="str">
        <f t="shared" si="162"/>
        <v>1+0.000648085858159745i</v>
      </c>
      <c r="AK155" s="50">
        <f t="shared" si="181"/>
        <v>1.0000002100076177</v>
      </c>
      <c r="AL155" s="50">
        <f t="shared" si="182"/>
        <v>6.4808576742444697E-4</v>
      </c>
      <c r="AM155" s="50" t="str">
        <f t="shared" si="163"/>
        <v>1-0.00299009481909296i</v>
      </c>
      <c r="AN155" s="50">
        <f t="shared" si="183"/>
        <v>1.0000044703235216</v>
      </c>
      <c r="AO155" s="50">
        <f t="shared" si="184"/>
        <v>-2.9900859079933771E-3</v>
      </c>
      <c r="AP155" s="59" t="str">
        <f t="shared" si="185"/>
        <v>52.1462339736224-37.620100372094i</v>
      </c>
      <c r="AQ155" s="50">
        <f t="shared" si="186"/>
        <v>36.164231716471093</v>
      </c>
      <c r="AR155" s="62">
        <f t="shared" si="187"/>
        <v>-35.807986195291463</v>
      </c>
      <c r="AS155" s="32" t="str">
        <f t="shared" si="164"/>
        <v>-0.0000166666666666667</v>
      </c>
      <c r="AT155" s="32" t="str">
        <f t="shared" si="165"/>
        <v>5.00793617668895E-06i</v>
      </c>
      <c r="AU155" s="32">
        <f t="shared" si="188"/>
        <v>5.0079361766889502E-6</v>
      </c>
      <c r="AV155" s="32">
        <f t="shared" si="189"/>
        <v>1.5707963267948966</v>
      </c>
      <c r="AW155" s="32" t="str">
        <f t="shared" si="166"/>
        <v>1+0.00508938012143093i</v>
      </c>
      <c r="AX155" s="32">
        <f t="shared" si="190"/>
        <v>1.0000129508111484</v>
      </c>
      <c r="AY155" s="32">
        <f t="shared" si="191"/>
        <v>5.0893361807620666E-3</v>
      </c>
      <c r="AZ155" s="32" t="str">
        <f t="shared" si="167"/>
        <v>1+0.173038924128652i</v>
      </c>
      <c r="BA155" s="32">
        <f t="shared" si="192"/>
        <v>1.0148608127539467</v>
      </c>
      <c r="BB155" s="32">
        <f t="shared" si="193"/>
        <v>0.17134223238154239</v>
      </c>
      <c r="BC155" s="59" t="str">
        <f t="shared" si="194"/>
        <v>-0.558930159386576+3.33089554132851i</v>
      </c>
      <c r="BD155" s="50">
        <f t="shared" si="195"/>
        <v>10.571816460461548</v>
      </c>
      <c r="BE155" s="62">
        <f t="shared" si="196"/>
        <v>99.525589284131271</v>
      </c>
      <c r="BF155" s="59" t="str">
        <f t="shared" si="197"/>
        <v>34.718145745867+68.027218139879i</v>
      </c>
      <c r="BG155" s="65">
        <f t="shared" si="198"/>
        <v>37.658958519219127</v>
      </c>
      <c r="BH155" s="62">
        <f t="shared" si="199"/>
        <v>62.962202419299452</v>
      </c>
      <c r="BI155" s="59" t="str">
        <f t="shared" si="152"/>
        <v>96.1625217274525+194.720666936926i</v>
      </c>
      <c r="BJ155" s="65">
        <f t="shared" si="200"/>
        <v>46.736048176932655</v>
      </c>
      <c r="BK155" s="62">
        <f t="shared" si="153"/>
        <v>63.717603088839859</v>
      </c>
      <c r="BL155" s="50">
        <f t="shared" si="201"/>
        <v>37.658958519219127</v>
      </c>
      <c r="BM155" s="62">
        <f t="shared" si="202"/>
        <v>62.962202419299452</v>
      </c>
    </row>
    <row r="156" spans="14:65" x14ac:dyDescent="0.3">
      <c r="N156" s="11">
        <v>38</v>
      </c>
      <c r="O156" s="51">
        <f t="shared" si="154"/>
        <v>239.88329190194912</v>
      </c>
      <c r="P156" s="49" t="str">
        <f t="shared" si="155"/>
        <v>27.9103246607183</v>
      </c>
      <c r="Q156" s="18" t="str">
        <f t="shared" si="156"/>
        <v>1+0.740384681277983i</v>
      </c>
      <c r="R156" s="18">
        <f t="shared" si="168"/>
        <v>1.2442545865983781</v>
      </c>
      <c r="S156" s="18">
        <f t="shared" si="169"/>
        <v>0.6373188499044965</v>
      </c>
      <c r="T156" s="18" t="str">
        <f t="shared" si="157"/>
        <v>1+0.000663181717051129i</v>
      </c>
      <c r="U156" s="18">
        <f t="shared" si="170"/>
        <v>1.0000002199049707</v>
      </c>
      <c r="V156" s="18">
        <f t="shared" si="171"/>
        <v>6.6318161982650652E-4</v>
      </c>
      <c r="W156" s="32" t="str">
        <f t="shared" si="158"/>
        <v>1-0.00874566237413103i</v>
      </c>
      <c r="X156" s="18">
        <f t="shared" si="172"/>
        <v>1.0000382425739338</v>
      </c>
      <c r="Y156" s="18">
        <f t="shared" si="173"/>
        <v>-8.7454394090064579E-3</v>
      </c>
      <c r="Z156" s="32" t="str">
        <f t="shared" si="159"/>
        <v>0.99999881107451+0.00399930090215491i</v>
      </c>
      <c r="AA156" s="18">
        <f t="shared" si="174"/>
        <v>1.0000068082558937</v>
      </c>
      <c r="AB156" s="18">
        <f t="shared" si="175"/>
        <v>3.9992843350101937E-3</v>
      </c>
      <c r="AC156" s="67" t="str">
        <f t="shared" si="176"/>
        <v>17.8659456888269-13.5648747380151i</v>
      </c>
      <c r="AD156" s="65">
        <f t="shared" si="177"/>
        <v>27.017387699504177</v>
      </c>
      <c r="AE156" s="62">
        <f t="shared" si="178"/>
        <v>-37.207901677384875</v>
      </c>
      <c r="AF156" s="50" t="str">
        <f t="shared" si="160"/>
        <v>79.1527877025864</v>
      </c>
      <c r="AG156" s="50" t="str">
        <f t="shared" si="161"/>
        <v>1+0.73460128657971i</v>
      </c>
      <c r="AH156" s="50">
        <f t="shared" si="179"/>
        <v>1.2408219252755672</v>
      </c>
      <c r="AI156" s="50">
        <f t="shared" si="180"/>
        <v>0.63357287262376216</v>
      </c>
      <c r="AJ156" s="50" t="str">
        <f t="shared" si="162"/>
        <v>1+0.000663181717051129i</v>
      </c>
      <c r="AK156" s="50">
        <f t="shared" si="181"/>
        <v>1.0000002199049707</v>
      </c>
      <c r="AL156" s="50">
        <f t="shared" si="182"/>
        <v>6.6318161982650652E-4</v>
      </c>
      <c r="AM156" s="50" t="str">
        <f t="shared" si="163"/>
        <v>1-0.00305974307463283i</v>
      </c>
      <c r="AN156" s="50">
        <f t="shared" si="183"/>
        <v>1.0000046810028855</v>
      </c>
      <c r="AO156" s="50">
        <f t="shared" si="184"/>
        <v>-3.0597335262200101E-3</v>
      </c>
      <c r="AP156" s="59" t="str">
        <f t="shared" si="185"/>
        <v>51.3195599132947-37.8891092513637i</v>
      </c>
      <c r="AQ156" s="50">
        <f t="shared" si="186"/>
        <v>36.095177691805013</v>
      </c>
      <c r="AR156" s="62">
        <f t="shared" si="187"/>
        <v>-36.438363924941662</v>
      </c>
      <c r="AS156" s="32" t="str">
        <f t="shared" si="164"/>
        <v>-0.0000166666666666667</v>
      </c>
      <c r="AT156" s="32" t="str">
        <f t="shared" si="165"/>
        <v>5.12458599539507E-06i</v>
      </c>
      <c r="AU156" s="32">
        <f t="shared" si="188"/>
        <v>5.1245859953950699E-6</v>
      </c>
      <c r="AV156" s="32">
        <f t="shared" si="189"/>
        <v>1.5707963267948966</v>
      </c>
      <c r="AW156" s="32" t="str">
        <f t="shared" si="166"/>
        <v>1+0.00520792701331327i</v>
      </c>
      <c r="AX156" s="32">
        <f t="shared" si="190"/>
        <v>1.0000135611599354</v>
      </c>
      <c r="AY156" s="32">
        <f t="shared" si="191"/>
        <v>5.2078799300727821E-3</v>
      </c>
      <c r="AZ156" s="32" t="str">
        <f t="shared" si="167"/>
        <v>1+0.177069518452651i</v>
      </c>
      <c r="BA156" s="32">
        <f t="shared" si="192"/>
        <v>1.0155558154848279</v>
      </c>
      <c r="BB156" s="32">
        <f t="shared" si="193"/>
        <v>0.17525298113276433</v>
      </c>
      <c r="BC156" s="59" t="str">
        <f t="shared" si="194"/>
        <v>-0.55892947711135+3.25520610916626i</v>
      </c>
      <c r="BD156" s="50">
        <f t="shared" si="195"/>
        <v>10.377757443404604</v>
      </c>
      <c r="BE156" s="62">
        <f t="shared" si="196"/>
        <v>99.74286662578919</v>
      </c>
      <c r="BF156" s="59" t="str">
        <f t="shared" si="197"/>
        <v>34.170659435306+65.7391438967017i</v>
      </c>
      <c r="BG156" s="65">
        <f t="shared" si="198"/>
        <v>37.395145142908788</v>
      </c>
      <c r="BH156" s="62">
        <f t="shared" si="199"/>
        <v>62.534964948404344</v>
      </c>
      <c r="BI156" s="59" t="str">
        <f t="shared" si="152"/>
        <v>94.6528451179846+188.23308497156i</v>
      </c>
      <c r="BJ156" s="65">
        <f t="shared" si="200"/>
        <v>46.47293513520961</v>
      </c>
      <c r="BK156" s="62">
        <f t="shared" si="153"/>
        <v>63.304502700847486</v>
      </c>
      <c r="BL156" s="50">
        <f t="shared" si="201"/>
        <v>37.395145142908788</v>
      </c>
      <c r="BM156" s="62">
        <f t="shared" si="202"/>
        <v>62.534964948404344</v>
      </c>
    </row>
    <row r="157" spans="14:65" x14ac:dyDescent="0.3">
      <c r="N157" s="11">
        <v>39</v>
      </c>
      <c r="O157" s="51">
        <f t="shared" si="154"/>
        <v>245.4708915685033</v>
      </c>
      <c r="P157" s="49" t="str">
        <f t="shared" si="155"/>
        <v>27.9103246607183</v>
      </c>
      <c r="Q157" s="18" t="str">
        <f t="shared" si="156"/>
        <v>1+0.757630455943778i</v>
      </c>
      <c r="R157" s="18">
        <f t="shared" si="168"/>
        <v>1.2545931243927559</v>
      </c>
      <c r="S157" s="18">
        <f t="shared" si="169"/>
        <v>0.6483667411027364</v>
      </c>
      <c r="T157" s="18" t="str">
        <f t="shared" si="157"/>
        <v>1+0.000678629203667136i</v>
      </c>
      <c r="U157" s="18">
        <f t="shared" si="170"/>
        <v>1.0000002302687716</v>
      </c>
      <c r="V157" s="18">
        <f t="shared" si="171"/>
        <v>6.786290994890775E-4</v>
      </c>
      <c r="W157" s="32" t="str">
        <f t="shared" si="158"/>
        <v>1-0.00894937502030173i</v>
      </c>
      <c r="X157" s="18">
        <f t="shared" si="172"/>
        <v>1.0000400448548317</v>
      </c>
      <c r="Y157" s="18">
        <f t="shared" si="173"/>
        <v>-8.9491361093830459E-3</v>
      </c>
      <c r="Z157" s="32" t="str">
        <f t="shared" si="159"/>
        <v>0.999998755042178+0.00409245658719721i</v>
      </c>
      <c r="AA157" s="18">
        <f t="shared" si="174"/>
        <v>1.0000071291179999</v>
      </c>
      <c r="AB157" s="18">
        <f t="shared" si="175"/>
        <v>4.0924388351885914E-3</v>
      </c>
      <c r="AC157" s="67" t="str">
        <f t="shared" si="176"/>
        <v>17.5651987592865-13.6529860240831i</v>
      </c>
      <c r="AD157" s="65">
        <f t="shared" si="177"/>
        <v>26.94552760040914</v>
      </c>
      <c r="AE157" s="62">
        <f t="shared" si="178"/>
        <v>-37.857022461110049</v>
      </c>
      <c r="AF157" s="50" t="str">
        <f t="shared" si="160"/>
        <v>79.1527877025864</v>
      </c>
      <c r="AG157" s="50" t="str">
        <f t="shared" si="161"/>
        <v>1+0.751712348677441i</v>
      </c>
      <c r="AH157" s="50">
        <f t="shared" si="179"/>
        <v>1.2510281592171115</v>
      </c>
      <c r="AI157" s="50">
        <f t="shared" si="180"/>
        <v>0.64459611149615292</v>
      </c>
      <c r="AJ157" s="50" t="str">
        <f t="shared" si="162"/>
        <v>1+0.000678629203667136i</v>
      </c>
      <c r="AK157" s="50">
        <f t="shared" si="181"/>
        <v>1.0000002302687716</v>
      </c>
      <c r="AL157" s="50">
        <f t="shared" si="182"/>
        <v>6.786290994890775E-4</v>
      </c>
      <c r="AM157" s="50" t="str">
        <f t="shared" si="163"/>
        <v>1-0.00313101364645133i</v>
      </c>
      <c r="AN157" s="50">
        <f t="shared" si="183"/>
        <v>1.0000049016112142</v>
      </c>
      <c r="AO157" s="50">
        <f t="shared" si="184"/>
        <v>-3.1310034151453676E-3</v>
      </c>
      <c r="AP157" s="59" t="str">
        <f t="shared" si="185"/>
        <v>50.4814259041673-38.1416242961727i</v>
      </c>
      <c r="AQ157" s="50">
        <f t="shared" si="186"/>
        <v>36.02402716925755</v>
      </c>
      <c r="AR157" s="62">
        <f t="shared" si="187"/>
        <v>-37.073147377347247</v>
      </c>
      <c r="AS157" s="32" t="str">
        <f t="shared" si="164"/>
        <v>-0.0000166666666666667</v>
      </c>
      <c r="AT157" s="32" t="str">
        <f t="shared" si="165"/>
        <v>5.24395293742788E-06i</v>
      </c>
      <c r="AU157" s="32">
        <f t="shared" si="188"/>
        <v>5.2439529374278803E-6</v>
      </c>
      <c r="AV157" s="32">
        <f t="shared" si="189"/>
        <v>1.5707963267948966</v>
      </c>
      <c r="AW157" s="32" t="str">
        <f t="shared" si="166"/>
        <v>1+0.00532923521703309i</v>
      </c>
      <c r="AX157" s="32">
        <f t="shared" si="190"/>
        <v>1.0000142002731753</v>
      </c>
      <c r="AY157" s="32">
        <f t="shared" si="191"/>
        <v>5.3291847664706463E-3</v>
      </c>
      <c r="AZ157" s="32" t="str">
        <f t="shared" si="167"/>
        <v>1+0.181193997379125i</v>
      </c>
      <c r="BA157" s="32">
        <f t="shared" si="192"/>
        <v>1.0162830632684117</v>
      </c>
      <c r="BB157" s="32">
        <f t="shared" si="193"/>
        <v>0.1792492229452978</v>
      </c>
      <c r="BC157" s="59" t="str">
        <f t="shared" si="194"/>
        <v>-0.558928762683261+3.18124263003581i</v>
      </c>
      <c r="BD157" s="50">
        <f t="shared" si="195"/>
        <v>10.183969702419427</v>
      </c>
      <c r="BE157" s="62">
        <f t="shared" si="196"/>
        <v>99.964884160400928</v>
      </c>
      <c r="BF157" s="59" t="str">
        <f t="shared" si="197"/>
        <v>33.6157663582827+63.5102056834669i</v>
      </c>
      <c r="BG157" s="65">
        <f t="shared" si="198"/>
        <v>37.129497302828554</v>
      </c>
      <c r="BH157" s="62">
        <f t="shared" si="199"/>
        <v>62.107861699290879</v>
      </c>
      <c r="BI157" s="59" t="str">
        <f t="shared" si="152"/>
        <v>93.1222402706912+181.912114985921i</v>
      </c>
      <c r="BJ157" s="65">
        <f t="shared" si="200"/>
        <v>46.207996871676983</v>
      </c>
      <c r="BK157" s="62">
        <f t="shared" si="153"/>
        <v>62.891736783053744</v>
      </c>
      <c r="BL157" s="50">
        <f t="shared" si="201"/>
        <v>37.129497302828554</v>
      </c>
      <c r="BM157" s="62">
        <f t="shared" si="202"/>
        <v>62.107861699290879</v>
      </c>
    </row>
    <row r="158" spans="14:65" x14ac:dyDescent="0.3">
      <c r="N158" s="11">
        <v>40</v>
      </c>
      <c r="O158" s="51">
        <f t="shared" si="154"/>
        <v>251.18864315095806</v>
      </c>
      <c r="P158" s="49" t="str">
        <f t="shared" si="155"/>
        <v>27.9103246607183</v>
      </c>
      <c r="Q158" s="18" t="str">
        <f t="shared" si="156"/>
        <v>1+0.775277936305744i</v>
      </c>
      <c r="R158" s="18">
        <f t="shared" si="168"/>
        <v>1.2653283678644422</v>
      </c>
      <c r="S158" s="18">
        <f t="shared" si="169"/>
        <v>0.65948368732875573</v>
      </c>
      <c r="T158" s="18" t="str">
        <f t="shared" si="157"/>
        <v>1+0.000694436508469652i</v>
      </c>
      <c r="U158" s="18">
        <f t="shared" si="170"/>
        <v>1.0000002411210032</v>
      </c>
      <c r="V158" s="18">
        <f t="shared" si="171"/>
        <v>6.9443639684085249E-4</v>
      </c>
      <c r="W158" s="32" t="str">
        <f t="shared" si="158"/>
        <v>1-0.00915783274356722i</v>
      </c>
      <c r="X158" s="18">
        <f t="shared" si="172"/>
        <v>1.0000419320711302</v>
      </c>
      <c r="Y158" s="18">
        <f t="shared" si="173"/>
        <v>-9.1575767464853481E-3</v>
      </c>
      <c r="Z158" s="32" t="str">
        <f t="shared" si="159"/>
        <v>0.999998696369123+0.00418778214689213i</v>
      </c>
      <c r="AA158" s="18">
        <f t="shared" si="174"/>
        <v>1.0000074651017636</v>
      </c>
      <c r="AB158" s="18">
        <f t="shared" si="175"/>
        <v>4.1877631252797958E-3</v>
      </c>
      <c r="AC158" s="67" t="str">
        <f t="shared" si="176"/>
        <v>17.2606805971875-13.7349184922008i</v>
      </c>
      <c r="AD158" s="65">
        <f t="shared" si="177"/>
        <v>26.871534335162494</v>
      </c>
      <c r="AE158" s="62">
        <f t="shared" si="178"/>
        <v>-38.510475317803348</v>
      </c>
      <c r="AF158" s="50" t="str">
        <f t="shared" si="160"/>
        <v>79.1527877025864</v>
      </c>
      <c r="AG158" s="50" t="str">
        <f t="shared" si="161"/>
        <v>1+0.769221978612535i</v>
      </c>
      <c r="AH158" s="50">
        <f t="shared" si="179"/>
        <v>1.2616269069659949</v>
      </c>
      <c r="AI158" s="50">
        <f t="shared" si="180"/>
        <v>0.65569010348765944</v>
      </c>
      <c r="AJ158" s="50" t="str">
        <f t="shared" si="162"/>
        <v>1+0.000694436508469652i</v>
      </c>
      <c r="AK158" s="50">
        <f t="shared" si="181"/>
        <v>1.0000002411210032</v>
      </c>
      <c r="AL158" s="50">
        <f t="shared" si="182"/>
        <v>6.9443639684085249E-4</v>
      </c>
      <c r="AM158" s="50" t="str">
        <f t="shared" si="163"/>
        <v>1-0.00320394432314907i</v>
      </c>
      <c r="AN158" s="50">
        <f t="shared" si="183"/>
        <v>1.000005132616441</v>
      </c>
      <c r="AO158" s="50">
        <f t="shared" si="184"/>
        <v>-3.2039333601102519E-3</v>
      </c>
      <c r="AP158" s="59" t="str">
        <f t="shared" si="185"/>
        <v>49.6324986123982-38.3770433254061i</v>
      </c>
      <c r="AQ158" s="50">
        <f t="shared" si="186"/>
        <v>35.950752121458642</v>
      </c>
      <c r="AR158" s="62">
        <f t="shared" si="187"/>
        <v>-37.712059183035258</v>
      </c>
      <c r="AS158" s="32" t="str">
        <f t="shared" si="164"/>
        <v>-0.0000166666666666667</v>
      </c>
      <c r="AT158" s="32" t="str">
        <f t="shared" si="165"/>
        <v>5.36610029272002E-06i</v>
      </c>
      <c r="AU158" s="32">
        <f t="shared" si="188"/>
        <v>5.3661002927200203E-6</v>
      </c>
      <c r="AV158" s="32">
        <f t="shared" si="189"/>
        <v>1.5707963267948966</v>
      </c>
      <c r="AW158" s="32" t="str">
        <f t="shared" si="166"/>
        <v>1+0.00545336905180579i</v>
      </c>
      <c r="AX158" s="32">
        <f t="shared" si="190"/>
        <v>1.0000148695064566</v>
      </c>
      <c r="AY158" s="32">
        <f t="shared" si="191"/>
        <v>5.453314993097585E-3</v>
      </c>
      <c r="AZ158" s="32" t="str">
        <f t="shared" si="167"/>
        <v>1+0.185414547761397i</v>
      </c>
      <c r="BA158" s="32">
        <f t="shared" si="192"/>
        <v>1.0170440278186403</v>
      </c>
      <c r="BB158" s="32">
        <f t="shared" si="193"/>
        <v>0.18333256586872484</v>
      </c>
      <c r="BC158" s="59" t="str">
        <f t="shared" si="194"/>
        <v>-0.558928014587179+3.10896588749759i</v>
      </c>
      <c r="BD158" s="50">
        <f t="shared" si="195"/>
        <v>9.9904652089962802</v>
      </c>
      <c r="BE158" s="62">
        <f t="shared" si="196"/>
        <v>100.19173033812218</v>
      </c>
      <c r="BF158" s="59" t="str">
        <f t="shared" si="197"/>
        <v>33.0539151232027+61.33969789501i</v>
      </c>
      <c r="BG158" s="65">
        <f t="shared" si="198"/>
        <v>36.861999544158778</v>
      </c>
      <c r="BH158" s="62">
        <f t="shared" si="199"/>
        <v>61.681255020318829</v>
      </c>
      <c r="BI158" s="59" t="str">
        <f t="shared" si="152"/>
        <v>91.571924653276+175.755749728813i</v>
      </c>
      <c r="BJ158" s="65">
        <f t="shared" si="200"/>
        <v>45.941217330454933</v>
      </c>
      <c r="BK158" s="62">
        <f t="shared" si="153"/>
        <v>62.479671155086955</v>
      </c>
      <c r="BL158" s="50">
        <f t="shared" si="201"/>
        <v>36.861999544158778</v>
      </c>
      <c r="BM158" s="62">
        <f t="shared" si="202"/>
        <v>61.681255020318829</v>
      </c>
    </row>
    <row r="159" spans="14:65" x14ac:dyDescent="0.3">
      <c r="N159" s="11">
        <v>41</v>
      </c>
      <c r="O159" s="51">
        <f t="shared" si="154"/>
        <v>257.03957827688663</v>
      </c>
      <c r="P159" s="49" t="str">
        <f t="shared" si="155"/>
        <v>27.9103246607183</v>
      </c>
      <c r="Q159" s="18" t="str">
        <f t="shared" si="156"/>
        <v>1+0.79333647929155i</v>
      </c>
      <c r="R159" s="18">
        <f t="shared" si="168"/>
        <v>1.2764727844238246</v>
      </c>
      <c r="S159" s="18">
        <f t="shared" si="169"/>
        <v>0.67066459217822094</v>
      </c>
      <c r="T159" s="18" t="str">
        <f t="shared" si="157"/>
        <v>1+0.000710612012700908i</v>
      </c>
      <c r="U159" s="18">
        <f t="shared" si="170"/>
        <v>1.0000002524846843</v>
      </c>
      <c r="V159" s="18">
        <f t="shared" si="171"/>
        <v>7.1061189308849605E-4</v>
      </c>
      <c r="W159" s="32" t="str">
        <f t="shared" si="158"/>
        <v>1-0.00937114607097155i</v>
      </c>
      <c r="X159" s="18">
        <f t="shared" si="172"/>
        <v>1.0000439082253756</v>
      </c>
      <c r="Y159" s="18">
        <f t="shared" si="173"/>
        <v>-9.3708717658067056E-3</v>
      </c>
      <c r="Z159" s="32" t="str">
        <f t="shared" si="159"/>
        <v>0.999998634930893+0.00428532812411316i</v>
      </c>
      <c r="AA159" s="18">
        <f t="shared" si="174"/>
        <v>1.0000078169198383</v>
      </c>
      <c r="AB159" s="18">
        <f t="shared" si="175"/>
        <v>4.2853077420968583E-3</v>
      </c>
      <c r="AC159" s="67" t="str">
        <f t="shared" si="176"/>
        <v>16.9526485709183-13.8104725661488i</v>
      </c>
      <c r="AD159" s="65">
        <f t="shared" si="177"/>
        <v>26.795382243498615</v>
      </c>
      <c r="AE159" s="62">
        <f t="shared" si="178"/>
        <v>-39.167976988404774</v>
      </c>
      <c r="AF159" s="50" t="str">
        <f t="shared" si="160"/>
        <v>79.1527877025864</v>
      </c>
      <c r="AG159" s="50" t="str">
        <f t="shared" si="161"/>
        <v>1+0.787139460222542i</v>
      </c>
      <c r="AH159" s="50">
        <f t="shared" si="179"/>
        <v>1.2726305551256558</v>
      </c>
      <c r="AI159" s="50">
        <f t="shared" si="180"/>
        <v>0.66684980793603676</v>
      </c>
      <c r="AJ159" s="50" t="str">
        <f t="shared" si="162"/>
        <v>1+0.000710612012700908i</v>
      </c>
      <c r="AK159" s="50">
        <f t="shared" si="181"/>
        <v>1.0000002524846843</v>
      </c>
      <c r="AL159" s="50">
        <f t="shared" si="182"/>
        <v>7.1061189308849605E-4</v>
      </c>
      <c r="AM159" s="50" t="str">
        <f t="shared" si="163"/>
        <v>1-0.00327857377353614i</v>
      </c>
      <c r="AN159" s="50">
        <f t="shared" si="183"/>
        <v>1.0000053745085515</v>
      </c>
      <c r="AO159" s="50">
        <f t="shared" si="184"/>
        <v>-3.2785620264318125E-3</v>
      </c>
      <c r="AP159" s="59" t="str">
        <f t="shared" si="185"/>
        <v>48.7734851424762-38.5947961003046i</v>
      </c>
      <c r="AQ159" s="50">
        <f t="shared" si="186"/>
        <v>35.875326251565653</v>
      </c>
      <c r="AR159" s="62">
        <f t="shared" si="187"/>
        <v>-38.354812268485055</v>
      </c>
      <c r="AS159" s="32" t="str">
        <f t="shared" si="164"/>
        <v>-0.0000166666666666667</v>
      </c>
      <c r="AT159" s="32" t="str">
        <f t="shared" si="165"/>
        <v>0.0000054910928254161i</v>
      </c>
      <c r="AU159" s="32">
        <f t="shared" si="188"/>
        <v>5.4910928254161002E-6</v>
      </c>
      <c r="AV159" s="32">
        <f t="shared" si="189"/>
        <v>1.5707963267948966</v>
      </c>
      <c r="AW159" s="32" t="str">
        <f t="shared" si="166"/>
        <v>1+0.00558039433503359i</v>
      </c>
      <c r="AX159" s="32">
        <f t="shared" si="190"/>
        <v>1.0000155702792506</v>
      </c>
      <c r="AY159" s="32">
        <f t="shared" si="191"/>
        <v>5.5803364101328417E-3</v>
      </c>
      <c r="AZ159" s="32" t="str">
        <f t="shared" si="167"/>
        <v>1+0.189733407391142i</v>
      </c>
      <c r="BA159" s="32">
        <f t="shared" si="192"/>
        <v>1.0178402457558127</v>
      </c>
      <c r="BB159" s="32">
        <f t="shared" si="193"/>
        <v>0.1875046300029059</v>
      </c>
      <c r="BC159" s="59" t="str">
        <f t="shared" si="194"/>
        <v>-0.558927231236554+3.03833755944032i</v>
      </c>
      <c r="BD159" s="50">
        <f t="shared" si="195"/>
        <v>9.7972564242653579</v>
      </c>
      <c r="BE159" s="62">
        <f t="shared" si="196"/>
        <v>100.42349421376476</v>
      </c>
      <c r="BF159" s="59" t="str">
        <f t="shared" si="197"/>
        <v>32.4855805834804+59.2269180784793i</v>
      </c>
      <c r="BG159" s="65">
        <f t="shared" si="198"/>
        <v>36.592638667763978</v>
      </c>
      <c r="BH159" s="62">
        <f t="shared" si="199"/>
        <v>61.255517225359974</v>
      </c>
      <c r="BI159" s="59" t="str">
        <f t="shared" si="152"/>
        <v>90.0031895820548+169.761994337672i</v>
      </c>
      <c r="BJ159" s="65">
        <f t="shared" si="200"/>
        <v>45.672582675830995</v>
      </c>
      <c r="BK159" s="62">
        <f t="shared" si="153"/>
        <v>62.068681945279664</v>
      </c>
      <c r="BL159" s="50">
        <f t="shared" si="201"/>
        <v>36.592638667763978</v>
      </c>
      <c r="BM159" s="62">
        <f t="shared" si="202"/>
        <v>61.255517225359974</v>
      </c>
    </row>
    <row r="160" spans="14:65" x14ac:dyDescent="0.3">
      <c r="N160" s="11">
        <v>42</v>
      </c>
      <c r="O160" s="51">
        <f t="shared" si="154"/>
        <v>263.02679918953817</v>
      </c>
      <c r="P160" s="49" t="str">
        <f t="shared" si="155"/>
        <v>27.9103246607183</v>
      </c>
      <c r="Q160" s="18" t="str">
        <f t="shared" si="156"/>
        <v>1+0.811815659779728i</v>
      </c>
      <c r="R160" s="18">
        <f t="shared" si="168"/>
        <v>1.2880390776151145</v>
      </c>
      <c r="S160" s="18">
        <f t="shared" si="169"/>
        <v>0.68190420244687699</v>
      </c>
      <c r="T160" s="18" t="str">
        <f t="shared" si="157"/>
        <v>1+0.00072716429282736i</v>
      </c>
      <c r="U160" s="18">
        <f t="shared" si="170"/>
        <v>1.0000002643839194</v>
      </c>
      <c r="V160" s="18">
        <f t="shared" si="171"/>
        <v>7.2716416466035315E-4</v>
      </c>
      <c r="W160" s="32" t="str">
        <f t="shared" si="158"/>
        <v>1-0.0095894281040645i</v>
      </c>
      <c r="X160" s="18">
        <f t="shared" si="172"/>
        <v>1.0000459775087158</v>
      </c>
      <c r="Y160" s="18">
        <f t="shared" si="173"/>
        <v>-9.589134181514674E-3</v>
      </c>
      <c r="Z160" s="32" t="str">
        <f t="shared" si="159"/>
        <v>0.999998570597168+0.00438514623902862i</v>
      </c>
      <c r="AA160" s="18">
        <f t="shared" si="174"/>
        <v>1.0000081853184588</v>
      </c>
      <c r="AB160" s="18">
        <f t="shared" si="175"/>
        <v>4.3851243993142473E-3</v>
      </c>
      <c r="AC160" s="67" t="str">
        <f t="shared" si="176"/>
        <v>16.6413735516377-13.8794616119566i</v>
      </c>
      <c r="AD160" s="65">
        <f t="shared" si="177"/>
        <v>26.717047529062512</v>
      </c>
      <c r="AE160" s="62">
        <f t="shared" si="178"/>
        <v>-39.829235433298372</v>
      </c>
      <c r="AF160" s="50" t="str">
        <f t="shared" si="160"/>
        <v>79.1527877025864</v>
      </c>
      <c r="AG160" s="50" t="str">
        <f t="shared" si="161"/>
        <v>1+0.805474293593381i</v>
      </c>
      <c r="AH160" s="50">
        <f t="shared" si="179"/>
        <v>1.2840517270109315</v>
      </c>
      <c r="AI160" s="50">
        <f t="shared" si="180"/>
        <v>0.67807002385385839</v>
      </c>
      <c r="AJ160" s="50" t="str">
        <f t="shared" si="162"/>
        <v>1+0.00072716429282736i</v>
      </c>
      <c r="AK160" s="50">
        <f t="shared" si="181"/>
        <v>1.0000002643839194</v>
      </c>
      <c r="AL160" s="50">
        <f t="shared" si="182"/>
        <v>7.2716416466035315E-4</v>
      </c>
      <c r="AM160" s="50" t="str">
        <f t="shared" si="163"/>
        <v>1-0.003354941567135i</v>
      </c>
      <c r="AN160" s="50">
        <f t="shared" si="183"/>
        <v>1.0000056278006233</v>
      </c>
      <c r="AO160" s="50">
        <f t="shared" si="184"/>
        <v>-3.3549289798897584E-3</v>
      </c>
      <c r="AP160" s="59" t="str">
        <f t="shared" si="185"/>
        <v>47.9051311193459-38.7943475445763i</v>
      </c>
      <c r="AQ160" s="50">
        <f t="shared" si="186"/>
        <v>35.797725092767216</v>
      </c>
      <c r="AR160" s="62">
        <f t="shared" si="187"/>
        <v>-39.001110414626702</v>
      </c>
      <c r="AS160" s="32" t="str">
        <f t="shared" si="164"/>
        <v>-0.0000166666666666667</v>
      </c>
      <c r="AT160" s="32" t="str">
        <f t="shared" si="165"/>
        <v>5.61899680821142E-06i</v>
      </c>
      <c r="AU160" s="32">
        <f t="shared" si="188"/>
        <v>5.6189968082114196E-6</v>
      </c>
      <c r="AV160" s="32">
        <f t="shared" si="189"/>
        <v>1.5707963267948966</v>
      </c>
      <c r="AW160" s="32" t="str">
        <f t="shared" si="166"/>
        <v>1+0.00571037841720308i</v>
      </c>
      <c r="AX160" s="32">
        <f t="shared" si="190"/>
        <v>1.0000163040779224</v>
      </c>
      <c r="AY160" s="32">
        <f t="shared" si="191"/>
        <v>5.7103163496083275E-3</v>
      </c>
      <c r="AZ160" s="32" t="str">
        <f t="shared" si="167"/>
        <v>1+0.194152866184905i</v>
      </c>
      <c r="BA160" s="32">
        <f t="shared" si="192"/>
        <v>1.0186733212604586</v>
      </c>
      <c r="BB160" s="32">
        <f t="shared" si="193"/>
        <v>0.19176704619275128</v>
      </c>
      <c r="BC160" s="59" t="str">
        <f t="shared" si="194"/>
        <v>-0.558926410970111+2.96932019776211i</v>
      </c>
      <c r="BD160" s="50">
        <f t="shared" si="195"/>
        <v>9.6043563154325895</v>
      </c>
      <c r="BE160" s="62">
        <f t="shared" si="196"/>
        <v>100.6602653700178</v>
      </c>
      <c r="BF160" s="59" t="str">
        <f t="shared" si="197"/>
        <v>31.9112625056168+57.1711642703503i</v>
      </c>
      <c r="BG160" s="65">
        <f t="shared" si="198"/>
        <v>36.321403844495102</v>
      </c>
      <c r="BH160" s="62">
        <f t="shared" si="199"/>
        <v>60.831029936719425</v>
      </c>
      <c r="BI160" s="59" t="str">
        <f t="shared" si="152"/>
        <v>88.4173967195247+163.928858848133i</v>
      </c>
      <c r="BJ160" s="65">
        <f t="shared" si="200"/>
        <v>45.402081408199791</v>
      </c>
      <c r="BK160" s="62">
        <f t="shared" si="153"/>
        <v>61.659154955391088</v>
      </c>
      <c r="BL160" s="50">
        <f t="shared" si="201"/>
        <v>36.321403844495102</v>
      </c>
      <c r="BM160" s="62">
        <f t="shared" si="202"/>
        <v>60.831029936719425</v>
      </c>
    </row>
    <row r="161" spans="14:65" x14ac:dyDescent="0.3">
      <c r="N161" s="11">
        <v>43</v>
      </c>
      <c r="O161" s="51">
        <f t="shared" si="154"/>
        <v>269.15348039269179</v>
      </c>
      <c r="P161" s="49" t="str">
        <f t="shared" si="155"/>
        <v>27.9103246607183</v>
      </c>
      <c r="Q161" s="18" t="str">
        <f t="shared" si="156"/>
        <v>1+0.830725275676374i</v>
      </c>
      <c r="R161" s="18">
        <f t="shared" si="168"/>
        <v>1.3000401853972006</v>
      </c>
      <c r="S161" s="18">
        <f t="shared" si="169"/>
        <v>0.69319711908007586</v>
      </c>
      <c r="T161" s="18" t="str">
        <f t="shared" si="157"/>
        <v>1+0.000744102125087029i</v>
      </c>
      <c r="U161" s="18">
        <f t="shared" si="170"/>
        <v>1.000000276843948</v>
      </c>
      <c r="V161" s="18">
        <f t="shared" si="171"/>
        <v>7.4410198775360899E-4</v>
      </c>
      <c r="W161" s="32" t="str">
        <f t="shared" si="158"/>
        <v>1-0.00981279457886934i</v>
      </c>
      <c r="X161" s="18">
        <f t="shared" si="172"/>
        <v>1.0000481443097862</v>
      </c>
      <c r="Y161" s="18">
        <f t="shared" si="173"/>
        <v>-9.8124796360018335E-3</v>
      </c>
      <c r="Z161" s="32" t="str">
        <f t="shared" si="159"/>
        <v>0.999998503231487+0.0044872894165243i</v>
      </c>
      <c r="AA161" s="18">
        <f t="shared" si="174"/>
        <v>1.0000085710790294</v>
      </c>
      <c r="AB161" s="18">
        <f t="shared" si="175"/>
        <v>4.4872660148594749E-3</v>
      </c>
      <c r="AC161" s="67" t="str">
        <f t="shared" si="176"/>
        <v>16.3271390854255-13.9417130227813i</v>
      </c>
      <c r="AD161" s="65">
        <f t="shared" si="177"/>
        <v>26.636508351813873</v>
      </c>
      <c r="AE161" s="62">
        <f t="shared" si="178"/>
        <v>-40.493950464395262</v>
      </c>
      <c r="AF161" s="50" t="str">
        <f t="shared" si="160"/>
        <v>79.1527877025864</v>
      </c>
      <c r="AG161" s="50" t="str">
        <f t="shared" si="161"/>
        <v>1+0.8242362000964i</v>
      </c>
      <c r="AH161" s="50">
        <f t="shared" si="179"/>
        <v>1.2959032809393427</v>
      </c>
      <c r="AI161" s="50">
        <f t="shared" si="180"/>
        <v>0.68934540057555116</v>
      </c>
      <c r="AJ161" s="50" t="str">
        <f t="shared" si="162"/>
        <v>1+0.000744102125087029i</v>
      </c>
      <c r="AK161" s="50">
        <f t="shared" si="181"/>
        <v>1.000000276843948</v>
      </c>
      <c r="AL161" s="50">
        <f t="shared" si="182"/>
        <v>7.4410198775360899E-4</v>
      </c>
      <c r="AM161" s="50" t="str">
        <f t="shared" si="163"/>
        <v>1-0.00343308819516066i</v>
      </c>
      <c r="AN161" s="50">
        <f t="shared" si="183"/>
        <v>1.0000058930299138</v>
      </c>
      <c r="AO161" s="50">
        <f t="shared" si="184"/>
        <v>-3.4330747076886767E-3</v>
      </c>
      <c r="AP161" s="59" t="str">
        <f t="shared" si="185"/>
        <v>47.0282184709305-38.9752008333228i</v>
      </c>
      <c r="AQ161" s="50">
        <f t="shared" si="186"/>
        <v>35.717926102578588</v>
      </c>
      <c r="AR161" s="62">
        <f t="shared" si="187"/>
        <v>-39.650648867812258</v>
      </c>
      <c r="AS161" s="32" t="str">
        <f t="shared" si="164"/>
        <v>-0.0000166666666666667</v>
      </c>
      <c r="AT161" s="32" t="str">
        <f t="shared" si="165"/>
        <v>5.74988005749067E-06i</v>
      </c>
      <c r="AU161" s="32">
        <f t="shared" si="188"/>
        <v>5.7498800574906699E-6</v>
      </c>
      <c r="AV161" s="32">
        <f t="shared" si="189"/>
        <v>1.5707963267948966</v>
      </c>
      <c r="AW161" s="32" t="str">
        <f t="shared" si="166"/>
        <v>1+0.00584339021759519i</v>
      </c>
      <c r="AX161" s="32">
        <f t="shared" si="190"/>
        <v>1.000017072458883</v>
      </c>
      <c r="AY161" s="32">
        <f t="shared" si="191"/>
        <v>5.8433237110305054E-3</v>
      </c>
      <c r="AZ161" s="32" t="str">
        <f t="shared" si="167"/>
        <v>1+0.198675267398237i</v>
      </c>
      <c r="BA161" s="32">
        <f t="shared" si="192"/>
        <v>1.0195449288166565</v>
      </c>
      <c r="BB161" s="32">
        <f t="shared" si="193"/>
        <v>0.19612145460499439</v>
      </c>
      <c r="BC161" s="59" t="str">
        <f t="shared" si="194"/>
        <v>-0.558925552048281+2.90187720851472i</v>
      </c>
      <c r="BD161" s="50">
        <f t="shared" si="195"/>
        <v>9.411778372425367</v>
      </c>
      <c r="BE161" s="62">
        <f t="shared" si="196"/>
        <v>100.90213383386194</v>
      </c>
      <c r="BF161" s="59" t="str">
        <f t="shared" si="197"/>
        <v>31.3314840417714+55.1717324400029i</v>
      </c>
      <c r="BG161" s="65">
        <f t="shared" si="198"/>
        <v>36.04828672423924</v>
      </c>
      <c r="BH161" s="62">
        <f t="shared" si="199"/>
        <v>60.408183369466705</v>
      </c>
      <c r="BI161" s="59" t="str">
        <f t="shared" si="152"/>
        <v>86.8159740247914+158.254350979802i</v>
      </c>
      <c r="BJ161" s="65">
        <f t="shared" si="200"/>
        <v>45.129704475003969</v>
      </c>
      <c r="BK161" s="62">
        <f t="shared" si="153"/>
        <v>61.251484966049716</v>
      </c>
      <c r="BL161" s="50">
        <f t="shared" si="201"/>
        <v>36.04828672423924</v>
      </c>
      <c r="BM161" s="62">
        <f t="shared" si="202"/>
        <v>60.408183369466705</v>
      </c>
    </row>
    <row r="162" spans="14:65" x14ac:dyDescent="0.3">
      <c r="N162" s="11">
        <v>44</v>
      </c>
      <c r="O162" s="51">
        <f t="shared" si="154"/>
        <v>275.42287033381683</v>
      </c>
      <c r="P162" s="49" t="str">
        <f t="shared" si="155"/>
        <v>27.9103246607183</v>
      </c>
      <c r="Q162" s="18" t="str">
        <f t="shared" si="156"/>
        <v>1+0.850075353110133i</v>
      </c>
      <c r="R162" s="18">
        <f t="shared" si="168"/>
        <v>1.3124892784191866</v>
      </c>
      <c r="S162" s="18">
        <f t="shared" si="169"/>
        <v>0.70453780897848961</v>
      </c>
      <c r="T162" s="18" t="str">
        <f t="shared" si="157"/>
        <v>1+0.000761434490142776i</v>
      </c>
      <c r="U162" s="18">
        <f t="shared" si="170"/>
        <v>1.0000002898911993</v>
      </c>
      <c r="V162" s="18">
        <f t="shared" si="171"/>
        <v>7.6143434298736753E-4</v>
      </c>
      <c r="W162" s="32" t="str">
        <f t="shared" si="158"/>
        <v>1-0.0100413639272476i</v>
      </c>
      <c r="X162" s="18">
        <f t="shared" si="172"/>
        <v>1.0000504132240131</v>
      </c>
      <c r="Y162" s="18">
        <f t="shared" si="173"/>
        <v>-1.004102646080381E-2</v>
      </c>
      <c r="Z162" s="32" t="str">
        <f t="shared" si="159"/>
        <v>0.999998432690961+0.00459181181426492i</v>
      </c>
      <c r="AA162" s="18">
        <f t="shared" si="174"/>
        <v>1.0000089750197827</v>
      </c>
      <c r="AB162" s="18">
        <f t="shared" si="175"/>
        <v>4.5917867389413339E-3</v>
      </c>
      <c r="AC162" s="67" t="str">
        <f t="shared" si="176"/>
        <v>16.0102404635218-13.9970692417422i</v>
      </c>
      <c r="AD162" s="65">
        <f t="shared" si="177"/>
        <v>26.553744914235846</v>
      </c>
      <c r="AE162" s="62">
        <f t="shared" si="178"/>
        <v>-41.161814426380914</v>
      </c>
      <c r="AF162" s="50" t="str">
        <f t="shared" si="160"/>
        <v>79.1527877025864</v>
      </c>
      <c r="AG162" s="50" t="str">
        <f t="shared" si="161"/>
        <v>1+0.843435127542765i</v>
      </c>
      <c r="AH162" s="50">
        <f t="shared" si="179"/>
        <v>1.3081983085041351</v>
      </c>
      <c r="AI162" s="50">
        <f t="shared" si="180"/>
        <v>0.70067044927722</v>
      </c>
      <c r="AJ162" s="50" t="str">
        <f t="shared" si="162"/>
        <v>1+0.000761434490142776i</v>
      </c>
      <c r="AK162" s="50">
        <f t="shared" si="181"/>
        <v>1.0000002898911993</v>
      </c>
      <c r="AL162" s="50">
        <f t="shared" si="182"/>
        <v>7.6143434298736753E-4</v>
      </c>
      <c r="AM162" s="50" t="str">
        <f t="shared" si="163"/>
        <v>1-0.00351305509198969i</v>
      </c>
      <c r="AN162" s="50">
        <f t="shared" si="183"/>
        <v>1.0000061707590004</v>
      </c>
      <c r="AO162" s="50">
        <f t="shared" si="184"/>
        <v>-3.5130406399078973E-3</v>
      </c>
      <c r="AP162" s="59" t="str">
        <f t="shared" si="185"/>
        <v>46.1435629210831-39.1369003189573i</v>
      </c>
      <c r="AQ162" s="50">
        <f t="shared" si="186"/>
        <v>35.635908751185326</v>
      </c>
      <c r="AR162" s="62">
        <f t="shared" si="187"/>
        <v>-40.303115000815041</v>
      </c>
      <c r="AS162" s="32" t="str">
        <f t="shared" si="164"/>
        <v>-0.0000166666666666667</v>
      </c>
      <c r="AT162" s="32" t="str">
        <f t="shared" si="165"/>
        <v>5.88381196928507E-06i</v>
      </c>
      <c r="AU162" s="32">
        <f t="shared" si="188"/>
        <v>5.8838119692850698E-6</v>
      </c>
      <c r="AV162" s="32">
        <f t="shared" si="189"/>
        <v>1.5707963267948966</v>
      </c>
      <c r="AW162" s="32" t="str">
        <f t="shared" si="166"/>
        <v>1+0.00597950026082708i</v>
      </c>
      <c r="AX162" s="32">
        <f t="shared" si="190"/>
        <v>1.0000178770518902</v>
      </c>
      <c r="AY162" s="32">
        <f t="shared" si="191"/>
        <v>5.9794289978279003E-3</v>
      </c>
      <c r="AZ162" s="32" t="str">
        <f t="shared" si="167"/>
        <v>1+0.203303008868121i</v>
      </c>
      <c r="BA162" s="32">
        <f t="shared" si="192"/>
        <v>1.0204568160460448</v>
      </c>
      <c r="BB162" s="32">
        <f t="shared" si="193"/>
        <v>0.20056950318075403</v>
      </c>
      <c r="BC162" s="59" t="str">
        <f t="shared" si="194"/>
        <v>-0.558924652649541+2.83597283250099i</v>
      </c>
      <c r="BD162" s="50">
        <f t="shared" si="195"/>
        <v>9.2195366247156656</v>
      </c>
      <c r="BE162" s="62">
        <f t="shared" si="196"/>
        <v>101.14918998581925</v>
      </c>
      <c r="BF162" s="59" t="str">
        <f t="shared" si="197"/>
        <v>30.7467900143066+53.2279140604082i</v>
      </c>
      <c r="BG162" s="65">
        <f t="shared" si="198"/>
        <v>35.773281538951515</v>
      </c>
      <c r="BH162" s="62">
        <f t="shared" si="199"/>
        <v>59.987375559438306</v>
      </c>
      <c r="BI162" s="59" t="str">
        <f t="shared" si="152"/>
        <v>85.2004111751836+152.736469255545i</v>
      </c>
      <c r="BJ162" s="65">
        <f t="shared" si="200"/>
        <v>44.855445375901006</v>
      </c>
      <c r="BK162" s="62">
        <f t="shared" si="153"/>
        <v>60.846074985004279</v>
      </c>
      <c r="BL162" s="50">
        <f t="shared" si="201"/>
        <v>35.773281538951515</v>
      </c>
      <c r="BM162" s="62">
        <f t="shared" si="202"/>
        <v>59.987375559438306</v>
      </c>
    </row>
    <row r="163" spans="14:65" x14ac:dyDescent="0.3">
      <c r="N163" s="11">
        <v>45</v>
      </c>
      <c r="O163" s="51">
        <f t="shared" si="154"/>
        <v>281.83829312644554</v>
      </c>
      <c r="P163" s="49" t="str">
        <f t="shared" si="155"/>
        <v>27.9103246607183</v>
      </c>
      <c r="Q163" s="18" t="str">
        <f t="shared" si="156"/>
        <v>1+0.869876151748187i</v>
      </c>
      <c r="R163" s="18">
        <f t="shared" si="168"/>
        <v>1.3253997583296273</v>
      </c>
      <c r="S163" s="18">
        <f t="shared" si="169"/>
        <v>0.71592061760515746</v>
      </c>
      <c r="T163" s="18" t="str">
        <f t="shared" si="157"/>
        <v>1+0.000779170577843971i</v>
      </c>
      <c r="U163" s="18">
        <f t="shared" si="170"/>
        <v>1.0000003035533487</v>
      </c>
      <c r="V163" s="18">
        <f t="shared" si="171"/>
        <v>7.7917042016411241E-4</v>
      </c>
      <c r="W163" s="32" t="str">
        <f t="shared" si="158"/>
        <v>1-0.0102752573396932i</v>
      </c>
      <c r="X163" s="18">
        <f t="shared" si="172"/>
        <v>1.0000527890633559</v>
      </c>
      <c r="Y163" s="18">
        <f t="shared" si="173"/>
        <v>-1.0274895738914703E-2</v>
      </c>
      <c r="Z163" s="32" t="str">
        <f t="shared" si="159"/>
        <v>0.999998358825961+0.00469876885140927i</v>
      </c>
      <c r="AA163" s="18">
        <f t="shared" si="174"/>
        <v>1.000009397997506</v>
      </c>
      <c r="AB163" s="18">
        <f t="shared" si="175"/>
        <v>4.6987419827294909E-3</v>
      </c>
      <c r="AC163" s="67" t="str">
        <f t="shared" si="176"/>
        <v>15.6909836960569-14.0453887117754i</v>
      </c>
      <c r="AD163" s="65">
        <f t="shared" si="177"/>
        <v>26.468739540647679</v>
      </c>
      <c r="AE163" s="62">
        <f t="shared" si="178"/>
        <v>-41.832512923986052</v>
      </c>
      <c r="AF163" s="50" t="str">
        <f t="shared" si="160"/>
        <v>79.1527877025864</v>
      </c>
      <c r="AG163" s="50" t="str">
        <f t="shared" si="161"/>
        <v>1+0.863081255457935i</v>
      </c>
      <c r="AH163" s="50">
        <f t="shared" si="179"/>
        <v>1.3209501328675679</v>
      </c>
      <c r="AI163" s="50">
        <f t="shared" si="180"/>
        <v>0.71203955531749363</v>
      </c>
      <c r="AJ163" s="50" t="str">
        <f t="shared" si="162"/>
        <v>1+0.000779170577843971i</v>
      </c>
      <c r="AK163" s="50">
        <f t="shared" si="181"/>
        <v>1.0000003035533487</v>
      </c>
      <c r="AL163" s="50">
        <f t="shared" si="182"/>
        <v>7.7917042016411241E-4</v>
      </c>
      <c r="AM163" s="50" t="str">
        <f t="shared" si="163"/>
        <v>1-0.00359488465712927i</v>
      </c>
      <c r="AN163" s="50">
        <f t="shared" si="183"/>
        <v>1.000006461576973</v>
      </c>
      <c r="AO163" s="50">
        <f t="shared" si="184"/>
        <v>-3.5948691714500322E-3</v>
      </c>
      <c r="AP163" s="59" t="str">
        <f t="shared" si="185"/>
        <v>45.252011206805-39.2790342631146i</v>
      </c>
      <c r="AQ163" s="50">
        <f t="shared" si="186"/>
        <v>35.551654603122756</v>
      </c>
      <c r="AR163" s="62">
        <f t="shared" si="187"/>
        <v>-40.958189020893201</v>
      </c>
      <c r="AS163" s="32" t="str">
        <f t="shared" si="164"/>
        <v>-0.0000166666666666667</v>
      </c>
      <c r="AT163" s="32" t="str">
        <f t="shared" si="165"/>
        <v>6.02086355606703E-06i</v>
      </c>
      <c r="AU163" s="32">
        <f t="shared" si="188"/>
        <v>6.0208635560670297E-6</v>
      </c>
      <c r="AV163" s="32">
        <f t="shared" si="189"/>
        <v>1.5707963267948966</v>
      </c>
      <c r="AW163" s="32" t="str">
        <f t="shared" si="166"/>
        <v>1+0.0061187807142453i</v>
      </c>
      <c r="AX163" s="32">
        <f t="shared" si="190"/>
        <v>1.0000187195635035</v>
      </c>
      <c r="AY163" s="32">
        <f t="shared" si="191"/>
        <v>6.1187043546431291E-3</v>
      </c>
      <c r="AZ163" s="32" t="str">
        <f t="shared" si="167"/>
        <v>1+0.20803854428434i</v>
      </c>
      <c r="BA163" s="32">
        <f t="shared" si="192"/>
        <v>1.0214108066336225</v>
      </c>
      <c r="BB163" s="32">
        <f t="shared" si="193"/>
        <v>0.20511284595752133</v>
      </c>
      <c r="BC163" s="59" t="str">
        <f t="shared" si="194"/>
        <v>-0.558923710866546+2.77157212631457i</v>
      </c>
      <c r="BD163" s="50">
        <f t="shared" si="195"/>
        <v>9.0276456582802389</v>
      </c>
      <c r="BE163" s="62">
        <f t="shared" si="196"/>
        <v>101.40152446167357</v>
      </c>
      <c r="BF163" s="59" t="str">
        <f t="shared" si="197"/>
        <v>30.1577450222634+51.3389938257963i</v>
      </c>
      <c r="BG163" s="65">
        <f t="shared" si="198"/>
        <v>35.496385198927918</v>
      </c>
      <c r="BH163" s="62">
        <f t="shared" si="199"/>
        <v>59.569011537687558</v>
      </c>
      <c r="BI163" s="59" t="str">
        <f t="shared" si="152"/>
        <v>83.5722544843214+147.373196510049i</v>
      </c>
      <c r="BJ163" s="65">
        <f t="shared" si="200"/>
        <v>44.579300261402977</v>
      </c>
      <c r="BK163" s="62">
        <f t="shared" si="153"/>
        <v>60.443335440780302</v>
      </c>
      <c r="BL163" s="50">
        <f t="shared" si="201"/>
        <v>35.496385198927918</v>
      </c>
      <c r="BM163" s="62">
        <f t="shared" si="202"/>
        <v>59.569011537687558</v>
      </c>
    </row>
    <row r="164" spans="14:65" x14ac:dyDescent="0.3">
      <c r="N164" s="11">
        <v>46</v>
      </c>
      <c r="O164" s="51">
        <f t="shared" si="154"/>
        <v>288.40315031266073</v>
      </c>
      <c r="P164" s="49" t="str">
        <f t="shared" si="155"/>
        <v>27.9103246607183</v>
      </c>
      <c r="Q164" s="18" t="str">
        <f t="shared" si="156"/>
        <v>1+0.890138170236069i</v>
      </c>
      <c r="R164" s="18">
        <f t="shared" si="168"/>
        <v>1.3387852561599329</v>
      </c>
      <c r="S164" s="18">
        <f t="shared" si="169"/>
        <v>0.72733978233037067</v>
      </c>
      <c r="T164" s="18" t="str">
        <f t="shared" si="157"/>
        <v>1+0.000797319792099082i</v>
      </c>
      <c r="U164" s="18">
        <f t="shared" si="170"/>
        <v>1.0000003178593748</v>
      </c>
      <c r="V164" s="18">
        <f t="shared" si="171"/>
        <v>7.9731962314207245E-4</v>
      </c>
      <c r="W164" s="32" t="str">
        <f t="shared" si="158"/>
        <v>1-0.0105145988295894i</v>
      </c>
      <c r="X164" s="18">
        <f t="shared" si="172"/>
        <v>1.0000552768665076</v>
      </c>
      <c r="Y164" s="18">
        <f t="shared" si="173"/>
        <v>-1.0514211368531125E-2</v>
      </c>
      <c r="Z164" s="32" t="str">
        <f t="shared" si="159"/>
        <v>0.999998281479812+0.00480821723799419i</v>
      </c>
      <c r="AA164" s="18">
        <f t="shared" si="174"/>
        <v>1.0000098409093707</v>
      </c>
      <c r="AB164" s="18">
        <f t="shared" si="175"/>
        <v>4.8081884477002715E-3</v>
      </c>
      <c r="AC164" s="67" t="str">
        <f t="shared" si="176"/>
        <v>15.3696843959992-14.0865467421124i</v>
      </c>
      <c r="AD164" s="65">
        <f t="shared" si="177"/>
        <v>26.381476748964939</v>
      </c>
      <c r="AE164" s="62">
        <f t="shared" si="178"/>
        <v>-42.505725591647327</v>
      </c>
      <c r="AF164" s="50" t="str">
        <f t="shared" si="160"/>
        <v>79.1527877025864</v>
      </c>
      <c r="AG164" s="50" t="str">
        <f t="shared" si="161"/>
        <v>1+0.883185000478981i</v>
      </c>
      <c r="AH164" s="50">
        <f t="shared" si="179"/>
        <v>1.3341723071144362</v>
      </c>
      <c r="AI164" s="50">
        <f t="shared" si="180"/>
        <v>0.72344699133876789</v>
      </c>
      <c r="AJ164" s="50" t="str">
        <f t="shared" si="162"/>
        <v>1+0.000797319792099082i</v>
      </c>
      <c r="AK164" s="50">
        <f t="shared" si="181"/>
        <v>1.0000003178593748</v>
      </c>
      <c r="AL164" s="50">
        <f t="shared" si="182"/>
        <v>7.9731962314207245E-4</v>
      </c>
      <c r="AM164" s="50" t="str">
        <f t="shared" si="163"/>
        <v>1-0.00367862027769799i</v>
      </c>
      <c r="AN164" s="50">
        <f t="shared" si="183"/>
        <v>1.0000067661006837</v>
      </c>
      <c r="AO164" s="50">
        <f t="shared" si="184"/>
        <v>-3.6786036844997962E-3</v>
      </c>
      <c r="AP164" s="59" t="str">
        <f t="shared" si="185"/>
        <v>44.3544380373157-39.4012373448755i</v>
      </c>
      <c r="AQ164" s="50">
        <f t="shared" si="186"/>
        <v>35.465147391618331</v>
      </c>
      <c r="AR164" s="62">
        <f t="shared" si="187"/>
        <v>-41.615544721442873</v>
      </c>
      <c r="AS164" s="32" t="str">
        <f t="shared" si="164"/>
        <v>-0.0000166666666666667</v>
      </c>
      <c r="AT164" s="32" t="str">
        <f t="shared" si="165"/>
        <v>6.16110748440197E-06i</v>
      </c>
      <c r="AU164" s="32">
        <f t="shared" si="188"/>
        <v>6.1611074844019703E-6</v>
      </c>
      <c r="AV164" s="32">
        <f t="shared" si="189"/>
        <v>1.5707963267948966</v>
      </c>
      <c r="AW164" s="32" t="str">
        <f t="shared" si="166"/>
        <v>1+0.00626130542618984i</v>
      </c>
      <c r="AX164" s="32">
        <f t="shared" si="190"/>
        <v>1.000019601780705</v>
      </c>
      <c r="AY164" s="32">
        <f t="shared" si="191"/>
        <v>6.2612236054885939E-3</v>
      </c>
      <c r="AZ164" s="32" t="str">
        <f t="shared" si="167"/>
        <v>1+0.212884384490455i</v>
      </c>
      <c r="BA164" s="32">
        <f t="shared" si="192"/>
        <v>1.0224088033462349</v>
      </c>
      <c r="BB164" s="32">
        <f t="shared" si="193"/>
        <v>0.20975314125411482</v>
      </c>
      <c r="BC164" s="59" t="str">
        <f t="shared" si="194"/>
        <v>-0.558922724702088+2.70864094381232i</v>
      </c>
      <c r="BD164" s="50">
        <f t="shared" si="195"/>
        <v>8.8361206326556534</v>
      </c>
      <c r="BE164" s="62">
        <f t="shared" si="196"/>
        <v>101.65922804629</v>
      </c>
      <c r="BF164" s="59" t="str">
        <f t="shared" si="197"/>
        <v>29.5649313821887+49.5042475352215i</v>
      </c>
      <c r="BG164" s="65">
        <f t="shared" si="198"/>
        <v>35.217597381620593</v>
      </c>
      <c r="BH164" s="62">
        <f t="shared" si="199"/>
        <v>59.153502454642599</v>
      </c>
      <c r="BI164" s="59" t="str">
        <f t="shared" si="152"/>
        <v>81.9331013487504+142.162493841091i</v>
      </c>
      <c r="BJ164" s="65">
        <f t="shared" si="200"/>
        <v>44.301268024273966</v>
      </c>
      <c r="BK164" s="62">
        <f t="shared" si="153"/>
        <v>60.043683324847045</v>
      </c>
      <c r="BL164" s="50">
        <f t="shared" si="201"/>
        <v>35.217597381620593</v>
      </c>
      <c r="BM164" s="62">
        <f t="shared" si="202"/>
        <v>59.153502454642599</v>
      </c>
    </row>
    <row r="165" spans="14:65" x14ac:dyDescent="0.3">
      <c r="N165" s="11">
        <v>47</v>
      </c>
      <c r="O165" s="51">
        <f t="shared" si="154"/>
        <v>295.12092266663871</v>
      </c>
      <c r="P165" s="49" t="str">
        <f t="shared" si="155"/>
        <v>27.9103246607183</v>
      </c>
      <c r="Q165" s="18" t="str">
        <f t="shared" si="156"/>
        <v>1+0.910872151764182i</v>
      </c>
      <c r="R165" s="18">
        <f t="shared" si="168"/>
        <v>1.3526596308234793</v>
      </c>
      <c r="S165" s="18">
        <f t="shared" si="169"/>
        <v>0.73878944644273215</v>
      </c>
      <c r="T165" s="18" t="str">
        <f t="shared" si="157"/>
        <v>1+0.000815891755861737i</v>
      </c>
      <c r="U165" s="18">
        <f t="shared" si="170"/>
        <v>1.0000003328396232</v>
      </c>
      <c r="V165" s="18">
        <f t="shared" si="171"/>
        <v>8.1589157482104277E-4</v>
      </c>
      <c r="W165" s="32" t="str">
        <f t="shared" si="158"/>
        <v>1-0.0107595152989623i</v>
      </c>
      <c r="X165" s="18">
        <f t="shared" si="172"/>
        <v>1.0000578819095767</v>
      </c>
      <c r="Y165" s="18">
        <f t="shared" si="173"/>
        <v>-1.075910012825613E-2</v>
      </c>
      <c r="Z165" s="32" t="str">
        <f t="shared" si="159"/>
        <v>0.99999820048845+0.00492021500500298i</v>
      </c>
      <c r="AA165" s="18">
        <f t="shared" si="174"/>
        <v>1.0000103046948234</v>
      </c>
      <c r="AB165" s="18">
        <f t="shared" si="175"/>
        <v>4.9201841556642716E-3</v>
      </c>
      <c r="AC165" s="67" t="str">
        <f t="shared" si="176"/>
        <v>15.0466665813067-14.1204362816948i</v>
      </c>
      <c r="AD165" s="65">
        <f t="shared" si="177"/>
        <v>26.291943314300795</v>
      </c>
      <c r="AE165" s="62">
        <f t="shared" si="178"/>
        <v>-43.181126901451655</v>
      </c>
      <c r="AF165" s="50" t="str">
        <f t="shared" si="160"/>
        <v>79.1527877025864</v>
      </c>
      <c r="AG165" s="50" t="str">
        <f t="shared" si="161"/>
        <v>1+0.903757021877614i</v>
      </c>
      <c r="AH165" s="50">
        <f t="shared" si="179"/>
        <v>1.3478786127070546</v>
      </c>
      <c r="AI165" s="50">
        <f t="shared" si="180"/>
        <v>0.73488693105990632</v>
      </c>
      <c r="AJ165" s="50" t="str">
        <f t="shared" si="162"/>
        <v>1+0.000815891755861737i</v>
      </c>
      <c r="AK165" s="50">
        <f t="shared" si="181"/>
        <v>1.0000003328396232</v>
      </c>
      <c r="AL165" s="50">
        <f t="shared" si="182"/>
        <v>8.1589157482104277E-4</v>
      </c>
      <c r="AM165" s="50" t="str">
        <f t="shared" si="163"/>
        <v>1-0.00376430635143023i</v>
      </c>
      <c r="AN165" s="50">
        <f t="shared" si="183"/>
        <v>1.0000070849760554</v>
      </c>
      <c r="AO165" s="50">
        <f t="shared" si="184"/>
        <v>-3.7642885715048328E-3</v>
      </c>
      <c r="AP165" s="59" t="str">
        <f t="shared" si="185"/>
        <v>43.4517428161524-39.5031929174602i</v>
      </c>
      <c r="AQ165" s="50">
        <f t="shared" si="186"/>
        <v>35.37637308497245</v>
      </c>
      <c r="AR165" s="62">
        <f t="shared" si="187"/>
        <v>-42.27485027329319</v>
      </c>
      <c r="AS165" s="32" t="str">
        <f t="shared" si="164"/>
        <v>-0.0000166666666666667</v>
      </c>
      <c r="AT165" s="32" t="str">
        <f t="shared" si="165"/>
        <v>6.30461811347705E-06i</v>
      </c>
      <c r="AU165" s="32">
        <f t="shared" si="188"/>
        <v>6.3046181134770503E-6</v>
      </c>
      <c r="AV165" s="32">
        <f t="shared" si="189"/>
        <v>1.5707963267948966</v>
      </c>
      <c r="AW165" s="32" t="str">
        <f t="shared" si="166"/>
        <v>1+0.00640714996514952i</v>
      </c>
      <c r="AX165" s="32">
        <f t="shared" si="190"/>
        <v>1.0000205255746883</v>
      </c>
      <c r="AY165" s="32">
        <f t="shared" si="191"/>
        <v>6.4070622927857547E-3</v>
      </c>
      <c r="AZ165" s="32" t="str">
        <f t="shared" si="167"/>
        <v>1+0.217843098815084i</v>
      </c>
      <c r="BA165" s="32">
        <f t="shared" si="192"/>
        <v>1.0234527911444466</v>
      </c>
      <c r="BB165" s="32">
        <f t="shared" si="193"/>
        <v>0.21449204971208663</v>
      </c>
      <c r="BC165" s="59" t="str">
        <f t="shared" si="194"/>
        <v>-0.55892169206486+2.64714591800946i</v>
      </c>
      <c r="BD165" s="50">
        <f t="shared" si="195"/>
        <v>8.6449772980393575</v>
      </c>
      <c r="BE165" s="62">
        <f t="shared" si="196"/>
        <v>101.92239155915874</v>
      </c>
      <c r="BF165" s="59" t="str">
        <f t="shared" si="197"/>
        <v>28.9689469180413+47.7229401596143i</v>
      </c>
      <c r="BG165" s="65">
        <f t="shared" si="198"/>
        <v>34.936920612340153</v>
      </c>
      <c r="BH165" s="62">
        <f t="shared" si="199"/>
        <v>58.741264657707141</v>
      </c>
      <c r="BI165" s="59" t="str">
        <f t="shared" si="152"/>
        <v>80.284594261824+137.102295053566i</v>
      </c>
      <c r="BJ165" s="65">
        <f t="shared" si="200"/>
        <v>44.021350383011807</v>
      </c>
      <c r="BK165" s="62">
        <f t="shared" si="153"/>
        <v>59.647541285865508</v>
      </c>
      <c r="BL165" s="50">
        <f t="shared" si="201"/>
        <v>34.936920612340153</v>
      </c>
      <c r="BM165" s="62">
        <f t="shared" si="202"/>
        <v>58.741264657707141</v>
      </c>
    </row>
    <row r="166" spans="14:65" x14ac:dyDescent="0.3">
      <c r="N166" s="11">
        <v>48</v>
      </c>
      <c r="O166" s="51">
        <f t="shared" si="154"/>
        <v>301.99517204020168</v>
      </c>
      <c r="P166" s="49" t="str">
        <f t="shared" si="155"/>
        <v>27.9103246607183</v>
      </c>
      <c r="Q166" s="18" t="str">
        <f t="shared" si="156"/>
        <v>1+0.932089089763979i</v>
      </c>
      <c r="R166" s="18">
        <f t="shared" si="168"/>
        <v>1.3670369677726506</v>
      </c>
      <c r="S166" s="18">
        <f t="shared" si="169"/>
        <v>0.75026367374721759</v>
      </c>
      <c r="T166" s="18" t="str">
        <f t="shared" si="157"/>
        <v>1+0.000834896316232956i</v>
      </c>
      <c r="U166" s="18">
        <f t="shared" si="170"/>
        <v>1.0000003485258686</v>
      </c>
      <c r="V166" s="18">
        <f t="shared" si="171"/>
        <v>8.3489612224436069E-4</v>
      </c>
      <c r="W166" s="32" t="str">
        <f t="shared" si="158"/>
        <v>1-0.0110101366057657i</v>
      </c>
      <c r="X166" s="18">
        <f t="shared" si="172"/>
        <v>1.00006060971727</v>
      </c>
      <c r="Y166" s="18">
        <f t="shared" si="173"/>
        <v>-1.1009691743795211E-2</v>
      </c>
      <c r="Z166" s="32" t="str">
        <f t="shared" si="159"/>
        <v>0.999998115680084+0.00503482153513416i</v>
      </c>
      <c r="AA166" s="18">
        <f t="shared" si="174"/>
        <v>1.0000107903375888</v>
      </c>
      <c r="AB166" s="18">
        <f t="shared" si="175"/>
        <v>5.034788479491281E-3</v>
      </c>
      <c r="AC166" s="67" t="str">
        <f t="shared" si="176"/>
        <v>14.7222614044463-14.1469685907271i</v>
      </c>
      <c r="AD166" s="65">
        <f t="shared" si="177"/>
        <v>26.200128323864689</v>
      </c>
      <c r="AE166" s="62">
        <f t="shared" si="178"/>
        <v>-43.858387004834761</v>
      </c>
      <c r="AF166" s="50" t="str">
        <f t="shared" si="160"/>
        <v>79.1527877025864</v>
      </c>
      <c r="AG166" s="50" t="str">
        <f t="shared" si="161"/>
        <v>1+0.924808227211887i</v>
      </c>
      <c r="AH166" s="50">
        <f t="shared" si="179"/>
        <v>1.3620830580837548</v>
      </c>
      <c r="AI166" s="50">
        <f t="shared" si="180"/>
        <v>0.74635346368372057</v>
      </c>
      <c r="AJ166" s="50" t="str">
        <f t="shared" si="162"/>
        <v>1+0.000834896316232956i</v>
      </c>
      <c r="AK166" s="50">
        <f t="shared" si="181"/>
        <v>1.0000003485258686</v>
      </c>
      <c r="AL166" s="50">
        <f t="shared" si="182"/>
        <v>8.3489612224436069E-4</v>
      </c>
      <c r="AM166" s="50" t="str">
        <f t="shared" si="163"/>
        <v>1-0.00385198831021649i</v>
      </c>
      <c r="AN166" s="50">
        <f t="shared" si="183"/>
        <v>1.000007418879451</v>
      </c>
      <c r="AO166" s="50">
        <f t="shared" si="184"/>
        <v>-3.8519692586908147E-3</v>
      </c>
      <c r="AP166" s="59" t="str">
        <f t="shared" si="185"/>
        <v>42.5448461508598-39.5846349878581i</v>
      </c>
      <c r="AQ166" s="50">
        <f t="shared" si="186"/>
        <v>35.28531994441142</v>
      </c>
      <c r="AR166" s="62">
        <f t="shared" si="187"/>
        <v>-42.935769051248442</v>
      </c>
      <c r="AS166" s="32" t="str">
        <f t="shared" si="164"/>
        <v>-0.0000166666666666667</v>
      </c>
      <c r="AT166" s="32" t="str">
        <f t="shared" si="165"/>
        <v>6.45147153452737E-06i</v>
      </c>
      <c r="AU166" s="32">
        <f t="shared" si="188"/>
        <v>6.4514715345273698E-6</v>
      </c>
      <c r="AV166" s="32">
        <f t="shared" si="189"/>
        <v>1.5707963267948966</v>
      </c>
      <c r="AW166" s="32" t="str">
        <f t="shared" si="166"/>
        <v>1+0.00655639165982938i</v>
      </c>
      <c r="AX166" s="32">
        <f t="shared" si="190"/>
        <v>1.0000214929048261</v>
      </c>
      <c r="AY166" s="32">
        <f t="shared" si="191"/>
        <v>6.5562977173081165E-3</v>
      </c>
      <c r="AZ166" s="32" t="str">
        <f t="shared" si="167"/>
        <v>1+0.222917316434199i</v>
      </c>
      <c r="BA166" s="32">
        <f t="shared" si="192"/>
        <v>1.0245448403882695</v>
      </c>
      <c r="BB166" s="32">
        <f t="shared" si="193"/>
        <v>0.21933123218704015</v>
      </c>
      <c r="BC166" s="59" t="str">
        <f t="shared" si="194"/>
        <v>-0.558920610765028+2.58705444338766i</v>
      </c>
      <c r="BD166" s="50">
        <f t="shared" si="195"/>
        <v>8.4542320123819685</v>
      </c>
      <c r="BE166" s="62">
        <f t="shared" si="196"/>
        <v>102.19110573128832</v>
      </c>
      <c r="BF166" s="59" t="str">
        <f t="shared" si="197"/>
        <v>28.3704026170907+45.9943241082903i</v>
      </c>
      <c r="BG166" s="65">
        <f t="shared" si="198"/>
        <v>34.654360336246661</v>
      </c>
      <c r="BH166" s="62">
        <f t="shared" si="199"/>
        <v>58.332718726453543</v>
      </c>
      <c r="BI166" s="59" t="str">
        <f t="shared" si="152"/>
        <v>78.6284144396742+132.190501642151i</v>
      </c>
      <c r="BJ166" s="65">
        <f t="shared" si="200"/>
        <v>43.739551956793406</v>
      </c>
      <c r="BK166" s="62">
        <f t="shared" si="153"/>
        <v>59.255336680039967</v>
      </c>
      <c r="BL166" s="50">
        <f t="shared" si="201"/>
        <v>34.654360336246661</v>
      </c>
      <c r="BM166" s="62">
        <f t="shared" si="202"/>
        <v>58.332718726453543</v>
      </c>
    </row>
    <row r="167" spans="14:65" x14ac:dyDescent="0.3">
      <c r="N167" s="11">
        <v>49</v>
      </c>
      <c r="O167" s="51">
        <f t="shared" si="154"/>
        <v>309.02954325135937</v>
      </c>
      <c r="P167" s="49" t="str">
        <f t="shared" si="155"/>
        <v>27.9103246607183</v>
      </c>
      <c r="Q167" s="18" t="str">
        <f t="shared" si="156"/>
        <v>1+0.953800233736826i</v>
      </c>
      <c r="R167" s="18">
        <f t="shared" si="168"/>
        <v>1.3819315778563077</v>
      </c>
      <c r="S167" s="18">
        <f t="shared" si="169"/>
        <v>0.76175646366433525</v>
      </c>
      <c r="T167" s="18" t="str">
        <f t="shared" si="157"/>
        <v>1+0.000854343549682199i</v>
      </c>
      <c r="U167" s="18">
        <f t="shared" si="170"/>
        <v>1.0000003649513838</v>
      </c>
      <c r="V167" s="18">
        <f t="shared" si="171"/>
        <v>8.5434334181967828E-4</v>
      </c>
      <c r="W167" s="32" t="str">
        <f t="shared" si="158"/>
        <v>1-0.0112665956327338i</v>
      </c>
      <c r="X167" s="18">
        <f t="shared" si="172"/>
        <v>1.0000634660746044</v>
      </c>
      <c r="Y167" s="18">
        <f t="shared" si="173"/>
        <v>-1.1266118956178062E-2</v>
      </c>
      <c r="Z167" s="32" t="str">
        <f t="shared" si="159"/>
        <v>0.999998026874822+0.00515209759428701i</v>
      </c>
      <c r="AA167" s="18">
        <f t="shared" si="174"/>
        <v>1.0000112988677468</v>
      </c>
      <c r="AB167" s="18">
        <f t="shared" si="175"/>
        <v>5.1520621745489523E-3</v>
      </c>
      <c r="AC167" s="67" t="str">
        <f t="shared" si="176"/>
        <v>14.3968058195066-14.1660738026044i</v>
      </c>
      <c r="AD167" s="65">
        <f t="shared" si="177"/>
        <v>26.106023222680676</v>
      </c>
      <c r="AE167" s="62">
        <f t="shared" si="178"/>
        <v>-44.53717260310755</v>
      </c>
      <c r="AF167" s="50" t="str">
        <f t="shared" si="160"/>
        <v>79.1527877025864</v>
      </c>
      <c r="AG167" s="50" t="str">
        <f t="shared" si="161"/>
        <v>1+0.946349778109511i</v>
      </c>
      <c r="AH167" s="50">
        <f t="shared" si="179"/>
        <v>1.3767998774433126</v>
      </c>
      <c r="AI167" s="50">
        <f t="shared" si="180"/>
        <v>0.75784060883548809</v>
      </c>
      <c r="AJ167" s="50" t="str">
        <f t="shared" si="162"/>
        <v>1+0.000854343549682199i</v>
      </c>
      <c r="AK167" s="50">
        <f t="shared" si="181"/>
        <v>1.0000003649513838</v>
      </c>
      <c r="AL167" s="50">
        <f t="shared" si="182"/>
        <v>8.5434334181967828E-4</v>
      </c>
      <c r="AM167" s="50" t="str">
        <f t="shared" si="163"/>
        <v>1-0.00394171264419191i</v>
      </c>
      <c r="AN167" s="50">
        <f t="shared" si="183"/>
        <v>1.0000077685191098</v>
      </c>
      <c r="AO167" s="50">
        <f t="shared" si="184"/>
        <v>-3.94169223012292E-3</v>
      </c>
      <c r="AP167" s="59" t="str">
        <f t="shared" si="185"/>
        <v>41.6346861779227-39.6453498966335i</v>
      </c>
      <c r="AQ167" s="50">
        <f t="shared" si="186"/>
        <v>35.191978572911623</v>
      </c>
      <c r="AR167" s="62">
        <f t="shared" si="187"/>
        <v>-43.597960491082347</v>
      </c>
      <c r="AS167" s="32" t="str">
        <f t="shared" si="164"/>
        <v>-0.0000166666666666667</v>
      </c>
      <c r="AT167" s="32" t="str">
        <f t="shared" si="165"/>
        <v>6.60174561118062E-06i</v>
      </c>
      <c r="AU167" s="32">
        <f t="shared" si="188"/>
        <v>6.6017456111806198E-6</v>
      </c>
      <c r="AV167" s="32">
        <f t="shared" si="189"/>
        <v>1.5707963267948966</v>
      </c>
      <c r="AW167" s="32" t="str">
        <f t="shared" si="166"/>
        <v>1+0.00670910964015138i</v>
      </c>
      <c r="AX167" s="32">
        <f t="shared" si="190"/>
        <v>1.0000225058228258</v>
      </c>
      <c r="AY167" s="32">
        <f t="shared" si="191"/>
        <v>6.7090089790486154E-3</v>
      </c>
      <c r="AZ167" s="32" t="str">
        <f t="shared" si="167"/>
        <v>1+0.228109727765147i</v>
      </c>
      <c r="BA167" s="32">
        <f t="shared" si="192"/>
        <v>1.0256871101369509</v>
      </c>
      <c r="BB167" s="32">
        <f t="shared" si="193"/>
        <v>0.22427234748329664</v>
      </c>
      <c r="BC167" s="59" t="str">
        <f t="shared" si="194"/>
        <v>-0.558919478509588+2.52833465860709i</v>
      </c>
      <c r="BD167" s="50">
        <f t="shared" si="195"/>
        <v>8.2639017584121408</v>
      </c>
      <c r="BE167" s="62">
        <f t="shared" si="196"/>
        <v>102.46546107306948</v>
      </c>
      <c r="BF167" s="59" t="str">
        <f t="shared" si="197"/>
        <v>27.7699201706682+44.3176377089748i</v>
      </c>
      <c r="BG167" s="65">
        <f t="shared" si="198"/>
        <v>34.369924981092822</v>
      </c>
      <c r="BH167" s="62">
        <f t="shared" si="199"/>
        <v>57.928288469961949</v>
      </c>
      <c r="BI167" s="59" t="str">
        <f t="shared" si="152"/>
        <v>76.9662751097886+127.424978353428i</v>
      </c>
      <c r="BJ167" s="65">
        <f t="shared" si="200"/>
        <v>43.455880331323762</v>
      </c>
      <c r="BK167" s="62">
        <f t="shared" si="153"/>
        <v>58.867500581987109</v>
      </c>
      <c r="BL167" s="50">
        <f t="shared" si="201"/>
        <v>34.369924981092822</v>
      </c>
      <c r="BM167" s="62">
        <f t="shared" si="202"/>
        <v>57.928288469961949</v>
      </c>
    </row>
    <row r="168" spans="14:65" x14ac:dyDescent="0.3">
      <c r="N168" s="11">
        <v>50</v>
      </c>
      <c r="O168" s="51">
        <f t="shared" si="154"/>
        <v>316.22776601683825</v>
      </c>
      <c r="P168" s="49" t="str">
        <f t="shared" si="155"/>
        <v>27.9103246607183</v>
      </c>
      <c r="Q168" s="18" t="str">
        <f t="shared" si="156"/>
        <v>1+0.976017095218638i</v>
      </c>
      <c r="R168" s="18">
        <f t="shared" si="168"/>
        <v>1.3973579964200398</v>
      </c>
      <c r="S168" s="18">
        <f t="shared" si="169"/>
        <v>0.77326176673865044</v>
      </c>
      <c r="T168" s="18" t="str">
        <f t="shared" si="157"/>
        <v>1+0.000874243767390058i</v>
      </c>
      <c r="U168" s="18">
        <f t="shared" si="170"/>
        <v>1.0000003821510095</v>
      </c>
      <c r="V168" s="18">
        <f t="shared" si="171"/>
        <v>8.7424354466135879E-4</v>
      </c>
      <c r="W168" s="32" t="str">
        <f t="shared" si="158"/>
        <v>1-0.0115290283578374i</v>
      </c>
      <c r="X168" s="18">
        <f t="shared" si="172"/>
        <v>1.0000664570391689</v>
      </c>
      <c r="Y168" s="18">
        <f t="shared" si="173"/>
        <v>-1.1528517591538719E-2</v>
      </c>
      <c r="Z168" s="32" t="str">
        <f t="shared" si="159"/>
        <v>0.999997933884297+0.00527210536378042i</v>
      </c>
      <c r="AA168" s="18">
        <f t="shared" si="174"/>
        <v>1.0000118313639241</v>
      </c>
      <c r="AB168" s="18">
        <f t="shared" si="175"/>
        <v>5.2720674108713544E-3</v>
      </c>
      <c r="AC168" s="67" t="str">
        <f t="shared" si="176"/>
        <v>14.0706411980583-14.177701369645i</v>
      </c>
      <c r="AD168" s="65">
        <f t="shared" si="177"/>
        <v>26.009621849725463</v>
      </c>
      <c r="AE168" s="62">
        <f t="shared" si="178"/>
        <v>-45.217147841567481</v>
      </c>
      <c r="AF168" s="50" t="str">
        <f t="shared" si="160"/>
        <v>79.1527877025864</v>
      </c>
      <c r="AG168" s="50" t="str">
        <f t="shared" si="161"/>
        <v>1+0.968393096185908i</v>
      </c>
      <c r="AH168" s="50">
        <f t="shared" si="179"/>
        <v>1.3920435297577907</v>
      </c>
      <c r="AI168" s="50">
        <f t="shared" si="180"/>
        <v>0.7693423319426852</v>
      </c>
      <c r="AJ168" s="50" t="str">
        <f t="shared" si="162"/>
        <v>1+0.000874243767390058i</v>
      </c>
      <c r="AK168" s="50">
        <f t="shared" si="181"/>
        <v>1.0000003821510095</v>
      </c>
      <c r="AL168" s="50">
        <f t="shared" si="182"/>
        <v>8.7424354466135879E-4</v>
      </c>
      <c r="AM168" s="50" t="str">
        <f t="shared" si="163"/>
        <v>1-0.00403352692638602i</v>
      </c>
      <c r="AN168" s="50">
        <f t="shared" si="183"/>
        <v>1.0000081346366467</v>
      </c>
      <c r="AO168" s="50">
        <f t="shared" si="184"/>
        <v>-4.0335050523266089E-3</v>
      </c>
      <c r="AP168" s="59" t="str">
        <f t="shared" si="185"/>
        <v>40.7222147333284-39.6851776783316i</v>
      </c>
      <c r="AQ168" s="50">
        <f t="shared" si="186"/>
        <v>35.096341954567428</v>
      </c>
      <c r="AR168" s="62">
        <f t="shared" si="187"/>
        <v>-44.261080971836002</v>
      </c>
      <c r="AS168" s="32" t="str">
        <f t="shared" si="164"/>
        <v>-0.0000166666666666667</v>
      </c>
      <c r="AT168" s="32" t="str">
        <f t="shared" si="165"/>
        <v>6.75552002074136E-06i</v>
      </c>
      <c r="AU168" s="32">
        <f t="shared" si="188"/>
        <v>6.7555200207413598E-6</v>
      </c>
      <c r="AV168" s="32">
        <f t="shared" si="189"/>
        <v>1.5707963267948966</v>
      </c>
      <c r="AW168" s="32" t="str">
        <f t="shared" si="166"/>
        <v>1+0.00686538487921015i</v>
      </c>
      <c r="AX168" s="32">
        <f t="shared" si="190"/>
        <v>1.0000235664770805</v>
      </c>
      <c r="AY168" s="32">
        <f t="shared" si="191"/>
        <v>6.865277019032532E-3</v>
      </c>
      <c r="AZ168" s="32" t="str">
        <f t="shared" si="167"/>
        <v>1+0.233423085893145i</v>
      </c>
      <c r="BA168" s="32">
        <f t="shared" si="192"/>
        <v>1.0268818515427558</v>
      </c>
      <c r="BB168" s="32">
        <f t="shared" si="193"/>
        <v>0.22931704992541857</v>
      </c>
      <c r="BC168" s="59" t="str">
        <f t="shared" si="194"/>
        <v>-0.558918292897509+2.47095542961281i</v>
      </c>
      <c r="BD168" s="50">
        <f t="shared" si="195"/>
        <v>8.0740041605264494</v>
      </c>
      <c r="BE168" s="62">
        <f t="shared" si="196"/>
        <v>102.7455477327385</v>
      </c>
      <c r="BF168" s="59" t="str">
        <f t="shared" si="197"/>
        <v>27.1681294203612+42.6921039132085i</v>
      </c>
      <c r="BG168" s="65">
        <f t="shared" si="198"/>
        <v>34.083626010251912</v>
      </c>
      <c r="BH168" s="62">
        <f t="shared" si="199"/>
        <v>57.528399891170992</v>
      </c>
      <c r="BI168" s="59" t="str">
        <f t="shared" si="152"/>
        <v>75.2999145176648+122.803549362484i</v>
      </c>
      <c r="BJ168" s="65">
        <f t="shared" si="200"/>
        <v>43.170346115093878</v>
      </c>
      <c r="BK168" s="62">
        <f t="shared" si="153"/>
        <v>58.484466760902521</v>
      </c>
      <c r="BL168" s="50">
        <f t="shared" si="201"/>
        <v>34.083626010251912</v>
      </c>
      <c r="BM168" s="62">
        <f t="shared" si="202"/>
        <v>57.528399891170992</v>
      </c>
    </row>
    <row r="169" spans="14:65" x14ac:dyDescent="0.3">
      <c r="N169" s="11">
        <v>51</v>
      </c>
      <c r="O169" s="51">
        <f t="shared" si="154"/>
        <v>323.59365692962825</v>
      </c>
      <c r="P169" s="49" t="str">
        <f t="shared" si="155"/>
        <v>27.9103246607183</v>
      </c>
      <c r="Q169" s="18" t="str">
        <f t="shared" si="156"/>
        <v>1+0.998751453883449i</v>
      </c>
      <c r="R169" s="18">
        <f t="shared" si="168"/>
        <v>1.4133309826909983</v>
      </c>
      <c r="S169" s="18">
        <f t="shared" si="169"/>
        <v>0.78477350046012839</v>
      </c>
      <c r="T169" s="18" t="str">
        <f t="shared" si="157"/>
        <v>1+0.000894607520715371i</v>
      </c>
      <c r="U169" s="18">
        <f t="shared" si="170"/>
        <v>1.0000004001612279</v>
      </c>
      <c r="V169" s="18">
        <f t="shared" si="171"/>
        <v>8.9460728205727506E-4</v>
      </c>
      <c r="W169" s="32" t="str">
        <f t="shared" si="158"/>
        <v>1-0.0117975739263811i</v>
      </c>
      <c r="X169" s="18">
        <f t="shared" si="172"/>
        <v>1.000069588953963</v>
      </c>
      <c r="Y169" s="18">
        <f t="shared" si="173"/>
        <v>-1.1797026632488404E-2</v>
      </c>
      <c r="Z169" s="32" t="str">
        <f t="shared" si="159"/>
        <v>0.999997836511264+0.00539490847332228i</v>
      </c>
      <c r="AA169" s="18">
        <f t="shared" si="174"/>
        <v>1.000012388955579</v>
      </c>
      <c r="AB169" s="18">
        <f t="shared" si="175"/>
        <v>5.3948678060745095E-3</v>
      </c>
      <c r="AC169" s="67" t="str">
        <f t="shared" si="176"/>
        <v>13.7441119056909-14.1818203873564i</v>
      </c>
      <c r="AD169" s="65">
        <f t="shared" si="177"/>
        <v>25.910920464166193</v>
      </c>
      <c r="AE169" s="62">
        <f t="shared" si="178"/>
        <v>-45.897975221653937</v>
      </c>
      <c r="AF169" s="50" t="str">
        <f t="shared" si="160"/>
        <v>79.1527877025864</v>
      </c>
      <c r="AG169" s="50" t="str">
        <f t="shared" si="161"/>
        <v>1+0.990949869100101i</v>
      </c>
      <c r="AH169" s="50">
        <f t="shared" si="179"/>
        <v>1.4078286980558066</v>
      </c>
      <c r="AI169" s="50">
        <f t="shared" si="180"/>
        <v>0.78085255996088609</v>
      </c>
      <c r="AJ169" s="50" t="str">
        <f t="shared" si="162"/>
        <v>1+0.000894607520715371i</v>
      </c>
      <c r="AK169" s="50">
        <f t="shared" si="181"/>
        <v>1.0000004001612279</v>
      </c>
      <c r="AL169" s="50">
        <f t="shared" si="182"/>
        <v>8.9460728205727506E-4</v>
      </c>
      <c r="AM169" s="50" t="str">
        <f t="shared" si="163"/>
        <v>1-0.00412747983794654i</v>
      </c>
      <c r="AN169" s="50">
        <f t="shared" si="183"/>
        <v>1.000008518008628</v>
      </c>
      <c r="AO169" s="50">
        <f t="shared" si="184"/>
        <v>-4.12745639948038E-3</v>
      </c>
      <c r="AP169" s="59" t="str">
        <f t="shared" si="185"/>
        <v>39.8083934014616-39.7040130864591i</v>
      </c>
      <c r="AQ169" s="50">
        <f t="shared" si="186"/>
        <v>34.998405484154873</v>
      </c>
      <c r="AR169" s="62">
        <f t="shared" si="187"/>
        <v>-44.924784717975783</v>
      </c>
      <c r="AS169" s="32" t="str">
        <f t="shared" si="164"/>
        <v>-0.0000166666666666667</v>
      </c>
      <c r="AT169" s="32" t="str">
        <f t="shared" si="165"/>
        <v>6.91287629643696E-06i</v>
      </c>
      <c r="AU169" s="32">
        <f t="shared" si="188"/>
        <v>6.9128762964369596E-6</v>
      </c>
      <c r="AV169" s="32">
        <f t="shared" si="189"/>
        <v>1.5707963267948966</v>
      </c>
      <c r="AW169" s="32" t="str">
        <f t="shared" si="166"/>
        <v>1+0.00702530023620599i</v>
      </c>
      <c r="AX169" s="32">
        <f t="shared" si="190"/>
        <v>1.0000246771172243</v>
      </c>
      <c r="AY169" s="32">
        <f t="shared" si="191"/>
        <v>7.0251846620974362E-3</v>
      </c>
      <c r="AZ169" s="32" t="str">
        <f t="shared" si="167"/>
        <v>1+0.238860208031004i</v>
      </c>
      <c r="BA169" s="32">
        <f t="shared" si="192"/>
        <v>1.0281314113383633</v>
      </c>
      <c r="BB169" s="32">
        <f t="shared" si="193"/>
        <v>0.23446698676018279</v>
      </c>
      <c r="BC169" s="59" t="str">
        <f t="shared" si="194"/>
        <v>-0.558917051414651+2.41488633312687i</v>
      </c>
      <c r="BD169" s="50">
        <f t="shared" si="195"/>
        <v>7.8845575014726945</v>
      </c>
      <c r="BE169" s="62">
        <f t="shared" si="196"/>
        <v>103.03145534507006</v>
      </c>
      <c r="BF169" s="59" t="str">
        <f t="shared" si="197"/>
        <v>26.5656657316452+41.1169292366127i</v>
      </c>
      <c r="BG169" s="65">
        <f t="shared" si="198"/>
        <v>33.795477965638888</v>
      </c>
      <c r="BH169" s="62">
        <f t="shared" si="199"/>
        <v>57.133480123416163</v>
      </c>
      <c r="BI169" s="59" t="str">
        <f t="shared" si="152"/>
        <v>73.6310887112811+118.32399509254i</v>
      </c>
      <c r="BJ169" s="65">
        <f t="shared" si="200"/>
        <v>42.882962985627572</v>
      </c>
      <c r="BK169" s="62">
        <f t="shared" si="153"/>
        <v>58.106670627094303</v>
      </c>
      <c r="BL169" s="50">
        <f t="shared" si="201"/>
        <v>33.795477965638888</v>
      </c>
      <c r="BM169" s="62">
        <f t="shared" si="202"/>
        <v>57.133480123416163</v>
      </c>
    </row>
    <row r="170" spans="14:65" x14ac:dyDescent="0.3">
      <c r="N170" s="11">
        <v>52</v>
      </c>
      <c r="O170" s="51">
        <f t="shared" si="154"/>
        <v>331.13112148259137</v>
      </c>
      <c r="P170" s="49" t="str">
        <f t="shared" si="155"/>
        <v>27.9103246607183</v>
      </c>
      <c r="Q170" s="18" t="str">
        <f t="shared" si="156"/>
        <v>1+1.02201536378915i</v>
      </c>
      <c r="R170" s="18">
        <f t="shared" si="168"/>
        <v>1.4298655194881331</v>
      </c>
      <c r="S170" s="18">
        <f t="shared" si="169"/>
        <v>0.79628556529803984</v>
      </c>
      <c r="T170" s="18" t="str">
        <f t="shared" si="157"/>
        <v>1+0.000915445606789702i</v>
      </c>
      <c r="U170" s="18">
        <f t="shared" si="170"/>
        <v>1.0000004190202418</v>
      </c>
      <c r="V170" s="18">
        <f t="shared" si="171"/>
        <v>9.1544535106295071E-4</v>
      </c>
      <c r="W170" s="32" t="str">
        <f t="shared" si="158"/>
        <v>1-0.01207237472478i</v>
      </c>
      <c r="X170" s="18">
        <f t="shared" si="172"/>
        <v>1.0000728684608415</v>
      </c>
      <c r="Y170" s="18">
        <f t="shared" si="173"/>
        <v>-1.207178829111609E-2</v>
      </c>
      <c r="Z170" s="32" t="str">
        <f t="shared" si="159"/>
        <v>0.999997734549182+0.00552057203474677i</v>
      </c>
      <c r="AA170" s="18">
        <f t="shared" si="174"/>
        <v>1.0000129728253964</v>
      </c>
      <c r="AB170" s="18">
        <f t="shared" si="175"/>
        <v>5.5205284590359649E-3</v>
      </c>
      <c r="AC170" s="67" t="str">
        <f t="shared" si="176"/>
        <v>13.4175638517482-14.1784197933768i</v>
      </c>
      <c r="AD170" s="65">
        <f t="shared" si="177"/>
        <v>25.80991776146465</v>
      </c>
      <c r="AE170" s="62">
        <f t="shared" si="178"/>
        <v>-46.579316525416829</v>
      </c>
      <c r="AF170" s="50" t="str">
        <f t="shared" si="160"/>
        <v>79.1527877025864</v>
      </c>
      <c r="AG170" s="50" t="str">
        <f t="shared" si="161"/>
        <v>1+1.01403205675167i</v>
      </c>
      <c r="AH170" s="50">
        <f t="shared" si="179"/>
        <v>1.4241702890174412</v>
      </c>
      <c r="AI170" s="50">
        <f t="shared" si="180"/>
        <v>0.79236519734671762</v>
      </c>
      <c r="AJ170" s="50" t="str">
        <f t="shared" si="162"/>
        <v>1+0.000915445606789702i</v>
      </c>
      <c r="AK170" s="50">
        <f t="shared" si="181"/>
        <v>1.0000004190202418</v>
      </c>
      <c r="AL170" s="50">
        <f t="shared" si="182"/>
        <v>9.1544535106295071E-4</v>
      </c>
      <c r="AM170" s="50" t="str">
        <f t="shared" si="163"/>
        <v>1-0.00422362119395081i</v>
      </c>
      <c r="AN170" s="50">
        <f t="shared" si="183"/>
        <v>1.0000089194482167</v>
      </c>
      <c r="AO170" s="50">
        <f t="shared" si="184"/>
        <v>-4.2235960791939323E-3</v>
      </c>
      <c r="AP170" s="59" t="str">
        <f t="shared" si="185"/>
        <v>38.8941894768807-39.7018062708639i</v>
      </c>
      <c r="AQ170" s="50">
        <f t="shared" si="186"/>
        <v>34.898166986627771</v>
      </c>
      <c r="AR170" s="62">
        <f t="shared" si="187"/>
        <v>-45.588724715732504</v>
      </c>
      <c r="AS170" s="32" t="str">
        <f t="shared" si="164"/>
        <v>-0.0000166666666666667</v>
      </c>
      <c r="AT170" s="32" t="str">
        <f t="shared" si="165"/>
        <v>7.07389787064768E-06i</v>
      </c>
      <c r="AU170" s="32">
        <f t="shared" si="188"/>
        <v>7.0738978706476798E-6</v>
      </c>
      <c r="AV170" s="32">
        <f t="shared" si="189"/>
        <v>1.5707963267948966</v>
      </c>
      <c r="AW170" s="32" t="str">
        <f t="shared" si="166"/>
        <v>1+0.00718894050037794i</v>
      </c>
      <c r="AX170" s="32">
        <f t="shared" si="190"/>
        <v>1.0000258400989037</v>
      </c>
      <c r="AY170" s="32">
        <f t="shared" si="191"/>
        <v>7.1888166606622643E-3</v>
      </c>
      <c r="AZ170" s="32" t="str">
        <f t="shared" si="167"/>
        <v>1+0.24442397701285i</v>
      </c>
      <c r="BA170" s="32">
        <f t="shared" si="192"/>
        <v>1.0294382354171512</v>
      </c>
      <c r="BB170" s="32">
        <f t="shared" si="193"/>
        <v>0.23972379538273719</v>
      </c>
      <c r="BC170" s="59" t="str">
        <f t="shared" si="194"/>
        <v>-0.558915751428416+2.36009764051731i</v>
      </c>
      <c r="BD170" s="50">
        <f t="shared" si="195"/>
        <v>7.6955807387469433</v>
      </c>
      <c r="BE170" s="62">
        <f t="shared" si="196"/>
        <v>103.32327286993925</v>
      </c>
      <c r="BF170" s="59" t="str">
        <f t="shared" si="197"/>
        <v>25.9631673180739+39.591302940884i</v>
      </c>
      <c r="BG170" s="65">
        <f t="shared" si="198"/>
        <v>33.505498500211587</v>
      </c>
      <c r="BH170" s="62">
        <f t="shared" si="199"/>
        <v>56.743956344522445</v>
      </c>
      <c r="BI170" s="59" t="str">
        <f t="shared" si="152"/>
        <v>71.9615641664713+113.984049699165i</v>
      </c>
      <c r="BJ170" s="65">
        <f t="shared" si="200"/>
        <v>42.593747725374733</v>
      </c>
      <c r="BK170" s="62">
        <f t="shared" si="153"/>
        <v>57.73454815420682</v>
      </c>
      <c r="BL170" s="50">
        <f t="shared" si="201"/>
        <v>33.505498500211587</v>
      </c>
      <c r="BM170" s="62">
        <f t="shared" si="202"/>
        <v>56.743956344522445</v>
      </c>
    </row>
    <row r="171" spans="14:65" x14ac:dyDescent="0.3">
      <c r="N171" s="11">
        <v>53</v>
      </c>
      <c r="O171" s="51">
        <f t="shared" si="154"/>
        <v>338.84415613920277</v>
      </c>
      <c r="P171" s="49" t="str">
        <f t="shared" si="155"/>
        <v>27.9103246607183</v>
      </c>
      <c r="Q171" s="18" t="str">
        <f t="shared" si="156"/>
        <v>1+1.0458211597687i</v>
      </c>
      <c r="R171" s="18">
        <f t="shared" si="168"/>
        <v>1.4469768132972789</v>
      </c>
      <c r="S171" s="18">
        <f t="shared" si="169"/>
        <v>0.80779186084463117</v>
      </c>
      <c r="T171" s="18" t="str">
        <f t="shared" si="157"/>
        <v>1+0.000936769074242101i</v>
      </c>
      <c r="U171" s="18">
        <f t="shared" si="170"/>
        <v>1.000000438768053</v>
      </c>
      <c r="V171" s="18">
        <f t="shared" si="171"/>
        <v>9.3676880022595661E-4</v>
      </c>
      <c r="W171" s="32" t="str">
        <f t="shared" si="158"/>
        <v>1-0.0123535764560546i</v>
      </c>
      <c r="X171" s="18">
        <f t="shared" si="172"/>
        <v>1.0000763025145909</v>
      </c>
      <c r="Y171" s="18">
        <f t="shared" si="173"/>
        <v>-1.2352948083651795E-2</v>
      </c>
      <c r="Z171" s="32" t="str">
        <f t="shared" si="159"/>
        <v>0.999997627781774+0.00564916267653745i</v>
      </c>
      <c r="AA171" s="18">
        <f t="shared" si="174"/>
        <v>1.0000135842117952</v>
      </c>
      <c r="AB171" s="18">
        <f t="shared" si="175"/>
        <v>5.649115984356053E-3</v>
      </c>
      <c r="AC171" s="67" t="str">
        <f t="shared" si="176"/>
        <v>13.0913430252006-14.1675084387106i</v>
      </c>
      <c r="AD171" s="65">
        <f t="shared" si="177"/>
        <v>25.706614879205137</v>
      </c>
      <c r="AE171" s="62">
        <f t="shared" si="178"/>
        <v>-47.260833746404934</v>
      </c>
      <c r="AF171" s="50" t="str">
        <f t="shared" si="160"/>
        <v>79.1527877025864</v>
      </c>
      <c r="AG171" s="50" t="str">
        <f t="shared" si="161"/>
        <v>1+1.03765189762202i</v>
      </c>
      <c r="AH171" s="50">
        <f t="shared" si="179"/>
        <v>1.4410834329207241</v>
      </c>
      <c r="AI171" s="50">
        <f t="shared" si="180"/>
        <v>0.80387414217578623</v>
      </c>
      <c r="AJ171" s="50" t="str">
        <f t="shared" si="162"/>
        <v>1+0.000936769074242101i</v>
      </c>
      <c r="AK171" s="50">
        <f t="shared" si="181"/>
        <v>1.000000438768053</v>
      </c>
      <c r="AL171" s="50">
        <f t="shared" si="182"/>
        <v>9.3676880022595661E-4</v>
      </c>
      <c r="AM171" s="50" t="str">
        <f t="shared" si="163"/>
        <v>1-0.00432200196981832i</v>
      </c>
      <c r="AN171" s="50">
        <f t="shared" si="183"/>
        <v>1.0000093398068977</v>
      </c>
      <c r="AO171" s="50">
        <f t="shared" si="184"/>
        <v>-4.3219750588850544E-3</v>
      </c>
      <c r="AP171" s="59" t="str">
        <f t="shared" si="185"/>
        <v>37.9805718748561-39.6785630994213i</v>
      </c>
      <c r="AQ171" s="50">
        <f t="shared" si="186"/>
        <v>34.795626726372042</v>
      </c>
      <c r="AR171" s="62">
        <f t="shared" si="187"/>
        <v>-46.252553637774469</v>
      </c>
      <c r="AS171" s="32" t="str">
        <f t="shared" si="164"/>
        <v>-0.0000166666666666667</v>
      </c>
      <c r="AT171" s="32" t="str">
        <f t="shared" si="165"/>
        <v>7.23867011914352E-06i</v>
      </c>
      <c r="AU171" s="32">
        <f t="shared" si="188"/>
        <v>7.23867011914352E-6</v>
      </c>
      <c r="AV171" s="32">
        <f t="shared" si="189"/>
        <v>1.5707963267948966</v>
      </c>
      <c r="AW171" s="32" t="str">
        <f t="shared" si="166"/>
        <v>1+0.00735639243596002i</v>
      </c>
      <c r="AX171" s="32">
        <f t="shared" si="190"/>
        <v>1.0000270578887713</v>
      </c>
      <c r="AY171" s="32">
        <f t="shared" si="191"/>
        <v>7.3562597395078304E-3</v>
      </c>
      <c r="AZ171" s="32" t="str">
        <f t="shared" si="167"/>
        <v>1+0.250117342822641i</v>
      </c>
      <c r="BA171" s="32">
        <f t="shared" si="192"/>
        <v>1.0308048725052956</v>
      </c>
      <c r="BB171" s="32">
        <f t="shared" si="193"/>
        <v>0.24508910038089629</v>
      </c>
      <c r="BC171" s="59" t="str">
        <f t="shared" si="194"/>
        <v>-0.5589143901822+2.30656030203525i</v>
      </c>
      <c r="BD171" s="50">
        <f t="shared" si="195"/>
        <v>7.5070935206169445</v>
      </c>
      <c r="BE171" s="62">
        <f t="shared" si="196"/>
        <v>103.62108842040777</v>
      </c>
      <c r="BF171" s="59" t="str">
        <f t="shared" si="197"/>
        <v>25.3612725398833+38.1143964616769i</v>
      </c>
      <c r="BG171" s="65">
        <f t="shared" si="198"/>
        <v>33.213708399822089</v>
      </c>
      <c r="BH171" s="62">
        <f t="shared" si="199"/>
        <v>56.360254674002846</v>
      </c>
      <c r="BI171" s="59" t="str">
        <f t="shared" si="152"/>
        <v>70.2931103187195+109.781399233159i</v>
      </c>
      <c r="BJ171" s="65">
        <f t="shared" si="200"/>
        <v>42.302720246989011</v>
      </c>
      <c r="BK171" s="62">
        <f t="shared" si="153"/>
        <v>57.368534782633404</v>
      </c>
      <c r="BL171" s="50">
        <f t="shared" si="201"/>
        <v>33.213708399822089</v>
      </c>
      <c r="BM171" s="62">
        <f t="shared" si="202"/>
        <v>56.360254674002846</v>
      </c>
    </row>
    <row r="172" spans="14:65" x14ac:dyDescent="0.3">
      <c r="N172" s="11">
        <v>54</v>
      </c>
      <c r="O172" s="51">
        <f t="shared" si="154"/>
        <v>346.73685045253183</v>
      </c>
      <c r="P172" s="49" t="str">
        <f t="shared" si="155"/>
        <v>27.9103246607183</v>
      </c>
      <c r="Q172" s="18" t="str">
        <f t="shared" si="156"/>
        <v>1+1.07018146397024i</v>
      </c>
      <c r="R172" s="18">
        <f t="shared" si="168"/>
        <v>1.4646802947488184</v>
      </c>
      <c r="S172" s="18">
        <f t="shared" si="169"/>
        <v>0.81928630196447383</v>
      </c>
      <c r="T172" s="18" t="str">
        <f t="shared" si="157"/>
        <v>1+0.000958589229057272i</v>
      </c>
      <c r="U172" s="18">
        <f t="shared" si="170"/>
        <v>1.0000004594465495</v>
      </c>
      <c r="V172" s="18">
        <f t="shared" si="171"/>
        <v>9.5858893544369063E-4</v>
      </c>
      <c r="W172" s="32" t="str">
        <f t="shared" si="158"/>
        <v>1-0.0126413282170852i</v>
      </c>
      <c r="X172" s="18">
        <f t="shared" si="172"/>
        <v>1.0000798983976691</v>
      </c>
      <c r="Y172" s="18">
        <f t="shared" si="173"/>
        <v>-1.2640654906829947E-2</v>
      </c>
      <c r="Z172" s="32" t="str">
        <f t="shared" si="159"/>
        <v>0.999997515982573+0.00578074857915476i</v>
      </c>
      <c r="AA172" s="18">
        <f t="shared" si="174"/>
        <v>1.0000142244115591</v>
      </c>
      <c r="AB172" s="18">
        <f t="shared" si="175"/>
        <v>5.7806985476191071E-3</v>
      </c>
      <c r="AC172" s="67" t="str">
        <f t="shared" si="176"/>
        <v>12.7657940298009-14.1491150304025i</v>
      </c>
      <c r="AD172" s="65">
        <f t="shared" si="177"/>
        <v>25.601015392593879</v>
      </c>
      <c r="AE172" s="62">
        <f t="shared" si="178"/>
        <v>-47.942190021014952</v>
      </c>
      <c r="AF172" s="50" t="str">
        <f t="shared" si="160"/>
        <v>79.1527877025864</v>
      </c>
      <c r="AG172" s="50" t="str">
        <f t="shared" si="161"/>
        <v>1+1.06182191526344i</v>
      </c>
      <c r="AH172" s="50">
        <f t="shared" si="179"/>
        <v>1.4585834839781096</v>
      </c>
      <c r="AI172" s="50">
        <f t="shared" si="180"/>
        <v>0.8153733023018348</v>
      </c>
      <c r="AJ172" s="50" t="str">
        <f t="shared" si="162"/>
        <v>1+0.000958589229057272i</v>
      </c>
      <c r="AK172" s="50">
        <f t="shared" si="181"/>
        <v>1.0000004594465495</v>
      </c>
      <c r="AL172" s="50">
        <f t="shared" si="182"/>
        <v>9.5858893544369063E-4</v>
      </c>
      <c r="AM172" s="50" t="str">
        <f t="shared" si="163"/>
        <v>1-0.0044226743283387i</v>
      </c>
      <c r="AN172" s="50">
        <f t="shared" si="183"/>
        <v>1.0000097799762833</v>
      </c>
      <c r="AO172" s="50">
        <f t="shared" si="184"/>
        <v>-4.422645492769414E-3</v>
      </c>
      <c r="AP172" s="59" t="str">
        <f t="shared" si="185"/>
        <v>37.0685070273349-39.6343451201682i</v>
      </c>
      <c r="AQ172" s="50">
        <f t="shared" si="186"/>
        <v>34.690787406134802</v>
      </c>
      <c r="AR172" s="62">
        <f t="shared" si="187"/>
        <v>-46.915924770269164</v>
      </c>
      <c r="AS172" s="32" t="str">
        <f t="shared" si="164"/>
        <v>-0.0000166666666666667</v>
      </c>
      <c r="AT172" s="32" t="str">
        <f t="shared" si="165"/>
        <v>7.40728040635165E-06i</v>
      </c>
      <c r="AU172" s="32">
        <f t="shared" si="188"/>
        <v>7.4072804063516496E-6</v>
      </c>
      <c r="AV172" s="32">
        <f t="shared" si="189"/>
        <v>1.5707963267948966</v>
      </c>
      <c r="AW172" s="32" t="str">
        <f t="shared" si="166"/>
        <v>1+0.00752774482818504i</v>
      </c>
      <c r="AX172" s="32">
        <f t="shared" si="190"/>
        <v>1.0000283330697177</v>
      </c>
      <c r="AY172" s="32">
        <f t="shared" si="191"/>
        <v>7.5276026415923552E-3</v>
      </c>
      <c r="AZ172" s="32" t="str">
        <f t="shared" si="167"/>
        <v>1+0.255943324158291i</v>
      </c>
      <c r="BA172" s="32">
        <f t="shared" si="192"/>
        <v>1.0322339779241894</v>
      </c>
      <c r="BB172" s="32">
        <f t="shared" si="193"/>
        <v>0.25056451039180083</v>
      </c>
      <c r="BC172" s="59" t="str">
        <f t="shared" si="194"/>
        <v>-0.558912964789531+2.2542459314122i</v>
      </c>
      <c r="BD172" s="50">
        <f t="shared" si="195"/>
        <v>7.3191162016792504</v>
      </c>
      <c r="BE172" s="62">
        <f t="shared" si="196"/>
        <v>103.92498907999729</v>
      </c>
      <c r="BF172" s="59" t="str">
        <f t="shared" si="197"/>
        <v>24.7606172012795+36.6853630837152i</v>
      </c>
      <c r="BG172" s="65">
        <f t="shared" si="198"/>
        <v>32.920131594273123</v>
      </c>
      <c r="BH172" s="62">
        <f t="shared" si="199"/>
        <v>55.98279905898238</v>
      </c>
      <c r="BI172" s="59" t="str">
        <f t="shared" si="152"/>
        <v>68.6274920683568+105.713680488499i</v>
      </c>
      <c r="BJ172" s="65">
        <f t="shared" si="200"/>
        <v>42.009903607814046</v>
      </c>
      <c r="BK172" s="62">
        <f t="shared" si="153"/>
        <v>57.009064309728167</v>
      </c>
      <c r="BL172" s="50">
        <f t="shared" si="201"/>
        <v>32.920131594273123</v>
      </c>
      <c r="BM172" s="62">
        <f t="shared" si="202"/>
        <v>55.98279905898238</v>
      </c>
    </row>
    <row r="173" spans="14:65" x14ac:dyDescent="0.3">
      <c r="N173" s="11">
        <v>55</v>
      </c>
      <c r="O173" s="51">
        <f t="shared" si="154"/>
        <v>354.81338923357566</v>
      </c>
      <c r="P173" s="49" t="str">
        <f t="shared" si="155"/>
        <v>27.9103246607183</v>
      </c>
      <c r="Q173" s="18" t="str">
        <f t="shared" si="156"/>
        <v>1+1.09510919254951i</v>
      </c>
      <c r="R173" s="18">
        <f t="shared" si="168"/>
        <v>1.4829916195334483</v>
      </c>
      <c r="S173" s="18">
        <f t="shared" si="169"/>
        <v>0.83076283484527957</v>
      </c>
      <c r="T173" s="18" t="str">
        <f t="shared" si="157"/>
        <v>1+0.000980917640570117i</v>
      </c>
      <c r="U173" s="18">
        <f t="shared" si="170"/>
        <v>1.0000004810995931</v>
      </c>
      <c r="V173" s="18">
        <f t="shared" si="171"/>
        <v>9.8091732595750446E-4</v>
      </c>
      <c r="W173" s="32" t="str">
        <f t="shared" si="158"/>
        <v>1-0.0129357825776643i</v>
      </c>
      <c r="X173" s="18">
        <f t="shared" si="172"/>
        <v>1.0000836637356381</v>
      </c>
      <c r="Y173" s="18">
        <f t="shared" si="173"/>
        <v>-1.293506111598707E-2</v>
      </c>
      <c r="Z173" s="32" t="str">
        <f t="shared" si="159"/>
        <v>0.999997398914438+0.00591539951118599i</v>
      </c>
      <c r="AA173" s="18">
        <f t="shared" si="174"/>
        <v>1.000014894782582</v>
      </c>
      <c r="AB173" s="18">
        <f t="shared" si="175"/>
        <v>5.9153459014724347E-3</v>
      </c>
      <c r="AC173" s="67" t="str">
        <f t="shared" si="176"/>
        <v>12.4412586316855-14.1232879463393i</v>
      </c>
      <c r="AD173" s="65">
        <f t="shared" si="177"/>
        <v>25.493125299672581</v>
      </c>
      <c r="AE173" s="62">
        <f t="shared" si="178"/>
        <v>-48.623050554334135</v>
      </c>
      <c r="AF173" s="50" t="str">
        <f t="shared" si="160"/>
        <v>79.1527877025864</v>
      </c>
      <c r="AG173" s="50" t="str">
        <f t="shared" si="161"/>
        <v>1+1.0865549249392i</v>
      </c>
      <c r="AH173" s="50">
        <f t="shared" si="179"/>
        <v>1.476686021099147</v>
      </c>
      <c r="AI173" s="50">
        <f t="shared" si="180"/>
        <v>0.82685661145274036</v>
      </c>
      <c r="AJ173" s="50" t="str">
        <f t="shared" si="162"/>
        <v>1+0.000980917640570117i</v>
      </c>
      <c r="AK173" s="50">
        <f t="shared" si="181"/>
        <v>1.0000004810995931</v>
      </c>
      <c r="AL173" s="50">
        <f t="shared" si="182"/>
        <v>9.8091732595750446E-4</v>
      </c>
      <c r="AM173" s="50" t="str">
        <f t="shared" si="163"/>
        <v>1-0.00452569164732898i</v>
      </c>
      <c r="AN173" s="50">
        <f t="shared" si="183"/>
        <v>1.0000102408900056</v>
      </c>
      <c r="AO173" s="50">
        <f t="shared" si="184"/>
        <v>-4.5256607494769023E-3</v>
      </c>
      <c r="AP173" s="59" t="str">
        <f t="shared" si="185"/>
        <v>36.1589548012314-39.5692691643425i</v>
      </c>
      <c r="AQ173" s="50">
        <f t="shared" si="186"/>
        <v>34.583654155638946</v>
      </c>
      <c r="AR173" s="62">
        <f t="shared" si="187"/>
        <v>-47.578492936354976</v>
      </c>
      <c r="AS173" s="32" t="str">
        <f t="shared" si="164"/>
        <v>-0.0000166666666666667</v>
      </c>
      <c r="AT173" s="32" t="str">
        <f t="shared" si="165"/>
        <v>7.57981813167818E-06i</v>
      </c>
      <c r="AU173" s="32">
        <f t="shared" si="188"/>
        <v>7.57981813167818E-6</v>
      </c>
      <c r="AV173" s="32">
        <f t="shared" si="189"/>
        <v>1.5707963267948966</v>
      </c>
      <c r="AW173" s="32" t="str">
        <f t="shared" si="166"/>
        <v>1+0.00770308853035944i</v>
      </c>
      <c r="AX173" s="32">
        <f t="shared" si="190"/>
        <v>1.0000296683463479</v>
      </c>
      <c r="AY173" s="32">
        <f t="shared" si="191"/>
        <v>7.7029361749245519E-3</v>
      </c>
      <c r="AZ173" s="32" t="str">
        <f t="shared" si="167"/>
        <v>1+0.261905010032221i</v>
      </c>
      <c r="BA173" s="32">
        <f t="shared" si="192"/>
        <v>1.033728317441279</v>
      </c>
      <c r="BB173" s="32">
        <f t="shared" si="193"/>
        <v>0.2561516147655033</v>
      </c>
      <c r="BC173" s="59" t="str">
        <f t="shared" si="194"/>
        <v>-0.55891147222797+2.20312679080887i</v>
      </c>
      <c r="BD173" s="50">
        <f t="shared" si="195"/>
        <v>7.1316698578465418</v>
      </c>
      <c r="BE173" s="62">
        <f t="shared" si="196"/>
        <v>104.23506070884247</v>
      </c>
      <c r="BF173" s="59" t="str">
        <f t="shared" si="197"/>
        <v>24.1618318706838+35.3033378616365i</v>
      </c>
      <c r="BG173" s="65">
        <f t="shared" si="198"/>
        <v>32.624795157519124</v>
      </c>
      <c r="BH173" s="62">
        <f t="shared" si="199"/>
        <v>55.612010154508397</v>
      </c>
      <c r="BI173" s="59" t="str">
        <f t="shared" si="152"/>
        <v>66.9664623265094+101.778480533867i</v>
      </c>
      <c r="BJ173" s="65">
        <f t="shared" si="200"/>
        <v>41.715324013485464</v>
      </c>
      <c r="BK173" s="62">
        <f t="shared" si="153"/>
        <v>56.656567772487399</v>
      </c>
      <c r="BL173" s="50">
        <f t="shared" si="201"/>
        <v>32.624795157519124</v>
      </c>
      <c r="BM173" s="62">
        <f t="shared" si="202"/>
        <v>55.612010154508397</v>
      </c>
    </row>
    <row r="174" spans="14:65" x14ac:dyDescent="0.3">
      <c r="N174" s="11">
        <v>56</v>
      </c>
      <c r="O174" s="51">
        <f t="shared" si="154"/>
        <v>363.07805477010152</v>
      </c>
      <c r="P174" s="49" t="str">
        <f t="shared" si="155"/>
        <v>27.9103246607183</v>
      </c>
      <c r="Q174" s="18" t="str">
        <f t="shared" si="156"/>
        <v>1+1.12061756251815i</v>
      </c>
      <c r="R174" s="18">
        <f t="shared" si="168"/>
        <v>1.5019266697892146</v>
      </c>
      <c r="S174" s="18">
        <f t="shared" si="169"/>
        <v>0.842215452847209</v>
      </c>
      <c r="T174" s="18" t="str">
        <f t="shared" si="157"/>
        <v>1+0.00100376614759998i</v>
      </c>
      <c r="U174" s="18">
        <f t="shared" si="170"/>
        <v>1.0000005037731128</v>
      </c>
      <c r="V174" s="18">
        <f t="shared" si="171"/>
        <v>1.0037658104865013E-3</v>
      </c>
      <c r="W174" s="32" t="str">
        <f t="shared" si="158"/>
        <v>1-0.0132370956613913i</v>
      </c>
      <c r="X174" s="18">
        <f t="shared" si="172"/>
        <v>1.0000876065133237</v>
      </c>
      <c r="Y174" s="18">
        <f t="shared" si="173"/>
        <v>-1.3236322604933551E-2</v>
      </c>
      <c r="Z174" s="32" t="str">
        <f t="shared" si="159"/>
        <v>0.999997276329053+0.00605318686633765i</v>
      </c>
      <c r="AA174" s="18">
        <f t="shared" si="174"/>
        <v>1.0000155967467523</v>
      </c>
      <c r="AB174" s="18">
        <f t="shared" si="175"/>
        <v>6.053129422542605E-3</v>
      </c>
      <c r="AC174" s="67" t="str">
        <f t="shared" si="176"/>
        <v>12.1180743323877-14.0900949243943i</v>
      </c>
      <c r="AD174" s="65">
        <f t="shared" si="177"/>
        <v>25.382952996379039</v>
      </c>
      <c r="AE174" s="62">
        <f t="shared" si="178"/>
        <v>-49.303083534578612</v>
      </c>
      <c r="AF174" s="50" t="str">
        <f t="shared" si="160"/>
        <v>79.1527877025864</v>
      </c>
      <c r="AG174" s="50" t="str">
        <f t="shared" si="161"/>
        <v>1+1.11186404041843i</v>
      </c>
      <c r="AH174" s="50">
        <f t="shared" si="179"/>
        <v>1.4954068491135102</v>
      </c>
      <c r="AI174" s="50">
        <f t="shared" si="180"/>
        <v>0.83831804515992503</v>
      </c>
      <c r="AJ174" s="50" t="str">
        <f t="shared" si="162"/>
        <v>1+0.00100376614759998i</v>
      </c>
      <c r="AK174" s="50">
        <f t="shared" si="181"/>
        <v>1.0000005037731128</v>
      </c>
      <c r="AL174" s="50">
        <f t="shared" si="182"/>
        <v>1.0037658104865013E-3</v>
      </c>
      <c r="AM174" s="50" t="str">
        <f t="shared" si="163"/>
        <v>1-0.00463110854793531i</v>
      </c>
      <c r="AN174" s="50">
        <f t="shared" si="183"/>
        <v>1.0000107235256945</v>
      </c>
      <c r="AO174" s="50">
        <f t="shared" si="184"/>
        <v>-4.631075440309493E-3</v>
      </c>
      <c r="AP174" s="59" t="str">
        <f t="shared" si="185"/>
        <v>35.2528644755814-39.4835065950816i</v>
      </c>
      <c r="AQ174" s="50">
        <f t="shared" si="186"/>
        <v>34.474234509984434</v>
      </c>
      <c r="AR174" s="62">
        <f t="shared" si="187"/>
        <v>-48.239915410097268</v>
      </c>
      <c r="AS174" s="32" t="str">
        <f t="shared" si="164"/>
        <v>-0.0000166666666666667</v>
      </c>
      <c r="AT174" s="32" t="str">
        <f t="shared" si="165"/>
        <v>7.75637477690888E-06i</v>
      </c>
      <c r="AU174" s="32">
        <f t="shared" si="188"/>
        <v>7.7563747769088799E-6</v>
      </c>
      <c r="AV174" s="32">
        <f t="shared" si="189"/>
        <v>1.5707963267948966</v>
      </c>
      <c r="AW174" s="32" t="str">
        <f t="shared" si="166"/>
        <v>1+0.00788251651203509i</v>
      </c>
      <c r="AX174" s="32">
        <f t="shared" si="190"/>
        <v>1.0000310665507159</v>
      </c>
      <c r="AY174" s="32">
        <f t="shared" si="191"/>
        <v>7.8823532605192554E-3</v>
      </c>
      <c r="AZ174" s="32" t="str">
        <f t="shared" si="167"/>
        <v>1+0.268005561409193i</v>
      </c>
      <c r="BA174" s="32">
        <f t="shared" si="192"/>
        <v>1.0352907712069381</v>
      </c>
      <c r="BB174" s="32">
        <f t="shared" si="193"/>
        <v>0.26185198003049065</v>
      </c>
      <c r="BC174" s="59" t="str">
        <f t="shared" si="194"/>
        <v>-0.558909909332693+2.15317577610794i</v>
      </c>
      <c r="BD174" s="50">
        <f t="shared" si="195"/>
        <v>6.9447763006567653</v>
      </c>
      <c r="BE174" s="62">
        <f t="shared" si="196"/>
        <v>104.55138773843203</v>
      </c>
      <c r="BF174" s="59" t="str">
        <f t="shared" si="197"/>
        <v>23.5655392478656+33.9674377822548i</v>
      </c>
      <c r="BG174" s="65">
        <f t="shared" si="198"/>
        <v>32.327729297035795</v>
      </c>
      <c r="BH174" s="62">
        <f t="shared" si="199"/>
        <v>55.248304203853387</v>
      </c>
      <c r="BI174" s="59" t="str">
        <f t="shared" si="152"/>
        <v>65.3117546685629+97.9733369184319i</v>
      </c>
      <c r="BJ174" s="65">
        <f t="shared" si="200"/>
        <v>41.419010810641204</v>
      </c>
      <c r="BK174" s="62">
        <f t="shared" si="153"/>
        <v>56.311472328334773</v>
      </c>
      <c r="BL174" s="50">
        <f t="shared" si="201"/>
        <v>32.327729297035795</v>
      </c>
      <c r="BM174" s="62">
        <f t="shared" si="202"/>
        <v>55.248304203853387</v>
      </c>
    </row>
    <row r="175" spans="14:65" x14ac:dyDescent="0.3">
      <c r="N175" s="11">
        <v>57</v>
      </c>
      <c r="O175" s="51">
        <f t="shared" si="154"/>
        <v>371.53522909717265</v>
      </c>
      <c r="P175" s="49" t="str">
        <f t="shared" si="155"/>
        <v>27.9103246607183</v>
      </c>
      <c r="Q175" s="18" t="str">
        <f t="shared" si="156"/>
        <v>1+1.14672009875156i</v>
      </c>
      <c r="R175" s="18">
        <f t="shared" si="168"/>
        <v>1.5215015559902616</v>
      </c>
      <c r="S175" s="18">
        <f t="shared" si="169"/>
        <v>0.85363821205009738</v>
      </c>
      <c r="T175" s="18" t="str">
        <f t="shared" si="157"/>
        <v>1+0.0010271468647277i</v>
      </c>
      <c r="U175" s="18">
        <f t="shared" si="170"/>
        <v>1.0000005275152017</v>
      </c>
      <c r="V175" s="18">
        <f t="shared" si="171"/>
        <v>1.0271465035041098E-3</v>
      </c>
      <c r="W175" s="32" t="str">
        <f t="shared" si="158"/>
        <v>1-0.0135454272284517i</v>
      </c>
      <c r="X175" s="18">
        <f t="shared" si="172"/>
        <v>1.0000917350917371</v>
      </c>
      <c r="Y175" s="18">
        <f t="shared" si="173"/>
        <v>-1.3544598887636795E-2</v>
      </c>
      <c r="Z175" s="32" t="str">
        <f t="shared" si="159"/>
        <v>0.999997147966395+0.00619418370128921i</v>
      </c>
      <c r="AA175" s="18">
        <f t="shared" si="174"/>
        <v>1.0000163317929611</v>
      </c>
      <c r="AB175" s="18">
        <f t="shared" si="175"/>
        <v>6.1941221492076955E-3</v>
      </c>
      <c r="AC175" s="67" t="str">
        <f t="shared" si="176"/>
        <v>11.7965729798426-14.0496226296191i</v>
      </c>
      <c r="AD175" s="65">
        <f t="shared" si="177"/>
        <v>25.270509241679477</v>
      </c>
      <c r="AE175" s="62">
        <f t="shared" si="178"/>
        <v>-49.981961030368971</v>
      </c>
      <c r="AF175" s="50" t="str">
        <f t="shared" si="160"/>
        <v>79.1527877025864</v>
      </c>
      <c r="AG175" s="50" t="str">
        <f t="shared" si="161"/>
        <v>1+1.13776268092915i</v>
      </c>
      <c r="AH175" s="50">
        <f t="shared" si="179"/>
        <v>1.5147620004855833</v>
      </c>
      <c r="AI175" s="50">
        <f t="shared" si="180"/>
        <v>0.84975163641952445</v>
      </c>
      <c r="AJ175" s="50" t="str">
        <f t="shared" si="162"/>
        <v>1+0.0010271468647277i</v>
      </c>
      <c r="AK175" s="50">
        <f t="shared" si="181"/>
        <v>1.0000005275152017</v>
      </c>
      <c r="AL175" s="50">
        <f t="shared" si="182"/>
        <v>1.0271465035041098E-3</v>
      </c>
      <c r="AM175" s="50" t="str">
        <f t="shared" si="163"/>
        <v>1-0.0047389809235937i</v>
      </c>
      <c r="AN175" s="50">
        <f t="shared" si="183"/>
        <v>1.0000112289070529</v>
      </c>
      <c r="AO175" s="50">
        <f t="shared" si="184"/>
        <v>-4.7389454481550006E-3</v>
      </c>
      <c r="AP175" s="59" t="str">
        <f t="shared" si="185"/>
        <v>34.3511708132168-39.3772822107494i</v>
      </c>
      <c r="AQ175" s="50">
        <f t="shared" si="186"/>
        <v>34.362538378031054</v>
      </c>
      <c r="AR175" s="62">
        <f t="shared" si="187"/>
        <v>-48.899852815103607</v>
      </c>
      <c r="AS175" s="32" t="str">
        <f t="shared" si="164"/>
        <v>-0.0000166666666666667</v>
      </c>
      <c r="AT175" s="32" t="str">
        <f t="shared" si="165"/>
        <v>7.93704395471405E-06i</v>
      </c>
      <c r="AU175" s="32">
        <f t="shared" si="188"/>
        <v>7.93704395471405E-6</v>
      </c>
      <c r="AV175" s="32">
        <f t="shared" si="189"/>
        <v>1.5707963267948966</v>
      </c>
      <c r="AW175" s="32" t="str">
        <f t="shared" si="166"/>
        <v>1+0.00806612390830284i</v>
      </c>
      <c r="AX175" s="32">
        <f t="shared" si="190"/>
        <v>1.0000325306483304</v>
      </c>
      <c r="AY175" s="32">
        <f t="shared" si="191"/>
        <v>8.0659489814593407E-3</v>
      </c>
      <c r="AZ175" s="32" t="str">
        <f t="shared" si="167"/>
        <v>1+0.274248212882296i</v>
      </c>
      <c r="BA175" s="32">
        <f t="shared" si="192"/>
        <v>1.036924337774523</v>
      </c>
      <c r="BB175" s="32">
        <f t="shared" si="193"/>
        <v>0.26766714615666337</v>
      </c>
      <c r="BC175" s="59" t="str">
        <f t="shared" si="194"/>
        <v>-0.558908272789798+2.1043664025427i</v>
      </c>
      <c r="BD175" s="50">
        <f t="shared" si="195"/>
        <v>6.7584580907851048</v>
      </c>
      <c r="BE175" s="62">
        <f t="shared" si="196"/>
        <v>104.8740529546827</v>
      </c>
      <c r="BF175" s="59" t="str">
        <f t="shared" si="197"/>
        <v>22.9723516011714+32.6767621611927i</v>
      </c>
      <c r="BG175" s="65">
        <f t="shared" si="198"/>
        <v>32.028967332464582</v>
      </c>
      <c r="BH175" s="62">
        <f t="shared" si="199"/>
        <v>54.892091924313796</v>
      </c>
      <c r="BI175" s="59" t="str">
        <f t="shared" si="152"/>
        <v>63.665076160221+94.2957385349052i</v>
      </c>
      <c r="BJ175" s="65">
        <f t="shared" si="200"/>
        <v>41.120996468816159</v>
      </c>
      <c r="BK175" s="62">
        <f t="shared" si="153"/>
        <v>55.974200139579111</v>
      </c>
      <c r="BL175" s="50">
        <f t="shared" si="201"/>
        <v>32.028967332464582</v>
      </c>
      <c r="BM175" s="62">
        <f t="shared" si="202"/>
        <v>54.892091924313796</v>
      </c>
    </row>
    <row r="176" spans="14:65" x14ac:dyDescent="0.3">
      <c r="N176" s="11">
        <v>58</v>
      </c>
      <c r="O176" s="51">
        <f t="shared" si="154"/>
        <v>380.18939632056163</v>
      </c>
      <c r="P176" s="49" t="str">
        <f t="shared" si="155"/>
        <v>27.9103246607183</v>
      </c>
      <c r="Q176" s="18" t="str">
        <f t="shared" si="156"/>
        <v>1+1.17343064115997i</v>
      </c>
      <c r="R176" s="18">
        <f t="shared" si="168"/>
        <v>1.541732619364687</v>
      </c>
      <c r="S176" s="18">
        <f t="shared" si="169"/>
        <v>0.86502524640156842</v>
      </c>
      <c r="T176" s="18" t="str">
        <f t="shared" si="157"/>
        <v>1+0.00105107218871901i</v>
      </c>
      <c r="U176" s="18">
        <f t="shared" si="170"/>
        <v>1.0000005523762203</v>
      </c>
      <c r="V176" s="18">
        <f t="shared" si="171"/>
        <v>1.0510718016609709E-3</v>
      </c>
      <c r="W176" s="32" t="str">
        <f t="shared" si="158"/>
        <v>1-0.0138609407603236i</v>
      </c>
      <c r="X176" s="18">
        <f t="shared" si="172"/>
        <v>1.0000960582257892</v>
      </c>
      <c r="Y176" s="18">
        <f t="shared" si="173"/>
        <v>-1.3860053181753386E-2</v>
      </c>
      <c r="Z176" s="32" t="str">
        <f t="shared" si="159"/>
        <v>0.999997013554193+0.00633846477442891i</v>
      </c>
      <c r="AA176" s="18">
        <f t="shared" si="174"/>
        <v>1.0000171014802706</v>
      </c>
      <c r="AB176" s="18">
        <f t="shared" si="175"/>
        <v>6.3383988202456928E-3</v>
      </c>
      <c r="AC176" s="67" t="str">
        <f t="shared" si="176"/>
        <v>11.4770794293846-14.0019761046012i</v>
      </c>
      <c r="AD176" s="65">
        <f t="shared" si="177"/>
        <v>25.155807113083419</v>
      </c>
      <c r="AE176" s="62">
        <f t="shared" si="178"/>
        <v>-50.659359865285651</v>
      </c>
      <c r="AF176" s="50" t="str">
        <f t="shared" si="160"/>
        <v>79.1527877025864</v>
      </c>
      <c r="AG176" s="50" t="str">
        <f t="shared" si="161"/>
        <v>1+1.16426457827336i</v>
      </c>
      <c r="AH176" s="50">
        <f t="shared" si="179"/>
        <v>1.5347677375492506</v>
      </c>
      <c r="AI176" s="50">
        <f t="shared" si="180"/>
        <v>0.86115149098706645</v>
      </c>
      <c r="AJ176" s="50" t="str">
        <f t="shared" si="162"/>
        <v>1+0.00105107218871901i</v>
      </c>
      <c r="AK176" s="50">
        <f t="shared" si="181"/>
        <v>1.0000005523762203</v>
      </c>
      <c r="AL176" s="50">
        <f t="shared" si="182"/>
        <v>1.0510718016609709E-3</v>
      </c>
      <c r="AM176" s="50" t="str">
        <f t="shared" si="163"/>
        <v>1-0.00484936596966561i</v>
      </c>
      <c r="AN176" s="50">
        <f t="shared" si="183"/>
        <v>1.0000117581060273</v>
      </c>
      <c r="AO176" s="50">
        <f t="shared" si="184"/>
        <v>-4.8493279570723221E-3</v>
      </c>
      <c r="AP176" s="59" t="str">
        <f t="shared" si="185"/>
        <v>33.4547902611507-39.2508728158976i</v>
      </c>
      <c r="AQ176" s="50">
        <f t="shared" si="186"/>
        <v>34.248578001042816</v>
      </c>
      <c r="AR176" s="62">
        <f t="shared" si="187"/>
        <v>-49.557970002171679</v>
      </c>
      <c r="AS176" s="32" t="str">
        <f t="shared" si="164"/>
        <v>-0.0000166666666666667</v>
      </c>
      <c r="AT176" s="32" t="str">
        <f t="shared" si="165"/>
        <v>8.12192145828322E-06i</v>
      </c>
      <c r="AU176" s="32">
        <f t="shared" si="188"/>
        <v>8.1219214582832205E-6</v>
      </c>
      <c r="AV176" s="32">
        <f t="shared" si="189"/>
        <v>1.5707963267948966</v>
      </c>
      <c r="AW176" s="32" t="str">
        <f t="shared" si="166"/>
        <v>1+0.00825400807023454i</v>
      </c>
      <c r="AX176" s="32">
        <f t="shared" si="190"/>
        <v>1.0000340637444425</v>
      </c>
      <c r="AY176" s="32">
        <f t="shared" si="191"/>
        <v>8.2538206330895498E-3</v>
      </c>
      <c r="AZ176" s="32" t="str">
        <f t="shared" si="167"/>
        <v>1+0.280636274387974i</v>
      </c>
      <c r="BA176" s="32">
        <f t="shared" si="192"/>
        <v>1.0386321382002206</v>
      </c>
      <c r="BB176" s="32">
        <f t="shared" si="193"/>
        <v>0.27359862261190843</v>
      </c>
      <c r="BC176" s="59" t="str">
        <f t="shared" si="194"/>
        <v>-0.558906559129286+2.05667279065419i</v>
      </c>
      <c r="BD176" s="50">
        <f t="shared" si="195"/>
        <v>6.5727385506334759</v>
      </c>
      <c r="BE176" s="62">
        <f t="shared" si="196"/>
        <v>105.20313726912087</v>
      </c>
      <c r="BF176" s="59" t="str">
        <f t="shared" si="197"/>
        <v>22.3828682969926+31.4303932642254i</v>
      </c>
      <c r="BG176" s="65">
        <f t="shared" si="198"/>
        <v>31.728545663716901</v>
      </c>
      <c r="BH176" s="62">
        <f t="shared" si="199"/>
        <v>54.543777403835236</v>
      </c>
      <c r="BI176" s="59" t="str">
        <f t="shared" si="152"/>
        <v>62.0281004186331+90.743127115506i</v>
      </c>
      <c r="BJ176" s="65">
        <f t="shared" si="200"/>
        <v>40.82131655167629</v>
      </c>
      <c r="BK176" s="62">
        <f t="shared" si="153"/>
        <v>55.645167266949223</v>
      </c>
      <c r="BL176" s="50">
        <f t="shared" si="201"/>
        <v>31.728545663716901</v>
      </c>
      <c r="BM176" s="62">
        <f t="shared" si="202"/>
        <v>54.543777403835236</v>
      </c>
    </row>
    <row r="177" spans="14:65" x14ac:dyDescent="0.3">
      <c r="N177" s="11">
        <v>59</v>
      </c>
      <c r="O177" s="51">
        <f t="shared" si="154"/>
        <v>389.04514499428063</v>
      </c>
      <c r="P177" s="49" t="str">
        <f t="shared" si="155"/>
        <v>27.9103246607183</v>
      </c>
      <c r="Q177" s="18" t="str">
        <f t="shared" si="156"/>
        <v>1+1.20076335202651i</v>
      </c>
      <c r="R177" s="18">
        <f t="shared" si="168"/>
        <v>1.5626364348657495</v>
      </c>
      <c r="S177" s="18">
        <f t="shared" si="169"/>
        <v>0.87637078237372734</v>
      </c>
      <c r="T177" s="18" t="str">
        <f t="shared" si="157"/>
        <v>1+0.00107555480509735i</v>
      </c>
      <c r="U177" s="18">
        <f t="shared" si="170"/>
        <v>1.0000005784089021</v>
      </c>
      <c r="V177" s="18">
        <f t="shared" si="171"/>
        <v>1.0755543903572019E-3</v>
      </c>
      <c r="W177" s="32" t="str">
        <f t="shared" si="158"/>
        <v>1-0.0141838035464578i</v>
      </c>
      <c r="X177" s="18">
        <f t="shared" si="172"/>
        <v>1.0001005850828428</v>
      </c>
      <c r="Y177" s="18">
        <f t="shared" si="173"/>
        <v>-1.4182852494050914E-2</v>
      </c>
      <c r="Z177" s="32" t="str">
        <f t="shared" si="159"/>
        <v>0.999996872807338+0.00648610658549152i</v>
      </c>
      <c r="AA177" s="18">
        <f t="shared" si="174"/>
        <v>1.0000179074412086</v>
      </c>
      <c r="AB177" s="18">
        <f t="shared" si="175"/>
        <v>6.4860359143787223E-3</v>
      </c>
      <c r="AC177" s="67" t="str">
        <f t="shared" si="176"/>
        <v>11.1599102659833-13.9472781094248i</v>
      </c>
      <c r="AD177" s="65">
        <f t="shared" si="177"/>
        <v>25.038861952933502</v>
      </c>
      <c r="AE177" s="62">
        <f t="shared" si="178"/>
        <v>-51.334962464418346</v>
      </c>
      <c r="AF177" s="50" t="str">
        <f t="shared" si="160"/>
        <v>79.1527877025864</v>
      </c>
      <c r="AG177" s="50" t="str">
        <f t="shared" si="161"/>
        <v>1+1.19138378410784i</v>
      </c>
      <c r="AH177" s="50">
        <f t="shared" si="179"/>
        <v>1.5554405552881525</v>
      </c>
      <c r="AI177" s="50">
        <f t="shared" si="180"/>
        <v>0.87251180221157387</v>
      </c>
      <c r="AJ177" s="50" t="str">
        <f t="shared" si="162"/>
        <v>1+0.00107555480509735i</v>
      </c>
      <c r="AK177" s="50">
        <f t="shared" si="181"/>
        <v>1.0000005784089021</v>
      </c>
      <c r="AL177" s="50">
        <f t="shared" si="182"/>
        <v>1.0755543903572019E-3</v>
      </c>
      <c r="AM177" s="50" t="str">
        <f t="shared" si="163"/>
        <v>1-0.00496232221376358i</v>
      </c>
      <c r="AN177" s="50">
        <f t="shared" si="183"/>
        <v>1.000012312245081</v>
      </c>
      <c r="AO177" s="50">
        <f t="shared" si="184"/>
        <v>-4.9622814825631134E-3</v>
      </c>
      <c r="AP177" s="59" t="str">
        <f t="shared" si="185"/>
        <v>32.5646173119332-39.1046054766621i</v>
      </c>
      <c r="AQ177" s="50">
        <f t="shared" si="186"/>
        <v>34.132367901960315</v>
      </c>
      <c r="AR177" s="62">
        <f t="shared" si="187"/>
        <v>-50.21393690057895</v>
      </c>
      <c r="AS177" s="32" t="str">
        <f t="shared" si="164"/>
        <v>-0.0000166666666666667</v>
      </c>
      <c r="AT177" s="32" t="str">
        <f t="shared" si="165"/>
        <v>8.31110531211589E-06i</v>
      </c>
      <c r="AU177" s="32">
        <f t="shared" si="188"/>
        <v>8.3111053121158908E-6</v>
      </c>
      <c r="AV177" s="32">
        <f t="shared" si="189"/>
        <v>1.5707963267948966</v>
      </c>
      <c r="AW177" s="32" t="str">
        <f t="shared" si="166"/>
        <v>1+0.0084462686164998i</v>
      </c>
      <c r="AX177" s="32">
        <f t="shared" si="190"/>
        <v>1.0000356690906291</v>
      </c>
      <c r="AY177" s="32">
        <f t="shared" si="191"/>
        <v>8.4460677743673218E-3</v>
      </c>
      <c r="AZ177" s="32" t="str">
        <f t="shared" si="167"/>
        <v>1+0.287173132960993i</v>
      </c>
      <c r="BA177" s="32">
        <f t="shared" si="192"/>
        <v>1.0404174202187466</v>
      </c>
      <c r="BB177" s="32">
        <f t="shared" si="193"/>
        <v>0.27964788420910658</v>
      </c>
      <c r="BC177" s="59" t="str">
        <f t="shared" si="194"/>
        <v>-0.558904764717706+2.01006965256907i</v>
      </c>
      <c r="BD177" s="50">
        <f t="shared" si="195"/>
        <v>6.3876417758615043</v>
      </c>
      <c r="BE177" s="62">
        <f t="shared" si="196"/>
        <v>105.53871947799232</v>
      </c>
      <c r="BF177" s="59" t="str">
        <f t="shared" si="197"/>
        <v>21.7976734422156+30.2273971412475i</v>
      </c>
      <c r="BG177" s="65">
        <f t="shared" si="198"/>
        <v>31.426503728795005</v>
      </c>
      <c r="BH177" s="62">
        <f t="shared" si="199"/>
        <v>54.203757013573956</v>
      </c>
      <c r="BI177" s="59" t="str">
        <f t="shared" si="152"/>
        <v>60.4024609674766+87.3128993295548i</v>
      </c>
      <c r="BJ177" s="65">
        <f t="shared" si="200"/>
        <v>40.520009677821818</v>
      </c>
      <c r="BK177" s="62">
        <f t="shared" si="153"/>
        <v>55.324782577413352</v>
      </c>
      <c r="BL177" s="50">
        <f t="shared" si="201"/>
        <v>31.426503728795005</v>
      </c>
      <c r="BM177" s="62">
        <f t="shared" si="202"/>
        <v>54.203757013573956</v>
      </c>
    </row>
    <row r="178" spans="14:65" x14ac:dyDescent="0.3">
      <c r="N178" s="11">
        <v>60</v>
      </c>
      <c r="O178" s="51">
        <f t="shared" si="154"/>
        <v>398.10717055349761</v>
      </c>
      <c r="P178" s="49" t="str">
        <f t="shared" si="155"/>
        <v>27.9103246607183</v>
      </c>
      <c r="Q178" s="18" t="str">
        <f t="shared" si="156"/>
        <v>1+1.22873272351627i</v>
      </c>
      <c r="R178" s="18">
        <f t="shared" si="168"/>
        <v>1.5842298147174576</v>
      </c>
      <c r="S178" s="18">
        <f t="shared" si="169"/>
        <v>0.88766915304188931</v>
      </c>
      <c r="T178" s="18" t="str">
        <f t="shared" si="157"/>
        <v>1+0.00110060769487001i</v>
      </c>
      <c r="U178" s="18">
        <f t="shared" si="170"/>
        <v>1.0000006056684656</v>
      </c>
      <c r="V178" s="18">
        <f t="shared" si="171"/>
        <v>1.1006072504679493E-3</v>
      </c>
      <c r="W178" s="32" t="str">
        <f t="shared" si="158"/>
        <v>1-0.0145141867729771i</v>
      </c>
      <c r="X178" s="18">
        <f t="shared" si="172"/>
        <v>1.000105325262135</v>
      </c>
      <c r="Y178" s="18">
        <f t="shared" si="173"/>
        <v>-1.4513167707759117E-2</v>
      </c>
      <c r="Z178" s="32" t="str">
        <f t="shared" si="159"/>
        <v>0.999996725427288+0.00663718741611951i</v>
      </c>
      <c r="AA178" s="18">
        <f t="shared" si="174"/>
        <v>1.0000187513852405</v>
      </c>
      <c r="AB178" s="18">
        <f t="shared" si="175"/>
        <v>6.637111690733874E-3</v>
      </c>
      <c r="AC178" s="67" t="str">
        <f t="shared" si="176"/>
        <v>10.8453725980514-13.8856683588733i</v>
      </c>
      <c r="AD178" s="65">
        <f t="shared" si="177"/>
        <v>24.919691305939541</v>
      </c>
      <c r="AE178" s="62">
        <f t="shared" si="178"/>
        <v>-52.008457667955419</v>
      </c>
      <c r="AF178" s="50" t="str">
        <f t="shared" si="160"/>
        <v>79.1527877025864</v>
      </c>
      <c r="AG178" s="50" t="str">
        <f t="shared" si="161"/>
        <v>1+1.21913467739447i</v>
      </c>
      <c r="AH178" s="50">
        <f t="shared" si="179"/>
        <v>1.5767971846834705</v>
      </c>
      <c r="AI178" s="50">
        <f t="shared" si="180"/>
        <v>0.88382686532043475</v>
      </c>
      <c r="AJ178" s="50" t="str">
        <f t="shared" si="162"/>
        <v>1+0.00110060769487001i</v>
      </c>
      <c r="AK178" s="50">
        <f t="shared" si="181"/>
        <v>1.0000006056684656</v>
      </c>
      <c r="AL178" s="50">
        <f t="shared" si="182"/>
        <v>1.1006072504679493E-3</v>
      </c>
      <c r="AM178" s="50" t="str">
        <f t="shared" si="163"/>
        <v>1-0.00507790954678338i</v>
      </c>
      <c r="AN178" s="50">
        <f t="shared" si="183"/>
        <v>1.0000128924995744</v>
      </c>
      <c r="AO178" s="50">
        <f t="shared" si="184"/>
        <v>-5.0778659025461446E-3</v>
      </c>
      <c r="AP178" s="59" t="str">
        <f t="shared" si="185"/>
        <v>31.6815210558229-38.9388554808703i</v>
      </c>
      <c r="AQ178" s="50">
        <f t="shared" si="186"/>
        <v>34.013924825744233</v>
      </c>
      <c r="AR178" s="62">
        <f t="shared" si="187"/>
        <v>-50.867429337934261</v>
      </c>
      <c r="AS178" s="32" t="str">
        <f t="shared" si="164"/>
        <v>-0.0000166666666666667</v>
      </c>
      <c r="AT178" s="32" t="str">
        <f t="shared" si="165"/>
        <v>8.50469582399555E-06i</v>
      </c>
      <c r="AU178" s="32">
        <f t="shared" si="188"/>
        <v>8.5046958239955499E-6</v>
      </c>
      <c r="AV178" s="32">
        <f t="shared" si="189"/>
        <v>1.5707963267948966</v>
      </c>
      <c r="AW178" s="32" t="str">
        <f t="shared" si="166"/>
        <v>1+0.00864300748618508i</v>
      </c>
      <c r="AX178" s="32">
        <f t="shared" si="190"/>
        <v>1.0000373500916884</v>
      </c>
      <c r="AY178" s="32">
        <f t="shared" si="191"/>
        <v>8.642792280396926E-3</v>
      </c>
      <c r="AZ178" s="32" t="str">
        <f t="shared" si="167"/>
        <v>1+0.293862254530293i</v>
      </c>
      <c r="BA178" s="32">
        <f t="shared" si="192"/>
        <v>1.0422835624903748</v>
      </c>
      <c r="BB178" s="32">
        <f t="shared" si="193"/>
        <v>0.28581636674127003</v>
      </c>
      <c r="BC178" s="59" t="str">
        <f t="shared" si="194"/>
        <v>-0.558902885750459+1.96453227859134i</v>
      </c>
      <c r="BD178" s="50">
        <f t="shared" si="195"/>
        <v>6.2031926457174622</v>
      </c>
      <c r="BE178" s="62">
        <f t="shared" si="196"/>
        <v>105.88087600916303</v>
      </c>
      <c r="BF178" s="59" t="str">
        <f t="shared" si="197"/>
        <v>21.2173336587312+29.0668246585701i</v>
      </c>
      <c r="BG178" s="65">
        <f t="shared" si="198"/>
        <v>31.122883951657002</v>
      </c>
      <c r="BH178" s="62">
        <f t="shared" si="199"/>
        <v>53.872418341207542</v>
      </c>
      <c r="BI178" s="59" t="str">
        <f t="shared" ref="BI178:BI241" si="203">IMPRODUCT(AP178,BC178)</f>
        <v>58.7897449405097+84.0024094451138i</v>
      </c>
      <c r="BJ178" s="65">
        <f t="shared" si="200"/>
        <v>40.217117471461698</v>
      </c>
      <c r="BK178" s="62">
        <f t="shared" ref="BK178:BK241" si="204">(180/PI())*IMARGUMENT(BI178)</f>
        <v>55.013446671228778</v>
      </c>
      <c r="BL178" s="50">
        <f t="shared" si="201"/>
        <v>31.122883951657002</v>
      </c>
      <c r="BM178" s="62">
        <f t="shared" si="202"/>
        <v>53.872418341207542</v>
      </c>
    </row>
    <row r="179" spans="14:65" x14ac:dyDescent="0.3">
      <c r="N179" s="11">
        <v>61</v>
      </c>
      <c r="O179" s="51">
        <f t="shared" si="154"/>
        <v>407.38027780411272</v>
      </c>
      <c r="P179" s="49" t="str">
        <f t="shared" si="155"/>
        <v>27.9103246607183</v>
      </c>
      <c r="Q179" s="18" t="str">
        <f t="shared" si="156"/>
        <v>1+1.25735358536025i</v>
      </c>
      <c r="R179" s="18">
        <f t="shared" si="168"/>
        <v>1.6065298125519725</v>
      </c>
      <c r="S179" s="18">
        <f t="shared" si="169"/>
        <v>0.89891481150536412</v>
      </c>
      <c r="T179" s="18" t="str">
        <f t="shared" si="157"/>
        <v>1+0.00112624414141076i</v>
      </c>
      <c r="U179" s="18">
        <f t="shared" si="170"/>
        <v>1.0000006342127319</v>
      </c>
      <c r="V179" s="18">
        <f t="shared" si="171"/>
        <v>1.126243665225389E-3</v>
      </c>
      <c r="W179" s="32" t="str">
        <f t="shared" si="158"/>
        <v>1-0.0148522656134415i</v>
      </c>
      <c r="X179" s="18">
        <f t="shared" si="172"/>
        <v>1.0001102888151148</v>
      </c>
      <c r="Y179" s="18">
        <f t="shared" si="173"/>
        <v>-1.4851173671890585E-2</v>
      </c>
      <c r="Z179" s="32" t="str">
        <f t="shared" si="159"/>
        <v>0.999996571101431+0.0067917873713691i</v>
      </c>
      <c r="AA179" s="18">
        <f t="shared" si="174"/>
        <v>1.00001963510239</v>
      </c>
      <c r="AB179" s="18">
        <f t="shared" si="175"/>
        <v>6.7917062302418193E-3</v>
      </c>
      <c r="AC179" s="67" t="str">
        <f t="shared" si="176"/>
        <v>10.5337629321089-13.8173026655686i</v>
      </c>
      <c r="AD179" s="65">
        <f t="shared" si="177"/>
        <v>24.798314848495068</v>
      </c>
      <c r="AE179" s="62">
        <f t="shared" si="178"/>
        <v>-52.6795415072352</v>
      </c>
      <c r="AF179" s="50" t="str">
        <f t="shared" si="160"/>
        <v>79.1527877025864</v>
      </c>
      <c r="AG179" s="50" t="str">
        <f t="shared" si="161"/>
        <v>1+1.24753197202422i</v>
      </c>
      <c r="AH179" s="50">
        <f t="shared" si="179"/>
        <v>1.5988545966480627</v>
      </c>
      <c r="AI179" s="50">
        <f t="shared" si="180"/>
        <v>0.89509109107281948</v>
      </c>
      <c r="AJ179" s="50" t="str">
        <f t="shared" si="162"/>
        <v>1+0.00112624414141076i</v>
      </c>
      <c r="AK179" s="50">
        <f t="shared" si="181"/>
        <v>1.0000006342127319</v>
      </c>
      <c r="AL179" s="50">
        <f t="shared" si="182"/>
        <v>1.126243665225389E-3</v>
      </c>
      <c r="AM179" s="50" t="str">
        <f t="shared" si="163"/>
        <v>1-0.00519618925465897i</v>
      </c>
      <c r="AN179" s="50">
        <f t="shared" si="183"/>
        <v>1.0000135001002588</v>
      </c>
      <c r="AO179" s="50">
        <f t="shared" si="184"/>
        <v>-5.1961424890503071E-3</v>
      </c>
      <c r="AP179" s="59" t="str">
        <f t="shared" si="185"/>
        <v>30.8063419507969-38.7540440262403i</v>
      </c>
      <c r="AQ179" s="50">
        <f t="shared" si="186"/>
        <v>33.893267671304962</v>
      </c>
      <c r="AR179" s="62">
        <f t="shared" si="187"/>
        <v>-51.518129823883037</v>
      </c>
      <c r="AS179" s="32" t="str">
        <f t="shared" si="164"/>
        <v>-0.0000166666666666667</v>
      </c>
      <c r="AT179" s="32" t="str">
        <f t="shared" si="165"/>
        <v>8.70279563817403E-06i</v>
      </c>
      <c r="AU179" s="32">
        <f t="shared" si="188"/>
        <v>8.7027956381740301E-6</v>
      </c>
      <c r="AV179" s="32">
        <f t="shared" si="189"/>
        <v>1.5707963267948966</v>
      </c>
      <c r="AW179" s="32" t="str">
        <f t="shared" si="166"/>
        <v>1+0.0088443289928433i</v>
      </c>
      <c r="AX179" s="32">
        <f t="shared" si="190"/>
        <v>1.0000391103128585</v>
      </c>
      <c r="AY179" s="32">
        <f t="shared" si="191"/>
        <v>8.8440983961737638E-3</v>
      </c>
      <c r="AZ179" s="32" t="str">
        <f t="shared" si="167"/>
        <v>1+0.300707185756672i</v>
      </c>
      <c r="BA179" s="32">
        <f t="shared" si="192"/>
        <v>1.0442340789141569</v>
      </c>
      <c r="BB179" s="32">
        <f t="shared" si="193"/>
        <v>0.2921054624034351</v>
      </c>
      <c r="BC179" s="59" t="str">
        <f t="shared" si="194"/>
        <v>-0.558900918243758+1.92003652410035i</v>
      </c>
      <c r="BD179" s="50">
        <f t="shared" si="195"/>
        <v>6.0194168320157448</v>
      </c>
      <c r="BE179" s="62">
        <f t="shared" si="196"/>
        <v>106.22968065673498</v>
      </c>
      <c r="BF179" s="59" t="str">
        <f t="shared" si="197"/>
        <v>20.6423960071231+27.9477127133017i</v>
      </c>
      <c r="BG179" s="65">
        <f t="shared" si="198"/>
        <v>30.817731680510811</v>
      </c>
      <c r="BH179" s="62">
        <f t="shared" si="199"/>
        <v>53.550139149499799</v>
      </c>
      <c r="BI179" s="59" t="str">
        <f t="shared" si="203"/>
        <v>57.1914871829428+80.8089725113796i</v>
      </c>
      <c r="BJ179" s="65">
        <f t="shared" si="200"/>
        <v>39.912684503320712</v>
      </c>
      <c r="BK179" s="62">
        <f t="shared" si="204"/>
        <v>54.711550832851934</v>
      </c>
      <c r="BL179" s="50">
        <f t="shared" si="201"/>
        <v>30.817731680510811</v>
      </c>
      <c r="BM179" s="62">
        <f t="shared" si="202"/>
        <v>53.550139149499799</v>
      </c>
    </row>
    <row r="180" spans="14:65" x14ac:dyDescent="0.3">
      <c r="N180" s="11">
        <v>62</v>
      </c>
      <c r="O180" s="51">
        <f t="shared" si="154"/>
        <v>416.86938347033572</v>
      </c>
      <c r="P180" s="49" t="str">
        <f t="shared" si="155"/>
        <v>27.9103246607183</v>
      </c>
      <c r="Q180" s="18" t="str">
        <f t="shared" si="156"/>
        <v>1+1.28664111271822i</v>
      </c>
      <c r="R180" s="18">
        <f t="shared" si="168"/>
        <v>1.6295537281528274</v>
      </c>
      <c r="S180" s="18">
        <f t="shared" si="169"/>
        <v>0.9101023435777672</v>
      </c>
      <c r="T180" s="18" t="str">
        <f t="shared" si="157"/>
        <v>1+0.00115247773750289i</v>
      </c>
      <c r="U180" s="18">
        <f t="shared" si="170"/>
        <v>1.0000006641022472</v>
      </c>
      <c r="V180" s="18">
        <f t="shared" si="171"/>
        <v>1.1524772272610902E-3</v>
      </c>
      <c r="W180" s="32" t="str">
        <f t="shared" si="158"/>
        <v>1-0.0151982193217272i</v>
      </c>
      <c r="X180" s="18">
        <f t="shared" si="172"/>
        <v>1.0001154862667367</v>
      </c>
      <c r="Y180" s="18">
        <f t="shared" si="173"/>
        <v>-1.5197049292572089E-2</v>
      </c>
      <c r="Z180" s="32" t="str">
        <f t="shared" si="159"/>
        <v>0.99999640950242+0.00694998842218294i</v>
      </c>
      <c r="AA180" s="18">
        <f t="shared" si="174"/>
        <v>1.0000205604670336</v>
      </c>
      <c r="AB180" s="18">
        <f t="shared" si="175"/>
        <v>6.9499014779943495E-3</v>
      </c>
      <c r="AC180" s="67" t="str">
        <f t="shared" si="176"/>
        <v>10.2253661364252-13.7423519986442i</v>
      </c>
      <c r="AD180" s="65">
        <f t="shared" si="177"/>
        <v>24.674754310376571</v>
      </c>
      <c r="AE180" s="62">
        <f t="shared" si="178"/>
        <v>-53.347917939101848</v>
      </c>
      <c r="AF180" s="50" t="str">
        <f t="shared" si="160"/>
        <v>79.1527877025864</v>
      </c>
      <c r="AG180" s="50" t="str">
        <f t="shared" si="161"/>
        <v>1+1.27659072461858i</v>
      </c>
      <c r="AH180" s="50">
        <f t="shared" si="179"/>
        <v>1.6216300065619749</v>
      </c>
      <c r="AI180" s="50">
        <f t="shared" si="180"/>
        <v>0.90629901870640894</v>
      </c>
      <c r="AJ180" s="50" t="str">
        <f t="shared" si="162"/>
        <v>1+0.00115247773750289i</v>
      </c>
      <c r="AK180" s="50">
        <f t="shared" si="181"/>
        <v>1.0000006641022472</v>
      </c>
      <c r="AL180" s="50">
        <f t="shared" si="182"/>
        <v>1.1524772272610902E-3</v>
      </c>
      <c r="AM180" s="50" t="str">
        <f t="shared" si="163"/>
        <v>1-0.00531722405085709i</v>
      </c>
      <c r="AN180" s="50">
        <f t="shared" si="183"/>
        <v>1.0000141363358854</v>
      </c>
      <c r="AO180" s="50">
        <f t="shared" si="184"/>
        <v>-5.3171739406428446E-3</v>
      </c>
      <c r="AP180" s="59" t="str">
        <f t="shared" si="185"/>
        <v>29.9398888342805-38.55063566273i</v>
      </c>
      <c r="AQ180" s="50">
        <f t="shared" si="186"/>
        <v>33.770417415598722</v>
      </c>
      <c r="AR180" s="62">
        <f t="shared" si="187"/>
        <v>-52.165728293354114</v>
      </c>
      <c r="AS180" s="32" t="str">
        <f t="shared" si="164"/>
        <v>-0.0000166666666666667</v>
      </c>
      <c r="AT180" s="32" t="str">
        <f t="shared" si="165"/>
        <v>8.90550978979501E-06i</v>
      </c>
      <c r="AU180" s="32">
        <f t="shared" si="188"/>
        <v>8.9055097897950102E-6</v>
      </c>
      <c r="AV180" s="32">
        <f t="shared" si="189"/>
        <v>1.5707963267948966</v>
      </c>
      <c r="AW180" s="32" t="str">
        <f t="shared" si="166"/>
        <v>1+0.00905033987980207i</v>
      </c>
      <c r="AX180" s="32">
        <f t="shared" si="190"/>
        <v>1.000040953487376</v>
      </c>
      <c r="AY180" s="32">
        <f t="shared" si="191"/>
        <v>9.0500927915654374E-3</v>
      </c>
      <c r="AZ180" s="32" t="str">
        <f t="shared" si="167"/>
        <v>1+0.30771155591327i</v>
      </c>
      <c r="BA180" s="32">
        <f t="shared" si="192"/>
        <v>1.0462726230015604</v>
      </c>
      <c r="BB180" s="32">
        <f t="shared" si="193"/>
        <v>0.2985165150010059</v>
      </c>
      <c r="BC180" s="59" t="str">
        <f t="shared" si="194"/>
        <v>-0.558898858026169+1.87655879674864i</v>
      </c>
      <c r="BD180" s="50">
        <f t="shared" si="195"/>
        <v>5.8363408066030198</v>
      </c>
      <c r="BE180" s="62">
        <f t="shared" si="196"/>
        <v>106.5852043033528</v>
      </c>
      <c r="BF180" s="59" t="str">
        <f t="shared" si="197"/>
        <v>20.0733860745245+26.8690856119202i</v>
      </c>
      <c r="BG180" s="65">
        <f t="shared" si="198"/>
        <v>30.511095116979575</v>
      </c>
      <c r="BH180" s="62">
        <f t="shared" si="199"/>
        <v>53.237286364250942</v>
      </c>
      <c r="BI180" s="59" t="str">
        <f t="shared" si="203"/>
        <v>55.609164794238+77.7298680137282i</v>
      </c>
      <c r="BJ180" s="65">
        <f t="shared" si="200"/>
        <v>39.606758222201741</v>
      </c>
      <c r="BK180" s="62">
        <f t="shared" si="204"/>
        <v>54.419476009998696</v>
      </c>
      <c r="BL180" s="50">
        <f t="shared" si="201"/>
        <v>30.511095116979575</v>
      </c>
      <c r="BM180" s="62">
        <f t="shared" si="202"/>
        <v>53.237286364250942</v>
      </c>
    </row>
    <row r="181" spans="14:65" x14ac:dyDescent="0.3">
      <c r="N181" s="11">
        <v>63</v>
      </c>
      <c r="O181" s="51">
        <f t="shared" si="154"/>
        <v>426.57951880159294</v>
      </c>
      <c r="P181" s="49" t="str">
        <f t="shared" si="155"/>
        <v>27.9103246607183</v>
      </c>
      <c r="Q181" s="18" t="str">
        <f t="shared" si="156"/>
        <v>1+1.31661083422487i</v>
      </c>
      <c r="R181" s="18">
        <f t="shared" si="168"/>
        <v>1.6533191128146763</v>
      </c>
      <c r="S181" s="18">
        <f t="shared" si="169"/>
        <v>0.92122647968252813</v>
      </c>
      <c r="T181" s="18" t="str">
        <f t="shared" si="157"/>
        <v>1+0.00117932239254628i</v>
      </c>
      <c r="U181" s="18">
        <f t="shared" si="170"/>
        <v>1.000000695400411</v>
      </c>
      <c r="V181" s="18">
        <f t="shared" si="171"/>
        <v>1.1793218458123619E-3</v>
      </c>
      <c r="W181" s="32" t="str">
        <f t="shared" si="158"/>
        <v>1-0.0155522313270693i</v>
      </c>
      <c r="X181" s="18">
        <f t="shared" si="172"/>
        <v>1.0001209286377577</v>
      </c>
      <c r="Y181" s="18">
        <f t="shared" si="173"/>
        <v>-1.5550977626429024E-2</v>
      </c>
      <c r="Z181" s="32" t="str">
        <f t="shared" si="159"/>
        <v>0.999996240287482+0.00711187444885217i</v>
      </c>
      <c r="AA181" s="18">
        <f t="shared" si="174"/>
        <v>1.0000215294418793</v>
      </c>
      <c r="AB181" s="18">
        <f t="shared" si="175"/>
        <v>7.1117812865830379E-3</v>
      </c>
      <c r="AC181" s="67" t="str">
        <f t="shared" si="176"/>
        <v>9.9204545005007-13.6610014682811i</v>
      </c>
      <c r="AD181" s="65">
        <f t="shared" si="177"/>
        <v>24.549033389476435</v>
      </c>
      <c r="AE181" s="62">
        <f t="shared" si="178"/>
        <v>-54.013299534888702</v>
      </c>
      <c r="AF181" s="50" t="str">
        <f t="shared" si="160"/>
        <v>79.1527877025864</v>
      </c>
      <c r="AG181" s="50" t="str">
        <f t="shared" si="161"/>
        <v>1+1.3063263425128i</v>
      </c>
      <c r="AH181" s="50">
        <f t="shared" si="179"/>
        <v>1.6451408794212334</v>
      </c>
      <c r="AI181" s="50">
        <f t="shared" si="180"/>
        <v>0.91744532811029478</v>
      </c>
      <c r="AJ181" s="50" t="str">
        <f t="shared" si="162"/>
        <v>1+0.00117932239254628i</v>
      </c>
      <c r="AK181" s="50">
        <f t="shared" si="181"/>
        <v>1.000000695400411</v>
      </c>
      <c r="AL181" s="50">
        <f t="shared" si="182"/>
        <v>1.1793218458123619E-3</v>
      </c>
      <c r="AM181" s="50" t="str">
        <f t="shared" si="163"/>
        <v>1-0.00544107810962875i</v>
      </c>
      <c r="AN181" s="50">
        <f t="shared" si="183"/>
        <v>1.0000148025559397</v>
      </c>
      <c r="AO181" s="50">
        <f t="shared" si="184"/>
        <v>-5.441024415609722E-3</v>
      </c>
      <c r="AP181" s="59" t="str">
        <f t="shared" si="185"/>
        <v>29.0829361970253-38.3291355173077i</v>
      </c>
      <c r="AQ181" s="50">
        <f t="shared" si="186"/>
        <v>33.645397030524407</v>
      </c>
      <c r="AR181" s="62">
        <f t="shared" si="187"/>
        <v>-52.809922805504357</v>
      </c>
      <c r="AS181" s="32" t="str">
        <f t="shared" si="164"/>
        <v>-0.0000166666666666667</v>
      </c>
      <c r="AT181" s="32" t="str">
        <f t="shared" si="165"/>
        <v>9.11294576058488E-06i</v>
      </c>
      <c r="AU181" s="32">
        <f t="shared" si="188"/>
        <v>9.1129457605848801E-6</v>
      </c>
      <c r="AV181" s="32">
        <f t="shared" si="189"/>
        <v>1.5707963267948966</v>
      </c>
      <c r="AW181" s="32" t="str">
        <f t="shared" si="166"/>
        <v>1+0.00926114937676049i</v>
      </c>
      <c r="AX181" s="32">
        <f t="shared" si="190"/>
        <v>1.0000428835243911</v>
      </c>
      <c r="AY181" s="32">
        <f t="shared" si="191"/>
        <v>9.2608846175580191E-3</v>
      </c>
      <c r="AZ181" s="32" t="str">
        <f t="shared" si="167"/>
        <v>1+0.314879078809857i</v>
      </c>
      <c r="BA181" s="32">
        <f t="shared" si="192"/>
        <v>1.0484029923040776</v>
      </c>
      <c r="BB181" s="32">
        <f t="shared" si="193"/>
        <v>0.30505081494546249</v>
      </c>
      <c r="BC181" s="59" t="str">
        <f t="shared" si="194"/>
        <v>-0.558896700729798+1.83407604395234i</v>
      </c>
      <c r="BD181" s="50">
        <f t="shared" si="195"/>
        <v>5.6539918471433017</v>
      </c>
      <c r="BE181" s="62">
        <f t="shared" si="196"/>
        <v>106.94751463025761</v>
      </c>
      <c r="BF181" s="59" t="str">
        <f t="shared" si="197"/>
        <v>19.5108062393022+25.8299565937747i</v>
      </c>
      <c r="BG181" s="65">
        <f t="shared" si="198"/>
        <v>30.203025236619734</v>
      </c>
      <c r="BH181" s="62">
        <f t="shared" si="199"/>
        <v>52.934215095368863</v>
      </c>
      <c r="BI181" s="59" t="str">
        <f t="shared" si="203"/>
        <v>54.0441921496442+74.7623439492071i</v>
      </c>
      <c r="BJ181" s="65">
        <f t="shared" si="200"/>
        <v>39.299388877667717</v>
      </c>
      <c r="BK181" s="62">
        <f t="shared" si="204"/>
        <v>54.137591824753258</v>
      </c>
      <c r="BL181" s="50">
        <f t="shared" si="201"/>
        <v>30.203025236619734</v>
      </c>
      <c r="BM181" s="62">
        <f t="shared" si="202"/>
        <v>52.934215095368863</v>
      </c>
    </row>
    <row r="182" spans="14:65" x14ac:dyDescent="0.3">
      <c r="N182" s="11">
        <v>64</v>
      </c>
      <c r="O182" s="51">
        <f t="shared" si="154"/>
        <v>436.51583224016622</v>
      </c>
      <c r="P182" s="49" t="str">
        <f t="shared" si="155"/>
        <v>27.9103246607183</v>
      </c>
      <c r="Q182" s="18" t="str">
        <f t="shared" si="156"/>
        <v>1+1.34727864022322i</v>
      </c>
      <c r="R182" s="18">
        <f t="shared" si="168"/>
        <v>1.6778437753264541</v>
      </c>
      <c r="S182" s="18">
        <f t="shared" si="169"/>
        <v>0.93228210589769145</v>
      </c>
      <c r="T182" s="18" t="str">
        <f t="shared" si="157"/>
        <v>1+0.00120679233993238i</v>
      </c>
      <c r="U182" s="18">
        <f t="shared" si="170"/>
        <v>1.0000007281736107</v>
      </c>
      <c r="V182" s="18">
        <f t="shared" si="171"/>
        <v>1.2067917540964548E-3</v>
      </c>
      <c r="W182" s="32" t="str">
        <f t="shared" si="158"/>
        <v>1-0.0159144893313192i</v>
      </c>
      <c r="X182" s="18">
        <f t="shared" si="172"/>
        <v>1.0001266274680805</v>
      </c>
      <c r="Y182" s="18">
        <f t="shared" si="173"/>
        <v>-1.5913145976066103E-2</v>
      </c>
      <c r="Z182" s="32" t="str">
        <f t="shared" si="159"/>
        <v>0.99999606309769+0.00727753128549097i</v>
      </c>
      <c r="AA182" s="18">
        <f t="shared" si="174"/>
        <v>1.0000225440821275</v>
      </c>
      <c r="AB182" s="18">
        <f t="shared" si="175"/>
        <v>7.2774314604416024E-3</v>
      </c>
      <c r="AC182" s="67" t="str">
        <f t="shared" si="176"/>
        <v>9.61928689594157-13.5734492469933i</v>
      </c>
      <c r="AD182" s="65">
        <f t="shared" si="177"/>
        <v>24.421177660268476</v>
      </c>
      <c r="AE182" s="62">
        <f t="shared" si="178"/>
        <v>-54.67540812082845</v>
      </c>
      <c r="AF182" s="50" t="str">
        <f t="shared" si="160"/>
        <v>79.1527877025864</v>
      </c>
      <c r="AG182" s="50" t="str">
        <f t="shared" si="161"/>
        <v>1+1.33675459192509i</v>
      </c>
      <c r="AH182" s="50">
        <f t="shared" si="179"/>
        <v>1.6694049356081386</v>
      </c>
      <c r="AI182" s="50">
        <f t="shared" si="180"/>
        <v>0.92852485116523997</v>
      </c>
      <c r="AJ182" s="50" t="str">
        <f t="shared" si="162"/>
        <v>1+0.00120679233993238i</v>
      </c>
      <c r="AK182" s="50">
        <f t="shared" si="181"/>
        <v>1.0000007281736107</v>
      </c>
      <c r="AL182" s="50">
        <f t="shared" si="182"/>
        <v>1.2067917540964548E-3</v>
      </c>
      <c r="AM182" s="50" t="str">
        <f t="shared" si="163"/>
        <v>1-0.0055678171000353i</v>
      </c>
      <c r="AN182" s="50">
        <f t="shared" si="183"/>
        <v>1.000015500173502</v>
      </c>
      <c r="AO182" s="50">
        <f t="shared" si="184"/>
        <v>-5.5677595659054998E-3</v>
      </c>
      <c r="AP182" s="59" t="str">
        <f t="shared" si="185"/>
        <v>28.2362217359446-38.0900863311411i</v>
      </c>
      <c r="AQ182" s="50">
        <f t="shared" si="186"/>
        <v>33.518231393303942</v>
      </c>
      <c r="AR182" s="62">
        <f t="shared" si="187"/>
        <v>-53.450420194990208</v>
      </c>
      <c r="AS182" s="32" t="str">
        <f t="shared" si="164"/>
        <v>-0.0000166666666666667</v>
      </c>
      <c r="AT182" s="32" t="str">
        <f t="shared" si="165"/>
        <v>9.32521353584112E-06i</v>
      </c>
      <c r="AU182" s="32">
        <f t="shared" si="188"/>
        <v>9.3252135358411204E-6</v>
      </c>
      <c r="AV182" s="32">
        <f t="shared" si="189"/>
        <v>1.5707963267948966</v>
      </c>
      <c r="AW182" s="32" t="str">
        <f t="shared" si="166"/>
        <v>1+0.00947686925770427i</v>
      </c>
      <c r="AX182" s="32">
        <f t="shared" si="190"/>
        <v>1.0000449045172559</v>
      </c>
      <c r="AY182" s="32">
        <f t="shared" si="191"/>
        <v>9.4765855637955754E-3</v>
      </c>
      <c r="AZ182" s="32" t="str">
        <f t="shared" si="167"/>
        <v>1+0.322213554761945i</v>
      </c>
      <c r="BA182" s="32">
        <f t="shared" si="192"/>
        <v>1.0506291328876851</v>
      </c>
      <c r="BB182" s="32">
        <f t="shared" si="193"/>
        <v>0.3117095940396839</v>
      </c>
      <c r="BC182" s="59" t="str">
        <f t="shared" si="194"/>
        <v>-0.558894441781026+1.79256574066792i</v>
      </c>
      <c r="BD182" s="50">
        <f t="shared" si="195"/>
        <v>5.4723980410480557</v>
      </c>
      <c r="BE182" s="62">
        <f t="shared" si="196"/>
        <v>107.31667581521006</v>
      </c>
      <c r="BF182" s="59" t="str">
        <f t="shared" si="197"/>
        <v>18.9551341228162+24.8293294792621i</v>
      </c>
      <c r="BG182" s="65">
        <f t="shared" si="198"/>
        <v>29.893575701316536</v>
      </c>
      <c r="BH182" s="62">
        <f t="shared" si="199"/>
        <v>52.641267694381533</v>
      </c>
      <c r="BI182" s="59" t="str">
        <f t="shared" si="203"/>
        <v>52.4979164311709+71.9036212671913i</v>
      </c>
      <c r="BJ182" s="65">
        <f t="shared" si="200"/>
        <v>38.990629434351987</v>
      </c>
      <c r="BK182" s="62">
        <f t="shared" si="204"/>
        <v>53.86625562021986</v>
      </c>
      <c r="BL182" s="50">
        <f t="shared" si="201"/>
        <v>29.893575701316536</v>
      </c>
      <c r="BM182" s="62">
        <f t="shared" si="202"/>
        <v>52.641267694381533</v>
      </c>
    </row>
    <row r="183" spans="14:65" x14ac:dyDescent="0.3">
      <c r="N183" s="11">
        <v>65</v>
      </c>
      <c r="O183" s="51">
        <f t="shared" si="154"/>
        <v>446.68359215096331</v>
      </c>
      <c r="P183" s="49" t="str">
        <f t="shared" si="155"/>
        <v>27.9103246607183</v>
      </c>
      <c r="Q183" s="18" t="str">
        <f t="shared" si="156"/>
        <v>1+1.37866079118997i</v>
      </c>
      <c r="R183" s="18">
        <f t="shared" si="168"/>
        <v>1.7031457885819858</v>
      </c>
      <c r="S183" s="18">
        <f t="shared" si="169"/>
        <v>0.94326427410334013</v>
      </c>
      <c r="T183" s="18" t="str">
        <f t="shared" si="157"/>
        <v>1+0.0012349021445909i</v>
      </c>
      <c r="U183" s="18">
        <f t="shared" si="170"/>
        <v>1.0000007624913627</v>
      </c>
      <c r="V183" s="18">
        <f t="shared" si="171"/>
        <v>1.2349015168564223E-3</v>
      </c>
      <c r="W183" s="32" t="str">
        <f t="shared" si="158"/>
        <v>1-0.0162851854084658i</v>
      </c>
      <c r="X183" s="18">
        <f t="shared" si="172"/>
        <v>1.0001325948411981</v>
      </c>
      <c r="Y183" s="18">
        <f t="shared" si="173"/>
        <v>-1.6283745987684946E-2</v>
      </c>
      <c r="Z183" s="32" t="str">
        <f t="shared" si="159"/>
        <v>0.9999958775572+0.00744704676554685i</v>
      </c>
      <c r="AA183" s="18">
        <f t="shared" si="174"/>
        <v>1.0000236065398269</v>
      </c>
      <c r="AB183" s="18">
        <f t="shared" si="175"/>
        <v>7.4469398012145414E-3</v>
      </c>
      <c r="AC183" s="67" t="str">
        <f t="shared" si="176"/>
        <v>9.32210804291937-13.4799054389178i</v>
      </c>
      <c r="AD183" s="65">
        <f t="shared" si="177"/>
        <v>24.291214476733916</v>
      </c>
      <c r="AE183" s="62">
        <f t="shared" si="178"/>
        <v>-55.333975367217413</v>
      </c>
      <c r="AF183" s="50" t="str">
        <f t="shared" si="160"/>
        <v>79.1527877025864</v>
      </c>
      <c r="AG183" s="50" t="str">
        <f t="shared" si="161"/>
        <v>1+1.36789160631607i</v>
      </c>
      <c r="AH183" s="50">
        <f t="shared" si="179"/>
        <v>1.694440157287934</v>
      </c>
      <c r="AI183" s="50">
        <f t="shared" si="180"/>
        <v>0.9395325822013979</v>
      </c>
      <c r="AJ183" s="50" t="str">
        <f t="shared" si="162"/>
        <v>1+0.0012349021445909i</v>
      </c>
      <c r="AK183" s="50">
        <f t="shared" si="181"/>
        <v>1.0000007624913627</v>
      </c>
      <c r="AL183" s="50">
        <f t="shared" si="182"/>
        <v>1.2349015168564223E-3</v>
      </c>
      <c r="AM183" s="50" t="str">
        <f t="shared" si="163"/>
        <v>1-0.00569750822076707i</v>
      </c>
      <c r="AN183" s="50">
        <f t="shared" si="183"/>
        <v>1.0000162306682456</v>
      </c>
      <c r="AO183" s="50">
        <f t="shared" si="184"/>
        <v>-5.6974465718903199E-3</v>
      </c>
      <c r="AP183" s="59" t="str">
        <f t="shared" si="185"/>
        <v>27.4004441989485-37.8340653404213i</v>
      </c>
      <c r="AQ183" s="50">
        <f t="shared" si="186"/>
        <v>33.388947191065938</v>
      </c>
      <c r="AR183" s="62">
        <f t="shared" si="187"/>
        <v>-54.086936672708568</v>
      </c>
      <c r="AS183" s="32" t="str">
        <f t="shared" si="164"/>
        <v>-0.0000166666666666667</v>
      </c>
      <c r="AT183" s="32" t="str">
        <f t="shared" si="165"/>
        <v>9.54242566274785E-06i</v>
      </c>
      <c r="AU183" s="32">
        <f t="shared" si="188"/>
        <v>9.5424256627478501E-6</v>
      </c>
      <c r="AV183" s="32">
        <f t="shared" si="189"/>
        <v>1.5707963267948966</v>
      </c>
      <c r="AW183" s="32" t="str">
        <f t="shared" si="166"/>
        <v>1+0.00969761390016969i</v>
      </c>
      <c r="AX183" s="32">
        <f t="shared" si="190"/>
        <v>1.0000470207522028</v>
      </c>
      <c r="AY183" s="32">
        <f t="shared" si="191"/>
        <v>9.6973099174416811E-3</v>
      </c>
      <c r="AZ183" s="32" t="str">
        <f t="shared" si="167"/>
        <v>1+0.329718872605769i</v>
      </c>
      <c r="BA183" s="32">
        <f t="shared" si="192"/>
        <v>1.0529551438463176</v>
      </c>
      <c r="BB183" s="32">
        <f t="shared" si="193"/>
        <v>0.31849402005662247</v>
      </c>
      <c r="BC183" s="59" t="str">
        <f t="shared" si="194"/>
        <v>-0.558892076390853+1.75200587744845i</v>
      </c>
      <c r="BD183" s="50">
        <f t="shared" si="195"/>
        <v>5.2915882873672517</v>
      </c>
      <c r="BE183" s="62">
        <f t="shared" si="196"/>
        <v>107.69274821849964</v>
      </c>
      <c r="BF183" s="59" t="str">
        <f t="shared" si="197"/>
        <v>18.4068212359862+23.8662004217133i</v>
      </c>
      <c r="BG183" s="65">
        <f t="shared" si="198"/>
        <v>29.58280276410116</v>
      </c>
      <c r="BH183" s="62">
        <f t="shared" si="199"/>
        <v>52.358772851282268</v>
      </c>
      <c r="BI183" s="59" t="str">
        <f t="shared" si="203"/>
        <v>50.9716136918048+69.1508986176713i</v>
      </c>
      <c r="BJ183" s="65">
        <f t="shared" si="200"/>
        <v>38.680535478433185</v>
      </c>
      <c r="BK183" s="62">
        <f t="shared" si="204"/>
        <v>53.60581154579107</v>
      </c>
      <c r="BL183" s="50">
        <f t="shared" si="201"/>
        <v>29.58280276410116</v>
      </c>
      <c r="BM183" s="62">
        <f t="shared" si="202"/>
        <v>52.358772851282268</v>
      </c>
    </row>
    <row r="184" spans="14:65" x14ac:dyDescent="0.3">
      <c r="N184" s="11">
        <v>66</v>
      </c>
      <c r="O184" s="51">
        <f t="shared" ref="O184:O218" si="205">10^(2+(N184/100))</f>
        <v>457.0881896148756</v>
      </c>
      <c r="P184" s="49" t="str">
        <f t="shared" si="155"/>
        <v>27.9103246607183</v>
      </c>
      <c r="Q184" s="18" t="str">
        <f t="shared" si="156"/>
        <v>1+1.41077392635693i</v>
      </c>
      <c r="R184" s="18">
        <f t="shared" si="168"/>
        <v>1.7292434968183483</v>
      </c>
      <c r="S184" s="18">
        <f t="shared" si="169"/>
        <v>0.954168211193959</v>
      </c>
      <c r="T184" s="18" t="str">
        <f t="shared" si="157"/>
        <v>1+0.00126366671071234i</v>
      </c>
      <c r="U184" s="18">
        <f t="shared" si="170"/>
        <v>1.0000007984264592</v>
      </c>
      <c r="V184" s="18">
        <f t="shared" si="171"/>
        <v>1.2636660380827577E-3</v>
      </c>
      <c r="W184" s="32" t="str">
        <f t="shared" si="158"/>
        <v>1-0.0166645161064759i</v>
      </c>
      <c r="X184" s="18">
        <f t="shared" si="172"/>
        <v>1.0001388434097853</v>
      </c>
      <c r="Y184" s="18">
        <f t="shared" si="173"/>
        <v>-1.6662973750884883E-2</v>
      </c>
      <c r="Z184" s="32" t="str">
        <f t="shared" si="159"/>
        <v>0.999995683272457+0.00762051076837115i</v>
      </c>
      <c r="AA184" s="18">
        <f t="shared" si="174"/>
        <v>1.0000247190684433</v>
      </c>
      <c r="AB184" s="18">
        <f t="shared" si="175"/>
        <v>7.6203961541758377E-3</v>
      </c>
      <c r="AC184" s="67" t="str">
        <f t="shared" si="176"/>
        <v>9.02914788505313-13.380590908564i</v>
      </c>
      <c r="AD184" s="65">
        <f t="shared" si="177"/>
        <v>24.159172870506204</v>
      </c>
      <c r="AE184" s="62">
        <f t="shared" si="178"/>
        <v>-55.988743324180206</v>
      </c>
      <c r="AF184" s="50" t="str">
        <f t="shared" si="160"/>
        <v>79.1527877025864</v>
      </c>
      <c r="AG184" s="50" t="str">
        <f t="shared" si="161"/>
        <v>1+1.3997538949429i</v>
      </c>
      <c r="AH184" s="50">
        <f t="shared" si="179"/>
        <v>1.7202647954334878</v>
      </c>
      <c r="AI184" s="50">
        <f t="shared" si="180"/>
        <v>0.95046368753276689</v>
      </c>
      <c r="AJ184" s="50" t="str">
        <f t="shared" si="162"/>
        <v>1+0.00126366671071234i</v>
      </c>
      <c r="AK184" s="50">
        <f t="shared" si="181"/>
        <v>1.0000007984264592</v>
      </c>
      <c r="AL184" s="50">
        <f t="shared" si="182"/>
        <v>1.2636660380827577E-3</v>
      </c>
      <c r="AM184" s="50" t="str">
        <f t="shared" si="163"/>
        <v>1-0.00583022023577293i</v>
      </c>
      <c r="AN184" s="50">
        <f t="shared" si="183"/>
        <v>1.0000169955895737</v>
      </c>
      <c r="AO184" s="50">
        <f t="shared" si="184"/>
        <v>-5.8301541778719808E-3</v>
      </c>
      <c r="AP184" s="59" t="str">
        <f t="shared" si="185"/>
        <v>26.5762615310085-37.561681032752i</v>
      </c>
      <c r="AQ184" s="50">
        <f t="shared" si="186"/>
        <v>33.257572820380965</v>
      </c>
      <c r="AR184" s="62">
        <f t="shared" si="187"/>
        <v>-54.719198373675106</v>
      </c>
      <c r="AS184" s="32" t="str">
        <f t="shared" si="164"/>
        <v>-0.0000166666666666667</v>
      </c>
      <c r="AT184" s="32" t="str">
        <f t="shared" si="165"/>
        <v>9.76469731004991E-06i</v>
      </c>
      <c r="AU184" s="32">
        <f t="shared" si="188"/>
        <v>9.7646973100499102E-6</v>
      </c>
      <c r="AV184" s="32">
        <f t="shared" si="189"/>
        <v>1.5707963267948966</v>
      </c>
      <c r="AW184" s="32" t="str">
        <f t="shared" si="166"/>
        <v>1+0.00992350034588808i</v>
      </c>
      <c r="AX184" s="32">
        <f t="shared" si="190"/>
        <v>1.0000492367174303</v>
      </c>
      <c r="AY184" s="32">
        <f t="shared" si="191"/>
        <v>9.9231746233926828E-3</v>
      </c>
      <c r="AZ184" s="32" t="str">
        <f t="shared" si="167"/>
        <v>1+0.337399011760195i</v>
      </c>
      <c r="BA184" s="32">
        <f t="shared" si="192"/>
        <v>1.0553852818458083</v>
      </c>
      <c r="BB184" s="32">
        <f t="shared" si="193"/>
        <v>0.32540519111669092</v>
      </c>
      <c r="BC184" s="59" t="str">
        <f t="shared" si="194"/>
        <v>-0.558889599544736+1.71237494877324i</v>
      </c>
      <c r="BD184" s="50">
        <f t="shared" si="195"/>
        <v>5.1115922964527556</v>
      </c>
      <c r="BE184" s="62">
        <f t="shared" si="196"/>
        <v>108.07578805734259</v>
      </c>
      <c r="BF184" s="59" t="str">
        <f t="shared" si="197"/>
        <v>17.8662918259004+22.9395597416931i</v>
      </c>
      <c r="BG184" s="65">
        <f t="shared" si="198"/>
        <v>29.270765166958952</v>
      </c>
      <c r="BH184" s="62">
        <f t="shared" si="199"/>
        <v>52.087044733162379</v>
      </c>
      <c r="BI184" s="59" t="str">
        <f t="shared" si="203"/>
        <v>49.466485469834+66.5013573483668i</v>
      </c>
      <c r="BJ184" s="65">
        <f t="shared" si="200"/>
        <v>38.36916511683372</v>
      </c>
      <c r="BK184" s="62">
        <f t="shared" si="204"/>
        <v>53.356589683667472</v>
      </c>
      <c r="BL184" s="50">
        <f t="shared" si="201"/>
        <v>29.270765166958952</v>
      </c>
      <c r="BM184" s="62">
        <f t="shared" si="202"/>
        <v>52.087044733162379</v>
      </c>
    </row>
    <row r="185" spans="14:65" x14ac:dyDescent="0.3">
      <c r="N185" s="11">
        <v>67</v>
      </c>
      <c r="O185" s="51">
        <f t="shared" si="205"/>
        <v>467.7351412871983</v>
      </c>
      <c r="P185" s="49" t="str">
        <f t="shared" si="155"/>
        <v>27.9103246607183</v>
      </c>
      <c r="Q185" s="18" t="str">
        <f t="shared" si="156"/>
        <v>1+1.44363507253345i</v>
      </c>
      <c r="R185" s="18">
        <f t="shared" si="168"/>
        <v>1.7561555234798139</v>
      </c>
      <c r="S185" s="18">
        <f t="shared" si="169"/>
        <v>0.96498932732761389</v>
      </c>
      <c r="T185" s="18" t="str">
        <f t="shared" si="157"/>
        <v>1+0.00129310128965041i</v>
      </c>
      <c r="U185" s="18">
        <f t="shared" si="170"/>
        <v>1.0000008360551231</v>
      </c>
      <c r="V185" s="18">
        <f t="shared" si="171"/>
        <v>1.2931005689148598E-3</v>
      </c>
      <c r="W185" s="32" t="str">
        <f t="shared" si="158"/>
        <v>1-0.0170526825515065i</v>
      </c>
      <c r="X185" s="18">
        <f t="shared" si="172"/>
        <v>1.0001453864224954</v>
      </c>
      <c r="Y185" s="18">
        <f t="shared" si="173"/>
        <v>-1.7051029900690004E-2</v>
      </c>
      <c r="Z185" s="32" t="str">
        <f t="shared" si="159"/>
        <v>0.999995479831356+0.00779801526687422i</v>
      </c>
      <c r="AA185" s="18">
        <f t="shared" si="174"/>
        <v>1.0000258840276317</v>
      </c>
      <c r="AB185" s="18">
        <f t="shared" si="175"/>
        <v>7.7978924557215333E-3</v>
      </c>
      <c r="AC185" s="67" t="str">
        <f t="shared" si="176"/>
        <v>8.74062107419605-13.275736080489i</v>
      </c>
      <c r="AD185" s="65">
        <f t="shared" si="177"/>
        <v>24.025083445003229</v>
      </c>
      <c r="AE185" s="62">
        <f t="shared" si="178"/>
        <v>-56.63946490242661</v>
      </c>
      <c r="AF185" s="50" t="str">
        <f t="shared" si="160"/>
        <v>79.1527877025864</v>
      </c>
      <c r="AG185" s="50" t="str">
        <f t="shared" si="161"/>
        <v>1+1.43235835161276i</v>
      </c>
      <c r="AH185" s="50">
        <f t="shared" si="179"/>
        <v>1.7468973774766572</v>
      </c>
      <c r="AI185" s="50">
        <f t="shared" si="180"/>
        <v>0.9613135140370096</v>
      </c>
      <c r="AJ185" s="50" t="str">
        <f t="shared" si="162"/>
        <v>1+0.00129310128965041i</v>
      </c>
      <c r="AK185" s="50">
        <f t="shared" si="181"/>
        <v>1.0000008360551231</v>
      </c>
      <c r="AL185" s="50">
        <f t="shared" si="182"/>
        <v>1.2931005689148598E-3</v>
      </c>
      <c r="AM185" s="50" t="str">
        <f t="shared" si="163"/>
        <v>1-0.00596602351071989i</v>
      </c>
      <c r="AN185" s="50">
        <f t="shared" si="183"/>
        <v>1.0000177965599064</v>
      </c>
      <c r="AO185" s="50">
        <f t="shared" si="184"/>
        <v>-5.9659527284717916E-3</v>
      </c>
      <c r="AP185" s="59" t="str">
        <f t="shared" si="185"/>
        <v>25.7642893268823-37.2735698112423i</v>
      </c>
      <c r="AQ185" s="50">
        <f t="shared" si="186"/>
        <v>33.124138282513549</v>
      </c>
      <c r="AR185" s="62">
        <f t="shared" si="187"/>
        <v>-55.346941850242025</v>
      </c>
      <c r="AS185" s="32" t="str">
        <f t="shared" si="164"/>
        <v>-0.0000166666666666667</v>
      </c>
      <c r="AT185" s="32" t="str">
        <f t="shared" si="165"/>
        <v>9.99214632911679E-06i</v>
      </c>
      <c r="AU185" s="32">
        <f t="shared" si="188"/>
        <v>9.9921463291167892E-6</v>
      </c>
      <c r="AV185" s="32">
        <f t="shared" si="189"/>
        <v>1.5707963267948966</v>
      </c>
      <c r="AW185" s="32" t="str">
        <f t="shared" si="166"/>
        <v>1+0.0101546483628429i</v>
      </c>
      <c r="AX185" s="32">
        <f t="shared" si="190"/>
        <v>1.0000515571126185</v>
      </c>
      <c r="AY185" s="32">
        <f t="shared" si="191"/>
        <v>1.015429934587273E-2</v>
      </c>
      <c r="AZ185" s="32" t="str">
        <f t="shared" si="167"/>
        <v>1+0.345258044336659i</v>
      </c>
      <c r="BA185" s="32">
        <f t="shared" si="192"/>
        <v>1.057923965689016</v>
      </c>
      <c r="BB185" s="32">
        <f t="shared" si="193"/>
        <v>0.33244412987102295</v>
      </c>
      <c r="BC185" s="59" t="str">
        <f t="shared" si="194"/>
        <v>-0.558887005991986+1.67365194164472i</v>
      </c>
      <c r="BD185" s="50">
        <f t="shared" si="195"/>
        <v>4.9324405871993529</v>
      </c>
      <c r="BE185" s="62">
        <f t="shared" si="196"/>
        <v>108.46584706907761</v>
      </c>
      <c r="BF185" s="59" t="str">
        <f t="shared" si="197"/>
        <v>17.3339419252054+22.0483938223733i</v>
      </c>
      <c r="BG185" s="65">
        <f t="shared" si="198"/>
        <v>28.957524032202592</v>
      </c>
      <c r="BH185" s="62">
        <f t="shared" si="199"/>
        <v>51.826382166651058</v>
      </c>
      <c r="BI185" s="59" t="str">
        <f t="shared" si="203"/>
        <v>47.9836559632032+63.9521666914714i</v>
      </c>
      <c r="BJ185" s="65">
        <f t="shared" si="200"/>
        <v>38.056578869712908</v>
      </c>
      <c r="BK185" s="62">
        <f t="shared" si="204"/>
        <v>53.118905218835586</v>
      </c>
      <c r="BL185" s="50">
        <f t="shared" si="201"/>
        <v>28.957524032202592</v>
      </c>
      <c r="BM185" s="62">
        <f t="shared" si="202"/>
        <v>51.826382166651058</v>
      </c>
    </row>
    <row r="186" spans="14:65" x14ac:dyDescent="0.3">
      <c r="N186" s="11">
        <v>68</v>
      </c>
      <c r="O186" s="51">
        <f t="shared" si="205"/>
        <v>478.63009232263886</v>
      </c>
      <c r="P186" s="49" t="str">
        <f t="shared" si="155"/>
        <v>27.9103246607183</v>
      </c>
      <c r="Q186" s="18" t="str">
        <f t="shared" si="156"/>
        <v>1+1.4772616531342i</v>
      </c>
      <c r="R186" s="18">
        <f t="shared" si="168"/>
        <v>1.783900779701828</v>
      </c>
      <c r="S186" s="18">
        <f t="shared" si="169"/>
        <v>0.97572322319284444</v>
      </c>
      <c r="T186" s="18" t="str">
        <f t="shared" si="157"/>
        <v>1+0.00132322148800847i</v>
      </c>
      <c r="U186" s="18">
        <f t="shared" si="170"/>
        <v>1.0000008754571699</v>
      </c>
      <c r="V186" s="18">
        <f t="shared" si="171"/>
        <v>1.3232207157264507E-3</v>
      </c>
      <c r="W186" s="32" t="str">
        <f t="shared" si="158"/>
        <v>1-0.0174498905545449i</v>
      </c>
      <c r="X186" s="18">
        <f t="shared" si="172"/>
        <v>1.0001522377520162</v>
      </c>
      <c r="Y186" s="18">
        <f t="shared" si="173"/>
        <v>-1.7448119721847913E-2</v>
      </c>
      <c r="Z186" s="32" t="str">
        <f t="shared" si="159"/>
        <v>0.99999526680237+0.00797965437629073i</v>
      </c>
      <c r="AA186" s="18">
        <f t="shared" si="174"/>
        <v>1.0000271038882438</v>
      </c>
      <c r="AB186" s="18">
        <f t="shared" si="175"/>
        <v>7.9795227819607541E-3</v>
      </c>
      <c r="AC186" s="67" t="str">
        <f t="shared" si="176"/>
        <v>8.45672656530801-13.1655797212179i</v>
      </c>
      <c r="AD186" s="65">
        <f t="shared" si="177"/>
        <v>23.888978266324902</v>
      </c>
      <c r="AE186" s="62">
        <f t="shared" si="178"/>
        <v>-57.285904297911628</v>
      </c>
      <c r="AF186" s="50" t="str">
        <f t="shared" si="160"/>
        <v>79.1527877025864</v>
      </c>
      <c r="AG186" s="50" t="str">
        <f t="shared" si="161"/>
        <v>1+1.46572226364015i</v>
      </c>
      <c r="AH186" s="50">
        <f t="shared" si="179"/>
        <v>1.7743567155818485</v>
      </c>
      <c r="AI186" s="50">
        <f t="shared" si="180"/>
        <v>0.97207759675844563</v>
      </c>
      <c r="AJ186" s="50" t="str">
        <f t="shared" si="162"/>
        <v>1+0.00132322148800847i</v>
      </c>
      <c r="AK186" s="50">
        <f t="shared" si="181"/>
        <v>1.0000008754571699</v>
      </c>
      <c r="AL186" s="50">
        <f t="shared" si="182"/>
        <v>1.3232207157264507E-3</v>
      </c>
      <c r="AM186" s="50" t="str">
        <f t="shared" si="163"/>
        <v>1-0.00610499005030188i</v>
      </c>
      <c r="AN186" s="50">
        <f t="shared" si="183"/>
        <v>1.0000186352781204</v>
      </c>
      <c r="AO186" s="50">
        <f t="shared" si="184"/>
        <v>-6.1049142058329075E-3</v>
      </c>
      <c r="AP186" s="59" t="str">
        <f t="shared" si="185"/>
        <v>24.9650995922342-36.9703925981855i</v>
      </c>
      <c r="AQ186" s="50">
        <f t="shared" si="186"/>
        <v>32.988675075167734</v>
      </c>
      <c r="AR186" s="62">
        <f t="shared" si="187"/>
        <v>-55.969914509387195</v>
      </c>
      <c r="AS186" s="32" t="str">
        <f t="shared" si="164"/>
        <v>-0.0000166666666666667</v>
      </c>
      <c r="AT186" s="32" t="str">
        <f t="shared" si="165"/>
        <v>0.0000102248933164291i</v>
      </c>
      <c r="AU186" s="32">
        <f t="shared" si="188"/>
        <v>1.02248933164291E-5</v>
      </c>
      <c r="AV186" s="32">
        <f t="shared" si="189"/>
        <v>1.5707963267948966</v>
      </c>
      <c r="AW186" s="32" t="str">
        <f t="shared" si="166"/>
        <v>1+0.0103911805087724i</v>
      </c>
      <c r="AX186" s="32">
        <f t="shared" si="190"/>
        <v>1.0000539868588925</v>
      </c>
      <c r="AY186" s="32">
        <f t="shared" si="191"/>
        <v>1.0390806531441374E-2</v>
      </c>
      <c r="AZ186" s="32" t="str">
        <f t="shared" si="167"/>
        <v>1+0.353300137298261i</v>
      </c>
      <c r="BA186" s="32">
        <f t="shared" si="192"/>
        <v>1.0605757808921388</v>
      </c>
      <c r="BB186" s="32">
        <f t="shared" si="193"/>
        <v>0.3396117774996994</v>
      </c>
      <c r="BC186" s="59" t="str">
        <f t="shared" si="194"/>
        <v>-0.558884290234658+1.63581632444625i</v>
      </c>
      <c r="BD186" s="50">
        <f t="shared" si="195"/>
        <v>4.7541644816621602</v>
      </c>
      <c r="BE186" s="62">
        <f t="shared" si="196"/>
        <v>108.86297216368011</v>
      </c>
      <c r="BF186" s="59" t="str">
        <f t="shared" si="197"/>
        <v>16.810138604606+21.1916870449298i</v>
      </c>
      <c r="BG186" s="65">
        <f t="shared" si="198"/>
        <v>28.643142747987064</v>
      </c>
      <c r="BH186" s="62">
        <f t="shared" si="199"/>
        <v>51.577067865768541</v>
      </c>
      <c r="BI186" s="59" t="str">
        <f t="shared" si="203"/>
        <v>46.5241697670553+61.5004890813367i</v>
      </c>
      <c r="BJ186" s="65">
        <f t="shared" si="200"/>
        <v>37.742839556829892</v>
      </c>
      <c r="BK186" s="62">
        <f t="shared" si="204"/>
        <v>52.893057654292939</v>
      </c>
      <c r="BL186" s="50">
        <f t="shared" si="201"/>
        <v>28.643142747987064</v>
      </c>
      <c r="BM186" s="62">
        <f t="shared" si="202"/>
        <v>51.577067865768541</v>
      </c>
    </row>
    <row r="187" spans="14:65" x14ac:dyDescent="0.3">
      <c r="N187" s="11">
        <v>69</v>
      </c>
      <c r="O187" s="51">
        <f t="shared" si="205"/>
        <v>489.77881936844625</v>
      </c>
      <c r="P187" s="49" t="str">
        <f t="shared" si="155"/>
        <v>27.9103246607183</v>
      </c>
      <c r="Q187" s="18" t="str">
        <f t="shared" si="156"/>
        <v>1+1.51167149741731i</v>
      </c>
      <c r="R187" s="18">
        <f t="shared" si="168"/>
        <v>1.8124984734073273</v>
      </c>
      <c r="S187" s="18">
        <f t="shared" si="169"/>
        <v>0.98636569628342896</v>
      </c>
      <c r="T187" s="18" t="str">
        <f t="shared" si="157"/>
        <v>1+0.00135404327591438i</v>
      </c>
      <c r="U187" s="18">
        <f t="shared" si="170"/>
        <v>1.0000009167161763</v>
      </c>
      <c r="V187" s="18">
        <f t="shared" si="171"/>
        <v>1.354042448399328E-3</v>
      </c>
      <c r="W187" s="32" t="str">
        <f t="shared" si="158"/>
        <v>1-0.0178563507205319i</v>
      </c>
      <c r="X187" s="18">
        <f t="shared" si="172"/>
        <v>1.0001594119244466</v>
      </c>
      <c r="Y187" s="18">
        <f t="shared" si="173"/>
        <v>-1.7854453255444422E-2</v>
      </c>
      <c r="Z187" s="32" t="str">
        <f t="shared" si="159"/>
        <v>0.999995043733638+0.00816552440408077i</v>
      </c>
      <c r="AA187" s="18">
        <f t="shared" si="174"/>
        <v>1.0000283812375699</v>
      </c>
      <c r="AB187" s="18">
        <f t="shared" si="175"/>
        <v>8.1653833984300667E-3</v>
      </c>
      <c r="AC187" s="67" t="str">
        <f t="shared" si="176"/>
        <v>8.17764732034493-13.0503677144191i</v>
      </c>
      <c r="AD187" s="65">
        <f t="shared" si="177"/>
        <v>23.750890751689028</v>
      </c>
      <c r="AE187" s="62">
        <f t="shared" si="178"/>
        <v>-57.927837359835294</v>
      </c>
      <c r="AF187" s="50" t="str">
        <f t="shared" si="160"/>
        <v>79.1527877025864</v>
      </c>
      <c r="AG187" s="50" t="str">
        <f t="shared" si="161"/>
        <v>1+1.49986332101285i</v>
      </c>
      <c r="AH187" s="50">
        <f t="shared" si="179"/>
        <v>1.802661915534828</v>
      </c>
      <c r="AI187" s="50">
        <f t="shared" si="180"/>
        <v>0.98275166552127358</v>
      </c>
      <c r="AJ187" s="50" t="str">
        <f t="shared" si="162"/>
        <v>1+0.00135404327591438i</v>
      </c>
      <c r="AK187" s="50">
        <f t="shared" si="181"/>
        <v>1.0000009167161763</v>
      </c>
      <c r="AL187" s="50">
        <f t="shared" si="182"/>
        <v>1.354042448399328E-3</v>
      </c>
      <c r="AM187" s="50" t="str">
        <f t="shared" si="163"/>
        <v>1-0.00624719353641766i</v>
      </c>
      <c r="AN187" s="50">
        <f t="shared" si="183"/>
        <v>1.000019513523152</v>
      </c>
      <c r="AO187" s="50">
        <f t="shared" si="184"/>
        <v>-6.2471122676906084E-3</v>
      </c>
      <c r="AP187" s="59" t="str">
        <f t="shared" si="185"/>
        <v>24.1792198113259-36.6528314094814i</v>
      </c>
      <c r="AQ187" s="50">
        <f t="shared" si="186"/>
        <v>32.851216081500418</v>
      </c>
      <c r="AR187" s="62">
        <f t="shared" si="187"/>
        <v>-56.587874993329521</v>
      </c>
      <c r="AS187" s="32" t="str">
        <f t="shared" si="164"/>
        <v>-0.0000166666666666667</v>
      </c>
      <c r="AT187" s="32" t="str">
        <f t="shared" si="165"/>
        <v>0.0000104630616775202i</v>
      </c>
      <c r="AU187" s="32">
        <f t="shared" si="188"/>
        <v>1.0463061677520201E-5</v>
      </c>
      <c r="AV187" s="32">
        <f t="shared" si="189"/>
        <v>1.5707963267948966</v>
      </c>
      <c r="AW187" s="32" t="str">
        <f t="shared" si="166"/>
        <v>1+0.0106332221961512i</v>
      </c>
      <c r="AX187" s="32">
        <f t="shared" si="190"/>
        <v>1.0000565311092533</v>
      </c>
      <c r="AY187" s="32">
        <f t="shared" si="191"/>
        <v>1.0632821473444689E-2</v>
      </c>
      <c r="AZ187" s="32" t="str">
        <f t="shared" si="167"/>
        <v>1+0.361529554669139i</v>
      </c>
      <c r="BA187" s="32">
        <f t="shared" si="192"/>
        <v>1.0633454842614727</v>
      </c>
      <c r="BB187" s="32">
        <f t="shared" si="193"/>
        <v>0.34690898753608979</v>
      </c>
      <c r="BC187" s="59" t="str">
        <f t="shared" si="194"/>
        <v>-0.558881446515921+1.59884803605526i</v>
      </c>
      <c r="BD187" s="50">
        <f t="shared" si="195"/>
        <v>4.5767960968482013</v>
      </c>
      <c r="BE187" s="62">
        <f t="shared" si="196"/>
        <v>109.26720506622995</v>
      </c>
      <c r="BF187" s="59" t="str">
        <f t="shared" si="197"/>
        <v>16.2952194265065+20.3684237434853i</v>
      </c>
      <c r="BG187" s="65">
        <f t="shared" si="198"/>
        <v>28.327686848537226</v>
      </c>
      <c r="BH187" s="62">
        <f t="shared" si="199"/>
        <v>51.339367706394754</v>
      </c>
      <c r="BI187" s="59" t="str">
        <f t="shared" si="203"/>
        <v>45.0889901711336+59.143485545722i</v>
      </c>
      <c r="BJ187" s="65">
        <f t="shared" si="200"/>
        <v>37.428012178348609</v>
      </c>
      <c r="BK187" s="62">
        <f t="shared" si="204"/>
        <v>52.679330072900463</v>
      </c>
      <c r="BL187" s="50">
        <f t="shared" si="201"/>
        <v>28.327686848537226</v>
      </c>
      <c r="BM187" s="62">
        <f t="shared" si="202"/>
        <v>51.339367706394754</v>
      </c>
    </row>
    <row r="188" spans="14:65" x14ac:dyDescent="0.3">
      <c r="N188" s="11">
        <v>70</v>
      </c>
      <c r="O188" s="51">
        <f t="shared" si="205"/>
        <v>501.18723362727269</v>
      </c>
      <c r="P188" s="49" t="str">
        <f t="shared" si="155"/>
        <v>27.9103246607183</v>
      </c>
      <c r="Q188" s="18" t="str">
        <f t="shared" si="156"/>
        <v>1+1.54688284993769i</v>
      </c>
      <c r="R188" s="18">
        <f t="shared" si="168"/>
        <v>1.8419681190051445</v>
      </c>
      <c r="S188" s="18">
        <f t="shared" si="169"/>
        <v>0.9969127461798416</v>
      </c>
      <c r="T188" s="18" t="str">
        <f t="shared" si="157"/>
        <v>1+0.00138558299548806i</v>
      </c>
      <c r="U188" s="18">
        <f t="shared" si="170"/>
        <v>1.000000959919658</v>
      </c>
      <c r="V188" s="18">
        <f t="shared" si="171"/>
        <v>1.3855821087897524E-3</v>
      </c>
      <c r="W188" s="32" t="str">
        <f t="shared" si="158"/>
        <v>1-0.0182722785600277i</v>
      </c>
      <c r="X188" s="18">
        <f t="shared" si="172"/>
        <v>1.0001669241500517</v>
      </c>
      <c r="Y188" s="18">
        <f t="shared" si="173"/>
        <v>-1.8270245407881767E-2</v>
      </c>
      <c r="Z188" s="32" t="str">
        <f t="shared" si="159"/>
        <v>0.999994810152001+0.00835572390099332i</v>
      </c>
      <c r="AA188" s="18">
        <f t="shared" si="174"/>
        <v>1.0000297187848199</v>
      </c>
      <c r="AB188" s="18">
        <f t="shared" si="175"/>
        <v>8.3555728109569218E-3</v>
      </c>
      <c r="AC188" s="67" t="str">
        <f t="shared" si="176"/>
        <v>7.90355011893025-12.9303518398961i</v>
      </c>
      <c r="AD188" s="65">
        <f t="shared" si="177"/>
        <v>23.610855556167422</v>
      </c>
      <c r="AE188" s="62">
        <f t="shared" si="178"/>
        <v>-58.565051901921208</v>
      </c>
      <c r="AF188" s="50" t="str">
        <f t="shared" si="160"/>
        <v>79.1527877025864</v>
      </c>
      <c r="AG188" s="50" t="str">
        <f t="shared" si="161"/>
        <v>1+1.53479962577139i</v>
      </c>
      <c r="AH188" s="50">
        <f t="shared" si="179"/>
        <v>1.8318323862373433</v>
      </c>
      <c r="AI188" s="50">
        <f t="shared" si="180"/>
        <v>0.99333165054892192</v>
      </c>
      <c r="AJ188" s="50" t="str">
        <f t="shared" si="162"/>
        <v>1+0.00138558299548806i</v>
      </c>
      <c r="AK188" s="50">
        <f t="shared" si="181"/>
        <v>1.000000959919658</v>
      </c>
      <c r="AL188" s="50">
        <f t="shared" si="182"/>
        <v>1.3855821087897524E-3</v>
      </c>
      <c r="AM188" s="50" t="str">
        <f t="shared" si="163"/>
        <v>1-0.0063927093672378i</v>
      </c>
      <c r="AN188" s="50">
        <f t="shared" si="183"/>
        <v>1.00002043315777</v>
      </c>
      <c r="AO188" s="50">
        <f t="shared" si="184"/>
        <v>-6.3926222863239504E-3</v>
      </c>
      <c r="AP188" s="59" t="str">
        <f t="shared" si="185"/>
        <v>23.4071323161034-36.3215859298401i</v>
      </c>
      <c r="AQ188" s="50">
        <f t="shared" si="186"/>
        <v>32.711795457169188</v>
      </c>
      <c r="AR188" s="62">
        <f t="shared" si="187"/>
        <v>-57.200593503242359</v>
      </c>
      <c r="AS188" s="32" t="str">
        <f t="shared" si="164"/>
        <v>-0.0000166666666666667</v>
      </c>
      <c r="AT188" s="32" t="str">
        <f t="shared" si="165"/>
        <v>0.0000107067776924077i</v>
      </c>
      <c r="AU188" s="32">
        <f t="shared" si="188"/>
        <v>1.07067776924077E-5</v>
      </c>
      <c r="AV188" s="32">
        <f t="shared" si="189"/>
        <v>1.5707963267948966</v>
      </c>
      <c r="AW188" s="32" t="str">
        <f t="shared" si="166"/>
        <v>1+0.0108809017586856i</v>
      </c>
      <c r="AX188" s="32">
        <f t="shared" si="190"/>
        <v>1.0000591952595017</v>
      </c>
      <c r="AY188" s="32">
        <f t="shared" si="191"/>
        <v>1.0880472377942199E-2</v>
      </c>
      <c r="AZ188" s="32" t="str">
        <f t="shared" si="167"/>
        <v>1+0.369950659795311i</v>
      </c>
      <c r="BA188" s="32">
        <f t="shared" si="192"/>
        <v>1.0662380084591743</v>
      </c>
      <c r="BB188" s="32">
        <f t="shared" si="193"/>
        <v>0.35433651953072465</v>
      </c>
      <c r="BC188" s="59" t="str">
        <f t="shared" si="194"/>
        <v>-0.558878468807866+1.56272747520569i</v>
      </c>
      <c r="BD188" s="50">
        <f t="shared" si="195"/>
        <v>4.4003683334746988</v>
      </c>
      <c r="BE188" s="62">
        <f t="shared" si="196"/>
        <v>109.67858195010068</v>
      </c>
      <c r="BF188" s="59" t="str">
        <f t="shared" si="197"/>
        <v>15.7894920956681+19.5775901599456i</v>
      </c>
      <c r="BG188" s="65">
        <f t="shared" si="198"/>
        <v>28.011223889642114</v>
      </c>
      <c r="BH188" s="62">
        <f t="shared" si="199"/>
        <v>51.113530048179513</v>
      </c>
      <c r="BI188" s="59" t="str">
        <f t="shared" si="203"/>
        <v>43.6789980075986+56.8783211152922i</v>
      </c>
      <c r="BJ188" s="65">
        <f t="shared" si="200"/>
        <v>37.112163790643898</v>
      </c>
      <c r="BK188" s="62">
        <f t="shared" si="204"/>
        <v>52.477988446858333</v>
      </c>
      <c r="BL188" s="50">
        <f t="shared" si="201"/>
        <v>28.011223889642114</v>
      </c>
      <c r="BM188" s="62">
        <f t="shared" si="202"/>
        <v>51.113530048179513</v>
      </c>
    </row>
    <row r="189" spans="14:65" x14ac:dyDescent="0.3">
      <c r="N189" s="11">
        <v>71</v>
      </c>
      <c r="O189" s="51">
        <f t="shared" si="205"/>
        <v>512.86138399136519</v>
      </c>
      <c r="P189" s="49" t="str">
        <f t="shared" si="155"/>
        <v>27.9103246607183</v>
      </c>
      <c r="Q189" s="18" t="str">
        <f t="shared" si="156"/>
        <v>1+1.58291438022052i</v>
      </c>
      <c r="R189" s="18">
        <f t="shared" si="168"/>
        <v>1.8723295476782158</v>
      </c>
      <c r="S189" s="18">
        <f t="shared" si="169"/>
        <v>1.0073605788445898</v>
      </c>
      <c r="T189" s="18" t="str">
        <f t="shared" si="157"/>
        <v>1+0.00141785736950631i</v>
      </c>
      <c r="U189" s="18">
        <f t="shared" si="170"/>
        <v>1.0000010051592549</v>
      </c>
      <c r="V189" s="18">
        <f t="shared" si="171"/>
        <v>1.4178564193920069E-3</v>
      </c>
      <c r="W189" s="32" t="str">
        <f t="shared" si="158"/>
        <v>1-0.0186978946034782i</v>
      </c>
      <c r="X189" s="18">
        <f t="shared" si="172"/>
        <v>1.0001747903554672</v>
      </c>
      <c r="Y189" s="18">
        <f t="shared" si="173"/>
        <v>-1.8695716062265361E-2</v>
      </c>
      <c r="Z189" s="32" t="str">
        <f t="shared" si="159"/>
        <v>0.999994565562+0.00855035371331926i</v>
      </c>
      <c r="AA189" s="18">
        <f t="shared" si="174"/>
        <v>1.0000311193668705</v>
      </c>
      <c r="AB189" s="18">
        <f t="shared" si="175"/>
        <v>8.550191817698248E-3</v>
      </c>
      <c r="AC189" s="67" t="str">
        <f t="shared" si="176"/>
        <v>7.63458547250396-12.8057885663817i</v>
      </c>
      <c r="AD189" s="65">
        <f t="shared" si="177"/>
        <v>23.468908458464625</v>
      </c>
      <c r="AE189" s="62">
        <f t="shared" si="178"/>
        <v>-59.197347957388011</v>
      </c>
      <c r="AF189" s="50" t="str">
        <f t="shared" si="160"/>
        <v>79.1527877025864</v>
      </c>
      <c r="AG189" s="50" t="str">
        <f t="shared" si="161"/>
        <v>1+1.57054970160698i</v>
      </c>
      <c r="AH189" s="50">
        <f t="shared" si="179"/>
        <v>1.8618878497959468</v>
      </c>
      <c r="AI189" s="50">
        <f t="shared" si="180"/>
        <v>1.0038136870939252</v>
      </c>
      <c r="AJ189" s="50" t="str">
        <f t="shared" si="162"/>
        <v>1+0.00141785736950631i</v>
      </c>
      <c r="AK189" s="50">
        <f t="shared" si="181"/>
        <v>1.0000010051592549</v>
      </c>
      <c r="AL189" s="50">
        <f t="shared" si="182"/>
        <v>1.4178564193920069E-3</v>
      </c>
      <c r="AM189" s="50" t="str">
        <f t="shared" si="163"/>
        <v>1-0.00654161469718197i</v>
      </c>
      <c r="AN189" s="50">
        <f t="shared" si="183"/>
        <v>1.0000213961325259</v>
      </c>
      <c r="AO189" s="50">
        <f t="shared" si="184"/>
        <v>-6.5415213884094858E-3</v>
      </c>
      <c r="AP189" s="59" t="str">
        <f t="shared" si="185"/>
        <v>22.6492739484206-35.9773701173038i</v>
      </c>
      <c r="AQ189" s="50">
        <f t="shared" si="186"/>
        <v>32.570448516164092</v>
      </c>
      <c r="AR189" s="62">
        <f t="shared" si="187"/>
        <v>-57.807852066311469</v>
      </c>
      <c r="AS189" s="32" t="str">
        <f t="shared" si="164"/>
        <v>-0.0000166666666666667</v>
      </c>
      <c r="AT189" s="32" t="str">
        <f t="shared" si="165"/>
        <v>0.0000109561705825487i</v>
      </c>
      <c r="AU189" s="32">
        <f t="shared" si="188"/>
        <v>1.09561705825487E-5</v>
      </c>
      <c r="AV189" s="32">
        <f t="shared" si="189"/>
        <v>1.5707963267948966</v>
      </c>
      <c r="AW189" s="32" t="str">
        <f t="shared" si="166"/>
        <v>1+0.0111343505193583i</v>
      </c>
      <c r="AX189" s="32">
        <f t="shared" si="190"/>
        <v>1.0000619849596764</v>
      </c>
      <c r="AY189" s="32">
        <f t="shared" si="191"/>
        <v>1.11338904311426E-2</v>
      </c>
      <c r="AZ189" s="32" t="str">
        <f t="shared" si="167"/>
        <v>1+0.378567917658183i</v>
      </c>
      <c r="BA189" s="32">
        <f t="shared" si="192"/>
        <v>1.0692584665458829</v>
      </c>
      <c r="BB189" s="32">
        <f t="shared" si="193"/>
        <v>0.36189503257046668</v>
      </c>
      <c r="BC189" s="59" t="str">
        <f t="shared" si="194"/>
        <v>-0.558875350798761+1.52743549009425i</v>
      </c>
      <c r="BD189" s="50">
        <f t="shared" si="195"/>
        <v>4.224914861487866</v>
      </c>
      <c r="BE189" s="62">
        <f t="shared" si="196"/>
        <v>110.09713306177163</v>
      </c>
      <c r="BF189" s="59" t="str">
        <f t="shared" si="197"/>
        <v>15.2932343007858+18.8181763801519i</v>
      </c>
      <c r="BG189" s="65">
        <f t="shared" si="198"/>
        <v>27.693823319952497</v>
      </c>
      <c r="BH189" s="62">
        <f t="shared" si="199"/>
        <v>50.899785104383682</v>
      </c>
      <c r="BI189" s="59" t="str">
        <f t="shared" si="203"/>
        <v>42.2949910341653+54.7021701988098i</v>
      </c>
      <c r="BJ189" s="65">
        <f t="shared" si="200"/>
        <v>36.795363377651952</v>
      </c>
      <c r="BK189" s="62">
        <f t="shared" si="204"/>
        <v>52.289280995460217</v>
      </c>
      <c r="BL189" s="50">
        <f t="shared" si="201"/>
        <v>27.693823319952497</v>
      </c>
      <c r="BM189" s="62">
        <f t="shared" si="202"/>
        <v>50.899785104383682</v>
      </c>
    </row>
    <row r="190" spans="14:65" x14ac:dyDescent="0.3">
      <c r="N190" s="11">
        <v>72</v>
      </c>
      <c r="O190" s="51">
        <f t="shared" si="205"/>
        <v>524.80746024977248</v>
      </c>
      <c r="P190" s="49" t="str">
        <f t="shared" si="155"/>
        <v>27.9103246607183</v>
      </c>
      <c r="Q190" s="18" t="str">
        <f t="shared" si="156"/>
        <v>1+1.61978519266009i</v>
      </c>
      <c r="R190" s="18">
        <f t="shared" si="168"/>
        <v>1.9036029182476277</v>
      </c>
      <c r="S190" s="18">
        <f t="shared" si="169"/>
        <v>1.0177056099464745</v>
      </c>
      <c r="T190" s="18" t="str">
        <f t="shared" si="157"/>
        <v>1+0.00145088351026943i</v>
      </c>
      <c r="U190" s="18">
        <f t="shared" si="170"/>
        <v>1.0000010525309262</v>
      </c>
      <c r="V190" s="18">
        <f t="shared" si="171"/>
        <v>1.4508824922036701E-3</v>
      </c>
      <c r="W190" s="32" t="str">
        <f t="shared" si="158"/>
        <v>1-0.0191334245181434i</v>
      </c>
      <c r="X190" s="18">
        <f t="shared" si="172"/>
        <v>1.0001830272174146</v>
      </c>
      <c r="Y190" s="18">
        <f t="shared" si="173"/>
        <v>-1.913109019224701E-2</v>
      </c>
      <c r="Z190" s="32" t="str">
        <f t="shared" si="159"/>
        <v>0.999994309444828+0.00874951703636134i</v>
      </c>
      <c r="AA190" s="18">
        <f t="shared" si="174"/>
        <v>1.0000325859542818</v>
      </c>
      <c r="AB190" s="18">
        <f t="shared" si="175"/>
        <v>8.7493435623807302E-3</v>
      </c>
      <c r="AC190" s="67" t="str">
        <f t="shared" si="176"/>
        <v>7.37088763768165-12.6769378674375i</v>
      </c>
      <c r="AD190" s="65">
        <f t="shared" si="177"/>
        <v>23.325086246454489</v>
      </c>
      <c r="AE190" s="62">
        <f t="shared" si="178"/>
        <v>-59.824537978481828</v>
      </c>
      <c r="AF190" s="50" t="str">
        <f t="shared" si="160"/>
        <v>79.1527877025864</v>
      </c>
      <c r="AG190" s="50" t="str">
        <f t="shared" si="161"/>
        <v>1+1.60713250368306i</v>
      </c>
      <c r="AH190" s="50">
        <f t="shared" si="179"/>
        <v>1.8928483521916331</v>
      </c>
      <c r="AI190" s="50">
        <f t="shared" si="180"/>
        <v>1.0141941190907693</v>
      </c>
      <c r="AJ190" s="50" t="str">
        <f t="shared" si="162"/>
        <v>1+0.00145088351026943i</v>
      </c>
      <c r="AK190" s="50">
        <f t="shared" si="181"/>
        <v>1.0000010525309262</v>
      </c>
      <c r="AL190" s="50">
        <f t="shared" si="182"/>
        <v>1.4508824922036701E-3</v>
      </c>
      <c r="AM190" s="50" t="str">
        <f t="shared" si="163"/>
        <v>1-0.00669398847782711i</v>
      </c>
      <c r="AN190" s="50">
        <f t="shared" si="183"/>
        <v>1.00002240448989</v>
      </c>
      <c r="AO190" s="50">
        <f t="shared" si="184"/>
        <v>-6.6938884957970244E-3</v>
      </c>
      <c r="AP190" s="59" t="str">
        <f t="shared" si="185"/>
        <v>21.9060360043308-35.6209088638109i</v>
      </c>
      <c r="AQ190" s="50">
        <f t="shared" si="186"/>
        <v>32.427211616147808</v>
      </c>
      <c r="AR190" s="62">
        <f t="shared" si="187"/>
        <v>-58.409444746857133</v>
      </c>
      <c r="AS190" s="32" t="str">
        <f t="shared" si="164"/>
        <v>-0.0000166666666666667</v>
      </c>
      <c r="AT190" s="32" t="str">
        <f t="shared" si="165"/>
        <v>0.0000112113725793547i</v>
      </c>
      <c r="AU190" s="32">
        <f t="shared" si="188"/>
        <v>1.1211372579354701E-5</v>
      </c>
      <c r="AV190" s="32">
        <f t="shared" si="189"/>
        <v>1.5707963267948966</v>
      </c>
      <c r="AW190" s="32" t="str">
        <f t="shared" si="166"/>
        <v>1+0.011393702860057i</v>
      </c>
      <c r="AX190" s="32">
        <f t="shared" si="190"/>
        <v>1.0000649061260292</v>
      </c>
      <c r="AY190" s="32">
        <f t="shared" si="191"/>
        <v>1.1393209868379828E-2</v>
      </c>
      <c r="AZ190" s="32" t="str">
        <f t="shared" si="167"/>
        <v>1+0.387385897241937i</v>
      </c>
      <c r="BA190" s="32">
        <f t="shared" si="192"/>
        <v>1.072412156487393</v>
      </c>
      <c r="BB190" s="32">
        <f t="shared" si="193"/>
        <v>0.36958507867124535</v>
      </c>
      <c r="BC190" s="59" t="str">
        <f t="shared" si="194"/>
        <v>-0.558872085879701+1.49295336822487i</v>
      </c>
      <c r="BD190" s="50">
        <f t="shared" si="195"/>
        <v>4.0504701021352414</v>
      </c>
      <c r="BE190" s="62">
        <f t="shared" si="196"/>
        <v>110.52288233830795</v>
      </c>
      <c r="BF190" s="59" t="str">
        <f t="shared" si="197"/>
        <v>14.8066937391122+18.089178234026i</v>
      </c>
      <c r="BG190" s="65">
        <f t="shared" si="198"/>
        <v>27.375556348589726</v>
      </c>
      <c r="BH190" s="62">
        <f t="shared" si="199"/>
        <v>50.698344359826002</v>
      </c>
      <c r="BI190" s="59" t="str">
        <f t="shared" si="203"/>
        <v>40.9376838323614+52.6122218747697i</v>
      </c>
      <c r="BJ190" s="65">
        <f t="shared" si="200"/>
        <v>36.477681718283051</v>
      </c>
      <c r="BK190" s="62">
        <f t="shared" si="204"/>
        <v>52.113437591450861</v>
      </c>
      <c r="BL190" s="50">
        <f t="shared" si="201"/>
        <v>27.375556348589726</v>
      </c>
      <c r="BM190" s="62">
        <f t="shared" si="202"/>
        <v>50.698344359826002</v>
      </c>
    </row>
    <row r="191" spans="14:65" x14ac:dyDescent="0.3">
      <c r="N191" s="11">
        <v>73</v>
      </c>
      <c r="O191" s="51">
        <f t="shared" si="205"/>
        <v>537.03179637025301</v>
      </c>
      <c r="P191" s="49" t="str">
        <f t="shared" si="155"/>
        <v>27.9103246607183</v>
      </c>
      <c r="Q191" s="18" t="str">
        <f t="shared" si="156"/>
        <v>1+1.6575148366492i</v>
      </c>
      <c r="R191" s="18">
        <f t="shared" si="168"/>
        <v>1.9358087285969718</v>
      </c>
      <c r="S191" s="18">
        <f t="shared" si="169"/>
        <v>1.0279444672360341</v>
      </c>
      <c r="T191" s="18" t="str">
        <f t="shared" si="157"/>
        <v>1+0.00148467892867441i</v>
      </c>
      <c r="U191" s="18">
        <f t="shared" si="170"/>
        <v>1.0000011021351534</v>
      </c>
      <c r="V191" s="18">
        <f t="shared" si="171"/>
        <v>1.4846778377973593E-3</v>
      </c>
      <c r="W191" s="32" t="str">
        <f t="shared" si="158"/>
        <v>1-0.0195790992277489i</v>
      </c>
      <c r="X191" s="18">
        <f t="shared" si="172"/>
        <v>1.0001916521980025</v>
      </c>
      <c r="Y191" s="18">
        <f t="shared" si="173"/>
        <v>-1.9576597978371021E-2</v>
      </c>
      <c r="Z191" s="32" t="str">
        <f t="shared" si="159"/>
        <v>0.999994041257225+0.00895331946914962i</v>
      </c>
      <c r="AA191" s="18">
        <f t="shared" si="174"/>
        <v>1.0000341216575928</v>
      </c>
      <c r="AB191" s="18">
        <f t="shared" si="175"/>
        <v>8.9531335887701215E-3</v>
      </c>
      <c r="AC191" s="67" t="str">
        <f t="shared" si="176"/>
        <v>7.11257472371527-12.5440620689893i</v>
      </c>
      <c r="AD191" s="65">
        <f t="shared" si="177"/>
        <v>23.17942660315726</v>
      </c>
      <c r="AE191" s="62">
        <f t="shared" si="178"/>
        <v>-60.446446981844595</v>
      </c>
      <c r="AF191" s="50" t="str">
        <f t="shared" si="160"/>
        <v>79.1527877025864</v>
      </c>
      <c r="AG191" s="50" t="str">
        <f t="shared" si="161"/>
        <v>1+1.64456742868549i</v>
      </c>
      <c r="AH191" s="50">
        <f t="shared" si="179"/>
        <v>1.9247342745151095</v>
      </c>
      <c r="AI191" s="50">
        <f t="shared" si="180"/>
        <v>1.0244695018515277</v>
      </c>
      <c r="AJ191" s="50" t="str">
        <f t="shared" si="162"/>
        <v>1+0.00148467892867441i</v>
      </c>
      <c r="AK191" s="50">
        <f t="shared" si="181"/>
        <v>1.0000011021351534</v>
      </c>
      <c r="AL191" s="50">
        <f t="shared" si="182"/>
        <v>1.4846778377973593E-3</v>
      </c>
      <c r="AM191" s="50" t="str">
        <f t="shared" si="163"/>
        <v>1-0.00684991149976858i</v>
      </c>
      <c r="AN191" s="50">
        <f t="shared" si="183"/>
        <v>1.0000234603685829</v>
      </c>
      <c r="AO191" s="50">
        <f t="shared" si="184"/>
        <v>-6.8498043672289071E-3</v>
      </c>
      <c r="AP191" s="59" t="str">
        <f t="shared" si="185"/>
        <v>21.1777644469149-35.2529347364447i</v>
      </c>
      <c r="AQ191" s="50">
        <f t="shared" si="186"/>
        <v>32.282122043999181</v>
      </c>
      <c r="AR191" s="62">
        <f t="shared" si="187"/>
        <v>-59.005177802652561</v>
      </c>
      <c r="AS191" s="32" t="str">
        <f t="shared" si="164"/>
        <v>-0.0000166666666666667</v>
      </c>
      <c r="AT191" s="32" t="str">
        <f t="shared" si="165"/>
        <v>0.0000114725189943022i</v>
      </c>
      <c r="AU191" s="32">
        <f t="shared" si="188"/>
        <v>1.14725189943022E-5</v>
      </c>
      <c r="AV191" s="32">
        <f t="shared" si="189"/>
        <v>1.5707963267948966</v>
      </c>
      <c r="AW191" s="32" t="str">
        <f t="shared" si="166"/>
        <v>1+0.0116590962928255i</v>
      </c>
      <c r="AX191" s="32">
        <f t="shared" si="190"/>
        <v>1.0000679649535653</v>
      </c>
      <c r="AY191" s="32">
        <f t="shared" si="191"/>
        <v>1.1658568044664992E-2</v>
      </c>
      <c r="AZ191" s="32" t="str">
        <f t="shared" si="167"/>
        <v>1+0.396409273956066i</v>
      </c>
      <c r="BA191" s="32">
        <f t="shared" si="192"/>
        <v>1.0757045656119413</v>
      </c>
      <c r="BB191" s="32">
        <f t="shared" si="193"/>
        <v>0.37740709606526307</v>
      </c>
      <c r="BC191" s="59" t="str">
        <f t="shared" si="194"/>
        <v>-0.558868667130636+1.45926282648615i</v>
      </c>
      <c r="BD191" s="50">
        <f t="shared" si="195"/>
        <v>3.8770692063889216</v>
      </c>
      <c r="BE191" s="62">
        <f t="shared" si="196"/>
        <v>110.9558470187026</v>
      </c>
      <c r="BF191" s="59" t="str">
        <f t="shared" si="197"/>
        <v>14.3300883147012+17.3895991438227i</v>
      </c>
      <c r="BG191" s="65">
        <f t="shared" si="198"/>
        <v>27.056495809546174</v>
      </c>
      <c r="BH191" s="62">
        <f t="shared" si="199"/>
        <v>50.50940003685804</v>
      </c>
      <c r="BI191" s="59" t="str">
        <f t="shared" si="203"/>
        <v>39.6077081961822+50.6056850540631i</v>
      </c>
      <c r="BJ191" s="65">
        <f t="shared" si="200"/>
        <v>36.159191250388105</v>
      </c>
      <c r="BK191" s="62">
        <f t="shared" si="204"/>
        <v>51.950669216050045</v>
      </c>
      <c r="BL191" s="50">
        <f t="shared" si="201"/>
        <v>27.056495809546174</v>
      </c>
      <c r="BM191" s="62">
        <f t="shared" si="202"/>
        <v>50.50940003685804</v>
      </c>
    </row>
    <row r="192" spans="14:65" x14ac:dyDescent="0.3">
      <c r="N192" s="11">
        <v>74</v>
      </c>
      <c r="O192" s="51">
        <f t="shared" si="205"/>
        <v>549.54087385762534</v>
      </c>
      <c r="P192" s="49" t="str">
        <f t="shared" si="155"/>
        <v>27.9103246607183</v>
      </c>
      <c r="Q192" s="18" t="str">
        <f t="shared" si="156"/>
        <v>1+1.69612331694451i</v>
      </c>
      <c r="R192" s="18">
        <f t="shared" si="168"/>
        <v>1.9689678276403726</v>
      </c>
      <c r="S192" s="18">
        <f t="shared" si="169"/>
        <v>1.0380739920010369</v>
      </c>
      <c r="T192" s="18" t="str">
        <f t="shared" si="157"/>
        <v>1+0.00151926154349942i</v>
      </c>
      <c r="U192" s="18">
        <f t="shared" si="170"/>
        <v>1.0000011540771527</v>
      </c>
      <c r="V192" s="18">
        <f t="shared" si="171"/>
        <v>1.5192603746036733E-3</v>
      </c>
      <c r="W192" s="32" t="str">
        <f t="shared" si="158"/>
        <v>1-0.020035155034925i</v>
      </c>
      <c r="X192" s="18">
        <f t="shared" si="172"/>
        <v>1.0002006835816868</v>
      </c>
      <c r="Y192" s="18">
        <f t="shared" si="173"/>
        <v>-2.0032474926971904E-2</v>
      </c>
      <c r="Z192" s="32" t="str">
        <f t="shared" si="159"/>
        <v>0.99999376043033+0.00916186907043166i</v>
      </c>
      <c r="AA192" s="18">
        <f t="shared" si="174"/>
        <v>1.0000357297339209</v>
      </c>
      <c r="AB192" s="18">
        <f t="shared" si="175"/>
        <v>9.1616698963976877E-3</v>
      </c>
      <c r="AC192" s="67" t="str">
        <f t="shared" si="176"/>
        <v>6.85974888822653-12.4074247361895i</v>
      </c>
      <c r="AD192" s="65">
        <f t="shared" si="177"/>
        <v>23.031967993800691</v>
      </c>
      <c r="AE192" s="62">
        <f t="shared" si="178"/>
        <v>-61.062912641383122</v>
      </c>
      <c r="AF192" s="50" t="str">
        <f t="shared" si="160"/>
        <v>79.1527877025864</v>
      </c>
      <c r="AG192" s="50" t="str">
        <f t="shared" si="161"/>
        <v>1+1.68287432510705i</v>
      </c>
      <c r="AH192" s="50">
        <f t="shared" si="179"/>
        <v>1.957566344751694</v>
      </c>
      <c r="AI192" s="50">
        <f t="shared" si="180"/>
        <v>1.0346366038310779</v>
      </c>
      <c r="AJ192" s="50" t="str">
        <f t="shared" si="162"/>
        <v>1+0.00151926154349942i</v>
      </c>
      <c r="AK192" s="50">
        <f t="shared" si="181"/>
        <v>1.0000011540771527</v>
      </c>
      <c r="AL192" s="50">
        <f t="shared" si="182"/>
        <v>1.5192603746036733E-3</v>
      </c>
      <c r="AM192" s="50" t="str">
        <f t="shared" si="163"/>
        <v>1-0.00700946643545655i</v>
      </c>
      <c r="AN192" s="50">
        <f t="shared" si="183"/>
        <v>1.0000245660081106</v>
      </c>
      <c r="AO192" s="50">
        <f t="shared" si="184"/>
        <v>-7.0093516410243747E-3</v>
      </c>
      <c r="AP192" s="59" t="str">
        <f t="shared" si="185"/>
        <v>20.4647603719691-34.8741848217119i</v>
      </c>
      <c r="AQ192" s="50">
        <f t="shared" si="186"/>
        <v>32.135217902215658</v>
      </c>
      <c r="AR192" s="62">
        <f t="shared" si="187"/>
        <v>-59.594869787977373</v>
      </c>
      <c r="AS192" s="32" t="str">
        <f t="shared" si="164"/>
        <v>-0.0000166666666666667</v>
      </c>
      <c r="AT192" s="32" t="str">
        <f t="shared" si="165"/>
        <v>0.0000117397482906773i</v>
      </c>
      <c r="AU192" s="32">
        <f t="shared" si="188"/>
        <v>1.1739748290677299E-5</v>
      </c>
      <c r="AV192" s="32">
        <f t="shared" si="189"/>
        <v>1.5707963267948966</v>
      </c>
      <c r="AW192" s="32" t="str">
        <f t="shared" si="166"/>
        <v>1+0.0119306715327748i</v>
      </c>
      <c r="AX192" s="32">
        <f t="shared" si="190"/>
        <v>1.0000711679291745</v>
      </c>
      <c r="AY192" s="32">
        <f t="shared" si="191"/>
        <v>1.1930105506848324E-2</v>
      </c>
      <c r="AZ192" s="32" t="str">
        <f t="shared" si="167"/>
        <v>1+0.405642832114345i</v>
      </c>
      <c r="BA192" s="32">
        <f t="shared" si="192"/>
        <v>1.0791413750041032</v>
      </c>
      <c r="BB192" s="32">
        <f t="shared" si="193"/>
        <v>0.38536140240631017</v>
      </c>
      <c r="BC192" s="59" t="str">
        <f t="shared" si="194"/>
        <v>-0.558865087305719+1.42634600145614i</v>
      </c>
      <c r="BD192" s="50">
        <f t="shared" si="195"/>
        <v>3.7047480295187722</v>
      </c>
      <c r="BE192" s="62">
        <f t="shared" si="196"/>
        <v>111.39603725043597</v>
      </c>
      <c r="BF192" s="59" t="str">
        <f t="shared" si="197"/>
        <v>13.8636064995179+16.7184519061448i</v>
      </c>
      <c r="BG192" s="65">
        <f t="shared" si="198"/>
        <v>26.736716023319474</v>
      </c>
      <c r="BH192" s="62">
        <f t="shared" si="199"/>
        <v>50.333124609052803</v>
      </c>
      <c r="BI192" s="59" t="str">
        <f t="shared" si="203"/>
        <v>38.30561398252+48.679793472418i</v>
      </c>
      <c r="BJ192" s="65">
        <f t="shared" si="200"/>
        <v>35.839965931734426</v>
      </c>
      <c r="BK192" s="62">
        <f t="shared" si="204"/>
        <v>51.80116746245865</v>
      </c>
      <c r="BL192" s="50">
        <f t="shared" si="201"/>
        <v>26.736716023319474</v>
      </c>
      <c r="BM192" s="62">
        <f t="shared" si="202"/>
        <v>50.333124609052803</v>
      </c>
    </row>
    <row r="193" spans="14:65" x14ac:dyDescent="0.3">
      <c r="N193" s="11">
        <v>75</v>
      </c>
      <c r="O193" s="51">
        <f t="shared" si="205"/>
        <v>562.34132519034927</v>
      </c>
      <c r="P193" s="49" t="str">
        <f t="shared" si="155"/>
        <v>27.9103246607183</v>
      </c>
      <c r="Q193" s="18" t="str">
        <f t="shared" si="156"/>
        <v>1+1.7356311042733i</v>
      </c>
      <c r="R193" s="18">
        <f t="shared" si="168"/>
        <v>2.0031014278166133</v>
      </c>
      <c r="S193" s="18">
        <f t="shared" si="169"/>
        <v>1.0480912396367557</v>
      </c>
      <c r="T193" s="18" t="str">
        <f t="shared" si="157"/>
        <v>1+0.0015546496909046i</v>
      </c>
      <c r="U193" s="18">
        <f t="shared" si="170"/>
        <v>1.0000012084671004</v>
      </c>
      <c r="V193" s="18">
        <f t="shared" si="171"/>
        <v>1.5546484384103233E-3</v>
      </c>
      <c r="W193" s="32" t="str">
        <f t="shared" si="158"/>
        <v>1-0.0205018337464972i</v>
      </c>
      <c r="X193" s="18">
        <f t="shared" si="172"/>
        <v>1.0002101405139667</v>
      </c>
      <c r="Y193" s="18">
        <f t="shared" si="173"/>
        <v>-2.0498961991670714E-2</v>
      </c>
      <c r="Z193" s="32" t="str">
        <f t="shared" si="159"/>
        <v>0.999993466368471+0.0093752764159665i</v>
      </c>
      <c r="AA193" s="18">
        <f t="shared" si="174"/>
        <v>1.0000374135938646</v>
      </c>
      <c r="AB193" s="18">
        <f t="shared" si="175"/>
        <v>9.3750629975716225E-3</v>
      </c>
      <c r="AC193" s="67" t="str">
        <f t="shared" si="176"/>
        <v>6.61249661479842-12.2672896064061i</v>
      </c>
      <c r="AD193" s="65">
        <f t="shared" si="177"/>
        <v>22.882749554566523</v>
      </c>
      <c r="AE193" s="62">
        <f t="shared" si="178"/>
        <v>-61.673785330625122</v>
      </c>
      <c r="AF193" s="50" t="str">
        <f t="shared" si="160"/>
        <v>79.1527877025864</v>
      </c>
      <c r="AG193" s="50" t="str">
        <f t="shared" si="161"/>
        <v>1+1.72207350377124i</v>
      </c>
      <c r="AH193" s="50">
        <f t="shared" si="179"/>
        <v>1.991365650098182</v>
      </c>
      <c r="AI193" s="50">
        <f t="shared" si="180"/>
        <v>1.0446924074945889</v>
      </c>
      <c r="AJ193" s="50" t="str">
        <f t="shared" si="162"/>
        <v>1+0.0015546496909046i</v>
      </c>
      <c r="AK193" s="50">
        <f t="shared" si="181"/>
        <v>1.0000012084671004</v>
      </c>
      <c r="AL193" s="50">
        <f t="shared" si="182"/>
        <v>1.5546484384103233E-3</v>
      </c>
      <c r="AM193" s="50" t="str">
        <f t="shared" si="163"/>
        <v>1-0.00717273788302984i</v>
      </c>
      <c r="AN193" s="50">
        <f t="shared" si="183"/>
        <v>1.0000257237535135</v>
      </c>
      <c r="AO193" s="50">
        <f t="shared" si="184"/>
        <v>-7.1726148787505167E-3</v>
      </c>
      <c r="AP193" s="59" t="str">
        <f t="shared" si="185"/>
        <v>19.7672807091206-34.4853976927507i</v>
      </c>
      <c r="AQ193" s="50">
        <f t="shared" si="186"/>
        <v>31.986537996791849</v>
      </c>
      <c r="AR193" s="62">
        <f t="shared" si="187"/>
        <v>-60.178351605278785</v>
      </c>
      <c r="AS193" s="32" t="str">
        <f t="shared" si="164"/>
        <v>-0.0000166666666666667</v>
      </c>
      <c r="AT193" s="32" t="str">
        <f t="shared" si="165"/>
        <v>0.0000120132021569901i</v>
      </c>
      <c r="AU193" s="32">
        <f t="shared" si="188"/>
        <v>1.20132021569901E-5</v>
      </c>
      <c r="AV193" s="32">
        <f t="shared" si="189"/>
        <v>1.5707963267948966</v>
      </c>
      <c r="AW193" s="32" t="str">
        <f t="shared" si="166"/>
        <v>1+0.012208572572692i</v>
      </c>
      <c r="AX193" s="32">
        <f t="shared" si="190"/>
        <v>1.0000745218453786</v>
      </c>
      <c r="AY193" s="32">
        <f t="shared" si="191"/>
        <v>1.2207966067425406E-2</v>
      </c>
      <c r="AZ193" s="32" t="str">
        <f t="shared" si="167"/>
        <v>1+0.415091467471527i</v>
      </c>
      <c r="BA193" s="32">
        <f t="shared" si="192"/>
        <v>1.0827284638207615</v>
      </c>
      <c r="BB193" s="32">
        <f t="shared" si="193"/>
        <v>0.39344818791961716</v>
      </c>
      <c r="BC193" s="59" t="str">
        <f t="shared" si="194"/>
        <v>-0.558861338818001+1.39418543992986i</v>
      </c>
      <c r="BD193" s="50">
        <f t="shared" si="195"/>
        <v>3.5335431016268664</v>
      </c>
      <c r="BE193" s="62">
        <f t="shared" si="196"/>
        <v>111.84345569276179</v>
      </c>
      <c r="BF193" s="59" t="str">
        <f t="shared" si="197"/>
        <v>13.4074078455785+16.0747603950417i</v>
      </c>
      <c r="BG193" s="65">
        <f t="shared" si="198"/>
        <v>26.416292656193377</v>
      </c>
      <c r="BH193" s="62">
        <f t="shared" si="199"/>
        <v>50.169670362136749</v>
      </c>
      <c r="BI193" s="59" t="str">
        <f t="shared" si="203"/>
        <v>37.0318703915334+46.8318104759042i</v>
      </c>
      <c r="BJ193" s="65">
        <f t="shared" si="200"/>
        <v>35.520081098418714</v>
      </c>
      <c r="BK193" s="62">
        <f t="shared" si="204"/>
        <v>51.665104087483044</v>
      </c>
      <c r="BL193" s="50">
        <f t="shared" si="201"/>
        <v>26.416292656193377</v>
      </c>
      <c r="BM193" s="62">
        <f t="shared" si="202"/>
        <v>50.169670362136749</v>
      </c>
    </row>
    <row r="194" spans="14:65" x14ac:dyDescent="0.3">
      <c r="N194" s="11">
        <v>76</v>
      </c>
      <c r="O194" s="51">
        <f t="shared" si="205"/>
        <v>575.43993733715706</v>
      </c>
      <c r="P194" s="49" t="str">
        <f t="shared" si="155"/>
        <v>27.9103246607183</v>
      </c>
      <c r="Q194" s="18" t="str">
        <f t="shared" si="156"/>
        <v>1+1.77605914618738i</v>
      </c>
      <c r="R194" s="18">
        <f t="shared" si="168"/>
        <v>2.0382311180913333</v>
      </c>
      <c r="S194" s="18">
        <f t="shared" si="169"/>
        <v>1.0579934793709413</v>
      </c>
      <c r="T194" s="18" t="str">
        <f t="shared" si="157"/>
        <v>1+0.00159086213415412i</v>
      </c>
      <c r="U194" s="18">
        <f t="shared" si="170"/>
        <v>1.0000012654203643</v>
      </c>
      <c r="V194" s="18">
        <f t="shared" si="171"/>
        <v>1.5908607920824146E-3</v>
      </c>
      <c r="W194" s="32" t="str">
        <f t="shared" si="158"/>
        <v>1-0.0209793828016957i</v>
      </c>
      <c r="X194" s="18">
        <f t="shared" si="172"/>
        <v>1.0002200430418999</v>
      </c>
      <c r="Y194" s="18">
        <f t="shared" si="173"/>
        <v>-2.0976305697519591E-2</v>
      </c>
      <c r="Z194" s="32" t="str">
        <f t="shared" si="159"/>
        <v>0.999993158447903+0.00959365465715355i</v>
      </c>
      <c r="AA194" s="18">
        <f t="shared" si="174"/>
        <v>1.0000391768087356</v>
      </c>
      <c r="AB194" s="18">
        <f t="shared" si="175"/>
        <v>9.5934259757031563E-3</v>
      </c>
      <c r="AC194" s="67" t="str">
        <f t="shared" si="176"/>
        <v>6.37088906554398-12.1239195742154i</v>
      </c>
      <c r="AD194" s="65">
        <f t="shared" si="177"/>
        <v>22.731810983574245</v>
      </c>
      <c r="AE194" s="62">
        <f t="shared" si="178"/>
        <v>-62.278928116860214</v>
      </c>
      <c r="AF194" s="50" t="str">
        <f t="shared" si="160"/>
        <v>79.1527877025864</v>
      </c>
      <c r="AG194" s="50" t="str">
        <f t="shared" si="161"/>
        <v>1+1.76218574860148i</v>
      </c>
      <c r="AH194" s="50">
        <f t="shared" si="179"/>
        <v>2.0261536497941512</v>
      </c>
      <c r="AI194" s="50">
        <f t="shared" si="180"/>
        <v>1.0546341093256422</v>
      </c>
      <c r="AJ194" s="50" t="str">
        <f t="shared" si="162"/>
        <v>1+0.00159086213415412i</v>
      </c>
      <c r="AK194" s="50">
        <f t="shared" si="181"/>
        <v>1.0000012654203643</v>
      </c>
      <c r="AL194" s="50">
        <f t="shared" si="182"/>
        <v>1.5908607920824146E-3</v>
      </c>
      <c r="AM194" s="50" t="str">
        <f t="shared" si="163"/>
        <v>1-0.00733981241117113i</v>
      </c>
      <c r="AN194" s="50">
        <f t="shared" si="183"/>
        <v>1.00002693606034</v>
      </c>
      <c r="AO194" s="50">
        <f t="shared" si="184"/>
        <v>-7.3396806099029453E-3</v>
      </c>
      <c r="AP194" s="59" t="str">
        <f t="shared" si="185"/>
        <v>19.085539139507-34.0873105168044i</v>
      </c>
      <c r="AQ194" s="50">
        <f t="shared" si="186"/>
        <v>31.836121727141627</v>
      </c>
      <c r="AR194" s="62">
        <f t="shared" si="187"/>
        <v>-60.7554665076402</v>
      </c>
      <c r="AS194" s="32" t="str">
        <f t="shared" si="164"/>
        <v>-0.0000166666666666667</v>
      </c>
      <c r="AT194" s="32" t="str">
        <f t="shared" si="165"/>
        <v>0.0000122930255821i</v>
      </c>
      <c r="AU194" s="32">
        <f t="shared" si="188"/>
        <v>1.22930255821E-5</v>
      </c>
      <c r="AV194" s="32">
        <f t="shared" si="189"/>
        <v>1.5707963267948966</v>
      </c>
      <c r="AW194" s="32" t="str">
        <f t="shared" si="166"/>
        <v>1+0.0124929467593867i</v>
      </c>
      <c r="AX194" s="32">
        <f t="shared" si="190"/>
        <v>1.0000780338147284</v>
      </c>
      <c r="AY194" s="32">
        <f t="shared" si="191"/>
        <v>1.2492296880023512E-2</v>
      </c>
      <c r="AZ194" s="32" t="str">
        <f t="shared" si="167"/>
        <v>1+0.424760189819148i</v>
      </c>
      <c r="BA194" s="32">
        <f t="shared" si="192"/>
        <v>1.086471913514196</v>
      </c>
      <c r="BB194" s="32">
        <f t="shared" si="193"/>
        <v>0.40166750852561489</v>
      </c>
      <c r="BC194" s="59" t="str">
        <f t="shared" si="194"/>
        <v>-0.558857413723399+1.36276408966404i</v>
      </c>
      <c r="BD194" s="50">
        <f t="shared" si="195"/>
        <v>3.3634915939586247</v>
      </c>
      <c r="BE194" s="62">
        <f t="shared" si="196"/>
        <v>112.29809711840302</v>
      </c>
      <c r="BF194" s="59" t="str">
        <f t="shared" si="197"/>
        <v>12.9616236354271+15.4575611751931i</v>
      </c>
      <c r="BG194" s="65">
        <f t="shared" si="198"/>
        <v>26.095302577532856</v>
      </c>
      <c r="BH194" s="62">
        <f t="shared" si="199"/>
        <v>50.019169001542728</v>
      </c>
      <c r="BI194" s="59" t="str">
        <f t="shared" si="203"/>
        <v>35.7868676425068+45.0590335674054i</v>
      </c>
      <c r="BJ194" s="65">
        <f t="shared" si="200"/>
        <v>35.199613321100252</v>
      </c>
      <c r="BK194" s="62">
        <f t="shared" si="204"/>
        <v>51.542630610762856</v>
      </c>
      <c r="BL194" s="50">
        <f t="shared" si="201"/>
        <v>26.095302577532856</v>
      </c>
      <c r="BM194" s="62">
        <f t="shared" si="202"/>
        <v>50.019169001542728</v>
      </c>
    </row>
    <row r="195" spans="14:65" x14ac:dyDescent="0.3">
      <c r="N195" s="11">
        <v>77</v>
      </c>
      <c r="O195" s="51">
        <f t="shared" si="205"/>
        <v>588.84365535558959</v>
      </c>
      <c r="P195" s="49" t="str">
        <f t="shared" si="155"/>
        <v>27.9103246607183</v>
      </c>
      <c r="Q195" s="18" t="str">
        <f t="shared" si="156"/>
        <v>1+1.81742887816968i</v>
      </c>
      <c r="R195" s="18">
        <f t="shared" si="168"/>
        <v>2.0743788774486451</v>
      </c>
      <c r="S195" s="18">
        <f t="shared" si="169"/>
        <v>1.0677781931877228</v>
      </c>
      <c r="T195" s="18" t="str">
        <f t="shared" si="157"/>
        <v>1+0.00162791807356471i</v>
      </c>
      <c r="U195" s="18">
        <f t="shared" si="170"/>
        <v>1.0000013250577493</v>
      </c>
      <c r="V195" s="18">
        <f t="shared" si="171"/>
        <v>1.6279166355090715E-3</v>
      </c>
      <c r="W195" s="32" t="str">
        <f t="shared" si="158"/>
        <v>1-0.0214680554033505i</v>
      </c>
      <c r="X195" s="18">
        <f t="shared" si="172"/>
        <v>1.0002304121565198</v>
      </c>
      <c r="Y195" s="18">
        <f t="shared" si="173"/>
        <v>-2.1464758267841805E-2</v>
      </c>
      <c r="Z195" s="32" t="str">
        <f t="shared" si="159"/>
        <v>0.999992836015486+0.00981711958102685i</v>
      </c>
      <c r="AA195" s="18">
        <f t="shared" si="174"/>
        <v>1.0000410231181334</v>
      </c>
      <c r="AB195" s="18">
        <f t="shared" si="175"/>
        <v>9.816874544976352E-3</v>
      </c>
      <c r="AC195" s="67" t="str">
        <f t="shared" si="176"/>
        <v>6.13498250144389-11.977575733346i</v>
      </c>
      <c r="AD195" s="65">
        <f t="shared" si="177"/>
        <v>22.579192434608657</v>
      </c>
      <c r="AE195" s="62">
        <f t="shared" si="178"/>
        <v>-62.878216709599805</v>
      </c>
      <c r="AF195" s="50" t="str">
        <f t="shared" si="160"/>
        <v>79.1527877025864</v>
      </c>
      <c r="AG195" s="50" t="str">
        <f t="shared" si="161"/>
        <v>1+1.80323232764091i</v>
      </c>
      <c r="AH195" s="50">
        <f t="shared" si="179"/>
        <v>2.0619521884489109</v>
      </c>
      <c r="AI195" s="50">
        <f t="shared" si="180"/>
        <v>1.0644591190177219</v>
      </c>
      <c r="AJ195" s="50" t="str">
        <f t="shared" si="162"/>
        <v>1+0.00162791807356471i</v>
      </c>
      <c r="AK195" s="50">
        <f t="shared" si="181"/>
        <v>1.0000013250577493</v>
      </c>
      <c r="AL195" s="50">
        <f t="shared" si="182"/>
        <v>1.6279166355090715E-3</v>
      </c>
      <c r="AM195" s="50" t="str">
        <f t="shared" si="163"/>
        <v>1-0.00751077860500673i</v>
      </c>
      <c r="AN195" s="50">
        <f t="shared" si="183"/>
        <v>1.0000282054998517</v>
      </c>
      <c r="AO195" s="50">
        <f t="shared" si="184"/>
        <v>-7.5106373776185464E-3</v>
      </c>
      <c r="AP195" s="59" t="str">
        <f t="shared" si="185"/>
        <v>18.4197072101205-33.6806563176988i</v>
      </c>
      <c r="AQ195" s="50">
        <f t="shared" si="186"/>
        <v>31.68400897858648</v>
      </c>
      <c r="AR195" s="62">
        <f t="shared" si="187"/>
        <v>-61.326070054506189</v>
      </c>
      <c r="AS195" s="32" t="str">
        <f t="shared" si="164"/>
        <v>-0.0000166666666666667</v>
      </c>
      <c r="AT195" s="32" t="str">
        <f t="shared" si="165"/>
        <v>0.0000125793669320909i</v>
      </c>
      <c r="AU195" s="32">
        <f t="shared" si="188"/>
        <v>1.25793669320909E-5</v>
      </c>
      <c r="AV195" s="32">
        <f t="shared" si="189"/>
        <v>1.5707963267948966</v>
      </c>
      <c r="AW195" s="32" t="str">
        <f t="shared" si="166"/>
        <v>1+0.012783944871817i</v>
      </c>
      <c r="AX195" s="32">
        <f t="shared" si="190"/>
        <v>1.0000817112848757</v>
      </c>
      <c r="AY195" s="32">
        <f t="shared" si="191"/>
        <v>1.2783248516606106E-2</v>
      </c>
      <c r="AZ195" s="32" t="str">
        <f t="shared" si="167"/>
        <v>1+0.434654125641778i</v>
      </c>
      <c r="BA195" s="32">
        <f t="shared" si="192"/>
        <v>1.0903780119469664</v>
      </c>
      <c r="BB195" s="32">
        <f t="shared" si="193"/>
        <v>0.41001927896983209</v>
      </c>
      <c r="BC195" s="59" t="str">
        <f t="shared" si="194"/>
        <v>-0.558853303703884+1.33206529033443i</v>
      </c>
      <c r="BD195" s="50">
        <f t="shared" si="195"/>
        <v>3.1946312808224766</v>
      </c>
      <c r="BE195" s="62">
        <f t="shared" si="196"/>
        <v>112.75994801550006</v>
      </c>
      <c r="BF195" s="59" t="str">
        <f t="shared" si="197"/>
        <v>12.5263576576447+14.8659050159264i</v>
      </c>
      <c r="BG195" s="65">
        <f t="shared" si="198"/>
        <v>25.773823715431131</v>
      </c>
      <c r="BH195" s="62">
        <f t="shared" si="199"/>
        <v>49.881731305900345</v>
      </c>
      <c r="BI195" s="59" t="str">
        <f t="shared" si="203"/>
        <v>34.5709190088555+43.3587986867854i</v>
      </c>
      <c r="BJ195" s="65">
        <f t="shared" si="200"/>
        <v>34.878640259408947</v>
      </c>
      <c r="BK195" s="62">
        <f t="shared" si="204"/>
        <v>51.433877960993868</v>
      </c>
      <c r="BL195" s="50">
        <f t="shared" si="201"/>
        <v>25.773823715431131</v>
      </c>
      <c r="BM195" s="62">
        <f t="shared" si="202"/>
        <v>49.881731305900345</v>
      </c>
    </row>
    <row r="196" spans="14:65" x14ac:dyDescent="0.3">
      <c r="N196" s="11">
        <v>78</v>
      </c>
      <c r="O196" s="51">
        <f t="shared" si="205"/>
        <v>602.55958607435832</v>
      </c>
      <c r="P196" s="49" t="str">
        <f t="shared" si="155"/>
        <v>27.9103246607183</v>
      </c>
      <c r="Q196" s="18" t="str">
        <f t="shared" si="156"/>
        <v>1+1.85976223499971i</v>
      </c>
      <c r="R196" s="18">
        <f t="shared" si="168"/>
        <v>2.1115670888539433</v>
      </c>
      <c r="S196" s="18">
        <f t="shared" si="169"/>
        <v>1.0774430739984258</v>
      </c>
      <c r="T196" s="18" t="str">
        <f t="shared" si="157"/>
        <v>1+0.00166583715668595i</v>
      </c>
      <c r="U196" s="18">
        <f t="shared" si="170"/>
        <v>1.0000013875057536</v>
      </c>
      <c r="V196" s="18">
        <f t="shared" si="171"/>
        <v>1.6658356157816868E-3</v>
      </c>
      <c r="W196" s="32" t="str">
        <f t="shared" si="158"/>
        <v>1-0.0219681106521436i</v>
      </c>
      <c r="X196" s="18">
        <f t="shared" si="172"/>
        <v>1.0002412698372452</v>
      </c>
      <c r="Y196" s="18">
        <f t="shared" si="173"/>
        <v>-2.1964577753818115E-2</v>
      </c>
      <c r="Z196" s="32" t="str">
        <f t="shared" si="159"/>
        <v>0.999992498387298+0.0100457896716469i</v>
      </c>
      <c r="AA196" s="18">
        <f t="shared" si="174"/>
        <v>1.0000429564378708</v>
      </c>
      <c r="AB196" s="18">
        <f t="shared" si="175"/>
        <v>1.0045527111392338E-2</v>
      </c>
      <c r="AC196" s="67" t="str">
        <f t="shared" si="176"/>
        <v>5.9048187630247-11.8285164795861i</v>
      </c>
      <c r="AD196" s="65">
        <f t="shared" si="177"/>
        <v>22.424934414041246</v>
      </c>
      <c r="AE196" s="62">
        <f t="shared" si="178"/>
        <v>-63.471539366112239</v>
      </c>
      <c r="AF196" s="50" t="str">
        <f t="shared" si="160"/>
        <v>79.1527877025864</v>
      </c>
      <c r="AG196" s="50" t="str">
        <f t="shared" si="161"/>
        <v>1+1.84523500432905i</v>
      </c>
      <c r="AH196" s="50">
        <f t="shared" si="179"/>
        <v>2.0987835098459366</v>
      </c>
      <c r="AI196" s="50">
        <f t="shared" si="180"/>
        <v>1.0741650578959474</v>
      </c>
      <c r="AJ196" s="50" t="str">
        <f t="shared" si="162"/>
        <v>1+0.00166583715668595i</v>
      </c>
      <c r="AK196" s="50">
        <f t="shared" si="181"/>
        <v>1.0000013875057536</v>
      </c>
      <c r="AL196" s="50">
        <f t="shared" si="182"/>
        <v>1.6658356157816868E-3</v>
      </c>
      <c r="AM196" s="50" t="str">
        <f t="shared" si="163"/>
        <v>1-0.0076857271130756i</v>
      </c>
      <c r="AN196" s="50">
        <f t="shared" si="183"/>
        <v>1.0000295347644772</v>
      </c>
      <c r="AO196" s="50">
        <f t="shared" si="184"/>
        <v>-7.6855757854441143E-3</v>
      </c>
      <c r="AP196" s="59" t="str">
        <f t="shared" si="185"/>
        <v>17.7699156241899-33.2661614054399i</v>
      </c>
      <c r="AQ196" s="50">
        <f t="shared" si="186"/>
        <v>31.530240017877993</v>
      </c>
      <c r="AR196" s="62">
        <f t="shared" si="187"/>
        <v>-61.890030023350498</v>
      </c>
      <c r="AS196" s="32" t="str">
        <f t="shared" si="164"/>
        <v>-0.0000166666666666667</v>
      </c>
      <c r="AT196" s="32" t="str">
        <f t="shared" si="165"/>
        <v>0.0000128723780289369i</v>
      </c>
      <c r="AU196" s="32">
        <f t="shared" si="188"/>
        <v>1.2872378028936901E-5</v>
      </c>
      <c r="AV196" s="32">
        <f t="shared" si="189"/>
        <v>1.5707963267948966</v>
      </c>
      <c r="AW196" s="32" t="str">
        <f t="shared" si="166"/>
        <v>1+0.0130817212010338i</v>
      </c>
      <c r="AX196" s="32">
        <f t="shared" si="190"/>
        <v>1.0000855620543583</v>
      </c>
      <c r="AY196" s="32">
        <f t="shared" si="191"/>
        <v>1.3080975046429764E-2</v>
      </c>
      <c r="AZ196" s="32" t="str">
        <f t="shared" si="167"/>
        <v>1+0.444778520835149i</v>
      </c>
      <c r="BA196" s="32">
        <f t="shared" si="192"/>
        <v>1.0944532573830199</v>
      </c>
      <c r="BB196" s="32">
        <f t="shared" si="193"/>
        <v>0.41850326599414367</v>
      </c>
      <c r="BC196" s="59" t="str">
        <f t="shared" si="194"/>
        <v>-0.558849000049903+1.30207276470076i</v>
      </c>
      <c r="BD196" s="50">
        <f t="shared" si="195"/>
        <v>3.0270004969634283</v>
      </c>
      <c r="BE196" s="62">
        <f t="shared" si="196"/>
        <v>113.22898619182888</v>
      </c>
      <c r="BF196" s="59" t="str">
        <f t="shared" si="197"/>
        <v>12.1016870936909+14.298858298519i</v>
      </c>
      <c r="BG196" s="65">
        <f t="shared" si="198"/>
        <v>25.45193491100467</v>
      </c>
      <c r="BH196" s="62">
        <f t="shared" si="199"/>
        <v>49.757446825716713</v>
      </c>
      <c r="BI196" s="59" t="str">
        <f t="shared" si="203"/>
        <v>33.3842631746132+41.7284842022169i</v>
      </c>
      <c r="BJ196" s="65">
        <f t="shared" si="200"/>
        <v>34.557240514841425</v>
      </c>
      <c r="BK196" s="62">
        <f t="shared" si="204"/>
        <v>51.338956168478347</v>
      </c>
      <c r="BL196" s="50">
        <f t="shared" si="201"/>
        <v>25.45193491100467</v>
      </c>
      <c r="BM196" s="62">
        <f t="shared" si="202"/>
        <v>49.757446825716713</v>
      </c>
    </row>
    <row r="197" spans="14:65" x14ac:dyDescent="0.3">
      <c r="N197" s="11">
        <v>79</v>
      </c>
      <c r="O197" s="51">
        <f t="shared" si="205"/>
        <v>616.59500186148273</v>
      </c>
      <c r="P197" s="49" t="str">
        <f t="shared" si="155"/>
        <v>27.9103246607183</v>
      </c>
      <c r="Q197" s="18" t="str">
        <f t="shared" si="156"/>
        <v>1+1.9030816623836i</v>
      </c>
      <c r="R197" s="18">
        <f t="shared" si="168"/>
        <v>2.149818553669292</v>
      </c>
      <c r="S197" s="18">
        <f t="shared" si="169"/>
        <v>1.0869860231100359</v>
      </c>
      <c r="T197" s="18" t="str">
        <f t="shared" si="157"/>
        <v>1+0.00170463948871764i</v>
      </c>
      <c r="U197" s="18">
        <f t="shared" si="170"/>
        <v>1.0000014528968377</v>
      </c>
      <c r="V197" s="18">
        <f t="shared" si="171"/>
        <v>1.704637837609104E-3</v>
      </c>
      <c r="W197" s="32" t="str">
        <f t="shared" si="158"/>
        <v>1-0.0224798136839867i</v>
      </c>
      <c r="X197" s="18">
        <f t="shared" si="172"/>
        <v>1.0002526390983764</v>
      </c>
      <c r="Y197" s="18">
        <f t="shared" si="173"/>
        <v>-2.2476028166865714E-2</v>
      </c>
      <c r="Z197" s="32" t="str">
        <f t="shared" si="159"/>
        <v>0.999992144847183+0.0102797861729227i</v>
      </c>
      <c r="AA197" s="18">
        <f t="shared" si="174"/>
        <v>1.0000449808682759</v>
      </c>
      <c r="AB197" s="18">
        <f t="shared" si="175"/>
        <v>1.0279504835218882E-2</v>
      </c>
      <c r="AC197" s="67" t="str">
        <f t="shared" si="176"/>
        <v>5.68042580385726-11.6769966777591i</v>
      </c>
      <c r="AD197" s="65">
        <f t="shared" si="177"/>
        <v>22.269077681346193</v>
      </c>
      <c r="AE197" s="62">
        <f t="shared" si="178"/>
        <v>-64.058796756942456</v>
      </c>
      <c r="AF197" s="50" t="str">
        <f t="shared" si="160"/>
        <v>79.1527877025864</v>
      </c>
      <c r="AG197" s="50" t="str">
        <f t="shared" si="161"/>
        <v>1+1.88821604904107i</v>
      </c>
      <c r="AH197" s="50">
        <f t="shared" si="179"/>
        <v>2.1366702712061749</v>
      </c>
      <c r="AI197" s="50">
        <f t="shared" si="180"/>
        <v>1.0837497566188903</v>
      </c>
      <c r="AJ197" s="50" t="str">
        <f t="shared" si="162"/>
        <v>1+0.00170463948871764i</v>
      </c>
      <c r="AK197" s="50">
        <f t="shared" si="181"/>
        <v>1.0000014528968377</v>
      </c>
      <c r="AL197" s="50">
        <f t="shared" si="182"/>
        <v>1.704637837609104E-3</v>
      </c>
      <c r="AM197" s="50" t="str">
        <f t="shared" si="163"/>
        <v>1-0.00786475069539246i</v>
      </c>
      <c r="AN197" s="50">
        <f t="shared" si="183"/>
        <v>1.0000309266735208</v>
      </c>
      <c r="AO197" s="50">
        <f t="shared" si="184"/>
        <v>-7.8645885451847416E-3</v>
      </c>
      <c r="AP197" s="59" t="str">
        <f t="shared" si="185"/>
        <v>17.136255686604-32.8445429824833i</v>
      </c>
      <c r="AQ197" s="50">
        <f t="shared" si="186"/>
        <v>31.374855392172428</v>
      </c>
      <c r="AR197" s="62">
        <f t="shared" si="187"/>
        <v>-62.447226280145337</v>
      </c>
      <c r="AS197" s="32" t="str">
        <f t="shared" si="164"/>
        <v>-0.0000166666666666667</v>
      </c>
      <c r="AT197" s="32" t="str">
        <f t="shared" si="165"/>
        <v>0.0000131722142309999i</v>
      </c>
      <c r="AU197" s="32">
        <f t="shared" si="188"/>
        <v>1.31722142309999E-5</v>
      </c>
      <c r="AV197" s="32">
        <f t="shared" si="189"/>
        <v>1.5707963267948966</v>
      </c>
      <c r="AW197" s="32" t="str">
        <f t="shared" si="166"/>
        <v>1+0.0133864336319885i</v>
      </c>
      <c r="AX197" s="32">
        <f t="shared" si="190"/>
        <v>1.0000895942891235</v>
      </c>
      <c r="AY197" s="32">
        <f t="shared" si="191"/>
        <v>1.3385634116793969E-2</v>
      </c>
      <c r="AZ197" s="32" t="str">
        <f t="shared" si="167"/>
        <v>1+0.455138743487608i</v>
      </c>
      <c r="BA197" s="32">
        <f t="shared" si="192"/>
        <v>1.0987043623393322</v>
      </c>
      <c r="BB197" s="32">
        <f t="shared" si="193"/>
        <v>0.42711908158747852</v>
      </c>
      <c r="BC197" s="59" t="str">
        <f t="shared" si="194"/>
        <v>-0.558844493642003+1.27277060997485i</v>
      </c>
      <c r="BD197" s="50">
        <f t="shared" si="195"/>
        <v>2.8606380902561042</v>
      </c>
      <c r="BE197" s="62">
        <f t="shared" si="196"/>
        <v>113.70518038346771</v>
      </c>
      <c r="BF197" s="59" t="str">
        <f t="shared" si="197"/>
        <v>11.6876635021982+13.7555043109339i</v>
      </c>
      <c r="BG197" s="65">
        <f t="shared" si="198"/>
        <v>25.129715771602299</v>
      </c>
      <c r="BH197" s="62">
        <f t="shared" si="199"/>
        <v>49.646383626525143</v>
      </c>
      <c r="BI197" s="59" t="str">
        <f t="shared" si="203"/>
        <v>32.2270668740603+40.1655145948728i</v>
      </c>
      <c r="BJ197" s="65">
        <f t="shared" si="200"/>
        <v>34.235493482428524</v>
      </c>
      <c r="BK197" s="62">
        <f t="shared" si="204"/>
        <v>51.25795410332239</v>
      </c>
      <c r="BL197" s="50">
        <f t="shared" si="201"/>
        <v>25.129715771602299</v>
      </c>
      <c r="BM197" s="62">
        <f t="shared" si="202"/>
        <v>49.646383626525143</v>
      </c>
    </row>
    <row r="198" spans="14:65" x14ac:dyDescent="0.3">
      <c r="N198" s="11">
        <v>80</v>
      </c>
      <c r="O198" s="51">
        <f t="shared" si="205"/>
        <v>630.95734448019323</v>
      </c>
      <c r="P198" s="49" t="str">
        <f t="shared" si="155"/>
        <v>27.9103246607183</v>
      </c>
      <c r="Q198" s="18" t="str">
        <f t="shared" si="156"/>
        <v>1+1.94741012885514i</v>
      </c>
      <c r="R198" s="18">
        <f t="shared" si="168"/>
        <v>2.1891565065037248</v>
      </c>
      <c r="S198" s="18">
        <f t="shared" si="169"/>
        <v>1.0964051470443343</v>
      </c>
      <c r="T198" s="18" t="str">
        <f t="shared" si="157"/>
        <v>1+0.0017443456431698i</v>
      </c>
      <c r="U198" s="18">
        <f t="shared" si="170"/>
        <v>1.0000015213697042</v>
      </c>
      <c r="V198" s="18">
        <f t="shared" si="171"/>
        <v>1.7443438739752741E-3</v>
      </c>
      <c r="W198" s="32" t="str">
        <f t="shared" si="158"/>
        <v>1-0.0230034358106006i</v>
      </c>
      <c r="X198" s="18">
        <f t="shared" si="172"/>
        <v>1.0002645440377722</v>
      </c>
      <c r="Y198" s="18">
        <f t="shared" si="173"/>
        <v>-2.2999379613862257E-2</v>
      </c>
      <c r="Z198" s="32" t="str">
        <f t="shared" si="159"/>
        <v>0.999991774645236+0.0105192331528964i</v>
      </c>
      <c r="AA198" s="18">
        <f t="shared" si="174"/>
        <v>1.0000471007028886</v>
      </c>
      <c r="AB198" s="18">
        <f t="shared" si="175"/>
        <v>1.0518931694875888E-2</v>
      </c>
      <c r="AC198" s="67" t="str">
        <f t="shared" si="176"/>
        <v>5.46181826935989-11.5232668949922i</v>
      </c>
      <c r="AD198" s="65">
        <f t="shared" si="177"/>
        <v>22.111663153557149</v>
      </c>
      <c r="AE198" s="62">
        <f t="shared" si="178"/>
        <v>-64.639901794458922</v>
      </c>
      <c r="AF198" s="50" t="str">
        <f t="shared" si="160"/>
        <v>79.1527877025864</v>
      </c>
      <c r="AG198" s="50" t="str">
        <f t="shared" si="161"/>
        <v>1+1.93219825089578i</v>
      </c>
      <c r="AH198" s="50">
        <f t="shared" si="179"/>
        <v>2.1756355578921558</v>
      </c>
      <c r="AI198" s="50">
        <f t="shared" si="180"/>
        <v>1.0932112522127917</v>
      </c>
      <c r="AJ198" s="50" t="str">
        <f t="shared" si="162"/>
        <v>1+0.0017443456431698i</v>
      </c>
      <c r="AK198" s="50">
        <f t="shared" si="181"/>
        <v>1.0000015213697042</v>
      </c>
      <c r="AL198" s="50">
        <f t="shared" si="182"/>
        <v>1.7443438739752741E-3</v>
      </c>
      <c r="AM198" s="50" t="str">
        <f t="shared" si="163"/>
        <v>1-0.00804794427263028i</v>
      </c>
      <c r="AN198" s="50">
        <f t="shared" si="183"/>
        <v>1.0000323841791401</v>
      </c>
      <c r="AO198" s="50">
        <f t="shared" si="184"/>
        <v>-8.0477705258562397E-3</v>
      </c>
      <c r="AP198" s="59" t="str">
        <f t="shared" si="185"/>
        <v>16.5187808833034-32.4165069337295i</v>
      </c>
      <c r="AQ198" s="50">
        <f t="shared" si="186"/>
        <v>31.217895831821632</v>
      </c>
      <c r="AR198" s="62">
        <f t="shared" si="187"/>
        <v>-62.997550611627823</v>
      </c>
      <c r="AS198" s="32" t="str">
        <f t="shared" si="164"/>
        <v>-0.0000166666666666667</v>
      </c>
      <c r="AT198" s="32" t="str">
        <f t="shared" si="165"/>
        <v>0.000013479034515403i</v>
      </c>
      <c r="AU198" s="32">
        <f t="shared" si="188"/>
        <v>1.3479034515403E-5</v>
      </c>
      <c r="AV198" s="32">
        <f t="shared" si="189"/>
        <v>1.5707963267948966</v>
      </c>
      <c r="AW198" s="32" t="str">
        <f t="shared" si="166"/>
        <v>1+0.0136982437272452i</v>
      </c>
      <c r="AX198" s="32">
        <f t="shared" si="190"/>
        <v>1.0000938165398339</v>
      </c>
      <c r="AY198" s="32">
        <f t="shared" si="191"/>
        <v>1.369738703561978E-2</v>
      </c>
      <c r="AZ198" s="32" t="str">
        <f t="shared" si="167"/>
        <v>1+0.465740286726336i</v>
      </c>
      <c r="BA198" s="32">
        <f t="shared" si="192"/>
        <v>1.1031382572823452</v>
      </c>
      <c r="BB198" s="32">
        <f t="shared" si="193"/>
        <v>0.43586617635690023</v>
      </c>
      <c r="BC198" s="59" t="str">
        <f t="shared" si="194"/>
        <v>-0.558839774931538+1.24414328938699i</v>
      </c>
      <c r="BD198" s="50">
        <f t="shared" si="195"/>
        <v>2.6955833696015912</v>
      </c>
      <c r="BE198" s="62">
        <f t="shared" si="196"/>
        <v>114.18848987025697</v>
      </c>
      <c r="BF198" s="59" t="str">
        <f t="shared" si="197"/>
        <v>11.2843138868538+13.2349444257489i</v>
      </c>
      <c r="BG198" s="65">
        <f t="shared" si="198"/>
        <v>24.807246523158774</v>
      </c>
      <c r="BH198" s="62">
        <f t="shared" si="199"/>
        <v>49.548588075798051</v>
      </c>
      <c r="BI198" s="59" t="str">
        <f t="shared" si="203"/>
        <v>31.0994277759977+38.6673638237281i</v>
      </c>
      <c r="BJ198" s="65">
        <f t="shared" si="200"/>
        <v>33.913479201423229</v>
      </c>
      <c r="BK198" s="62">
        <f t="shared" si="204"/>
        <v>51.190939258629214</v>
      </c>
      <c r="BL198" s="50">
        <f t="shared" si="201"/>
        <v>24.807246523158774</v>
      </c>
      <c r="BM198" s="62">
        <f t="shared" si="202"/>
        <v>49.548588075798051</v>
      </c>
    </row>
    <row r="199" spans="14:65" x14ac:dyDescent="0.3">
      <c r="N199" s="11">
        <v>81</v>
      </c>
      <c r="O199" s="51">
        <f t="shared" si="205"/>
        <v>645.65422903465594</v>
      </c>
      <c r="P199" s="49" t="str">
        <f t="shared" si="155"/>
        <v>27.9103246607183</v>
      </c>
      <c r="Q199" s="18" t="str">
        <f t="shared" si="156"/>
        <v>1+1.99277113795403i</v>
      </c>
      <c r="R199" s="18">
        <f t="shared" si="168"/>
        <v>2.2296046304810635</v>
      </c>
      <c r="S199" s="18">
        <f t="shared" si="169"/>
        <v>1.1056987537621084</v>
      </c>
      <c r="T199" s="18" t="str">
        <f t="shared" si="157"/>
        <v>1+0.00178497667277112i</v>
      </c>
      <c r="U199" s="18">
        <f t="shared" si="170"/>
        <v>1.0000015930695922</v>
      </c>
      <c r="V199" s="18">
        <f t="shared" si="171"/>
        <v>1.784974777045194E-3</v>
      </c>
      <c r="W199" s="32" t="str">
        <f t="shared" si="158"/>
        <v>1-0.0235392546633677i</v>
      </c>
      <c r="X199" s="18">
        <f t="shared" si="172"/>
        <v>1.0002770098878144</v>
      </c>
      <c r="Y199" s="18">
        <f t="shared" si="173"/>
        <v>-2.3534908435260956E-2</v>
      </c>
      <c r="Z199" s="32" t="str">
        <f t="shared" si="159"/>
        <v>0.999991386996209+0.0107642575695262i</v>
      </c>
      <c r="AA199" s="18">
        <f t="shared" si="174"/>
        <v>1.0000493204375598</v>
      </c>
      <c r="AB199" s="18">
        <f t="shared" si="175"/>
        <v>1.0763934552290702E-2</v>
      </c>
      <c r="AC199" s="67" t="str">
        <f t="shared" si="176"/>
        <v>5.24899811349795-11.3675727016684i</v>
      </c>
      <c r="AD199" s="65">
        <f t="shared" si="177"/>
        <v>21.952731813958888</v>
      </c>
      <c r="AE199" s="62">
        <f t="shared" si="178"/>
        <v>-65.214779427550155</v>
      </c>
      <c r="AF199" s="50" t="str">
        <f t="shared" si="160"/>
        <v>79.1527877025864</v>
      </c>
      <c r="AG199" s="50" t="str">
        <f t="shared" si="161"/>
        <v>1+1.97720492983878i</v>
      </c>
      <c r="AH199" s="50">
        <f t="shared" si="179"/>
        <v>2.215702898535536</v>
      </c>
      <c r="AI199" s="50">
        <f t="shared" si="180"/>
        <v>1.102547784492218</v>
      </c>
      <c r="AJ199" s="50" t="str">
        <f t="shared" si="162"/>
        <v>1+0.00178497667277112i</v>
      </c>
      <c r="AK199" s="50">
        <f t="shared" si="181"/>
        <v>1.0000015930695922</v>
      </c>
      <c r="AL199" s="50">
        <f t="shared" si="182"/>
        <v>1.784974777045194E-3</v>
      </c>
      <c r="AM199" s="50" t="str">
        <f t="shared" si="163"/>
        <v>1-0.00823540497644859i</v>
      </c>
      <c r="AN199" s="50">
        <f t="shared" si="183"/>
        <v>1.0000339103726064</v>
      </c>
      <c r="AO199" s="50">
        <f t="shared" si="184"/>
        <v>-8.2352188037669374E-3</v>
      </c>
      <c r="AP199" s="59" t="str">
        <f t="shared" si="185"/>
        <v>15.9175085737664-31.9827458049138i</v>
      </c>
      <c r="AQ199" s="50">
        <f t="shared" si="186"/>
        <v>31.059402157290272</v>
      </c>
      <c r="AR199" s="62">
        <f t="shared" si="187"/>
        <v>-63.540906522464219</v>
      </c>
      <c r="AS199" s="32" t="str">
        <f t="shared" si="164"/>
        <v>-0.0000166666666666667</v>
      </c>
      <c r="AT199" s="32" t="str">
        <f t="shared" si="165"/>
        <v>0.0000137930015623223i</v>
      </c>
      <c r="AU199" s="32">
        <f t="shared" si="188"/>
        <v>1.37930015623223E-5</v>
      </c>
      <c r="AV199" s="32">
        <f t="shared" si="189"/>
        <v>1.5707963267948966</v>
      </c>
      <c r="AW199" s="32" t="str">
        <f t="shared" si="166"/>
        <v>1+0.0140173168126438i</v>
      </c>
      <c r="AX199" s="32">
        <f t="shared" si="190"/>
        <v>1.0000982377599843</v>
      </c>
      <c r="AY199" s="32">
        <f t="shared" si="191"/>
        <v>1.4016398855898419E-2</v>
      </c>
      <c r="AZ199" s="32" t="str">
        <f t="shared" si="167"/>
        <v>1+0.476588771629889i</v>
      </c>
      <c r="BA199" s="32">
        <f t="shared" si="192"/>
        <v>1.1077620941536528</v>
      </c>
      <c r="BB199" s="32">
        <f t="shared" si="193"/>
        <v>0.44474383306277521</v>
      </c>
      <c r="BC199" s="59" t="str">
        <f t="shared" si="194"/>
        <v>-0.558834833920506+1.21617562394633i</v>
      </c>
      <c r="BD199" s="50">
        <f t="shared" si="195"/>
        <v>2.5318760479408438</v>
      </c>
      <c r="BE199" s="62">
        <f t="shared" si="196"/>
        <v>114.67886410055283</v>
      </c>
      <c r="BF199" s="59" t="str">
        <f t="shared" si="197"/>
        <v>10.8916418342012+12.7362991585926i</v>
      </c>
      <c r="BG199" s="65">
        <f t="shared" si="198"/>
        <v>24.48460786189974</v>
      </c>
      <c r="BH199" s="62">
        <f t="shared" si="199"/>
        <v>49.464084673002546</v>
      </c>
      <c r="BI199" s="59" t="str">
        <f t="shared" si="203"/>
        <v>30.0013775745589+37.2315583615822i</v>
      </c>
      <c r="BJ199" s="65">
        <f t="shared" si="200"/>
        <v>33.591278205231113</v>
      </c>
      <c r="BK199" s="62">
        <f t="shared" si="204"/>
        <v>51.137957578088681</v>
      </c>
      <c r="BL199" s="50">
        <f t="shared" si="201"/>
        <v>24.48460786189974</v>
      </c>
      <c r="BM199" s="62">
        <f t="shared" si="202"/>
        <v>49.464084673002546</v>
      </c>
    </row>
    <row r="200" spans="14:65" x14ac:dyDescent="0.3">
      <c r="N200" s="11">
        <v>82</v>
      </c>
      <c r="O200" s="51">
        <f t="shared" si="205"/>
        <v>660.69344800759643</v>
      </c>
      <c r="P200" s="49" t="str">
        <f t="shared" si="155"/>
        <v>27.9103246607183</v>
      </c>
      <c r="Q200" s="18" t="str">
        <f t="shared" si="156"/>
        <v>1+2.0391887406877i</v>
      </c>
      <c r="R200" s="18">
        <f t="shared" si="168"/>
        <v>2.2711870729086776</v>
      </c>
      <c r="S200" s="18">
        <f t="shared" si="169"/>
        <v>1.1148653483476527</v>
      </c>
      <c r="T200" s="18" t="str">
        <f t="shared" si="157"/>
        <v>1+0.00182655412063131i</v>
      </c>
      <c r="U200" s="18">
        <f t="shared" si="170"/>
        <v>1.0000016681485864</v>
      </c>
      <c r="V200" s="18">
        <f t="shared" si="171"/>
        <v>1.8265520893245657E-3</v>
      </c>
      <c r="W200" s="32" t="str">
        <f t="shared" si="158"/>
        <v>1-0.0240875543405363i</v>
      </c>
      <c r="X200" s="18">
        <f t="shared" si="172"/>
        <v>1.0002900630687623</v>
      </c>
      <c r="Y200" s="18">
        <f t="shared" si="173"/>
        <v>-2.4082897346148251E-2</v>
      </c>
      <c r="Z200" s="32" t="str">
        <f t="shared" si="159"/>
        <v>0.999990981077846+0.0110149893380013i</v>
      </c>
      <c r="AA200" s="18">
        <f t="shared" si="174"/>
        <v>1.000051644779983</v>
      </c>
      <c r="AB200" s="18">
        <f t="shared" si="175"/>
        <v>1.101464321975484E-2</v>
      </c>
      <c r="AC200" s="67" t="str">
        <f t="shared" si="176"/>
        <v>5.04195524616253-11.2101540406696i</v>
      </c>
      <c r="AD200" s="65">
        <f t="shared" si="177"/>
        <v>21.792324625256239</v>
      </c>
      <c r="AE200" s="62">
        <f t="shared" si="178"/>
        <v>-65.783366405639129</v>
      </c>
      <c r="AF200" s="50" t="str">
        <f t="shared" si="160"/>
        <v>79.1527877025864</v>
      </c>
      <c r="AG200" s="50" t="str">
        <f t="shared" si="161"/>
        <v>1+2.02325994900698i</v>
      </c>
      <c r="AH200" s="50">
        <f t="shared" si="179"/>
        <v>2.2568962805711137</v>
      </c>
      <c r="AI200" s="50">
        <f t="shared" si="180"/>
        <v>1.1117577919221497</v>
      </c>
      <c r="AJ200" s="50" t="str">
        <f t="shared" si="162"/>
        <v>1+0.00182655412063131i</v>
      </c>
      <c r="AK200" s="50">
        <f t="shared" si="181"/>
        <v>1.0000016681485864</v>
      </c>
      <c r="AL200" s="50">
        <f t="shared" si="182"/>
        <v>1.8265520893245657E-3</v>
      </c>
      <c r="AM200" s="50" t="str">
        <f t="shared" si="163"/>
        <v>1-0.0084272322009939i</v>
      </c>
      <c r="AN200" s="50">
        <f t="shared" si="183"/>
        <v>1.0000355084908583</v>
      </c>
      <c r="AO200" s="50">
        <f t="shared" si="184"/>
        <v>-8.4270327137539579E-3</v>
      </c>
      <c r="AP200" s="59" t="str">
        <f t="shared" si="185"/>
        <v>15.3324217761843-31.5439369718242i</v>
      </c>
      <c r="AQ200" s="50">
        <f t="shared" si="186"/>
        <v>30.899415190460001</v>
      </c>
      <c r="AR200" s="62">
        <f t="shared" si="187"/>
        <v>-64.077209000460414</v>
      </c>
      <c r="AS200" s="32" t="str">
        <f t="shared" si="164"/>
        <v>-0.0000166666666666667</v>
      </c>
      <c r="AT200" s="32" t="str">
        <f t="shared" si="165"/>
        <v>0.0000141142818412419i</v>
      </c>
      <c r="AU200" s="32">
        <f t="shared" si="188"/>
        <v>1.4114281841241899E-5</v>
      </c>
      <c r="AV200" s="32">
        <f t="shared" si="189"/>
        <v>1.5707963267948966</v>
      </c>
      <c r="AW200" s="32" t="str">
        <f t="shared" si="166"/>
        <v>1+0.0143438220649576i</v>
      </c>
      <c r="AX200" s="32">
        <f t="shared" si="190"/>
        <v>1.0001028673248724</v>
      </c>
      <c r="AY200" s="32">
        <f t="shared" si="191"/>
        <v>1.434283846204759E-2</v>
      </c>
      <c r="AZ200" s="32" t="str">
        <f t="shared" si="167"/>
        <v>1+0.487689950208559i</v>
      </c>
      <c r="BA200" s="32">
        <f t="shared" si="192"/>
        <v>1.1125832497096237</v>
      </c>
      <c r="BB200" s="32">
        <f t="shared" si="193"/>
        <v>0.45375116036423724</v>
      </c>
      <c r="BC200" s="59" t="str">
        <f t="shared" si="194"/>
        <v>-0.558829660140446+1.18885278439087i</v>
      </c>
      <c r="BD200" s="50">
        <f t="shared" si="195"/>
        <v>2.3695561803241989</v>
      </c>
      <c r="BE200" s="62">
        <f t="shared" si="196"/>
        <v>115.1762423279213</v>
      </c>
      <c r="BF200" s="59" t="str">
        <f t="shared" si="197"/>
        <v>10.5096287080443+12.2587091058439i</v>
      </c>
      <c r="BG200" s="65">
        <f t="shared" si="198"/>
        <v>24.161880805580438</v>
      </c>
      <c r="BH200" s="62">
        <f t="shared" si="199"/>
        <v>49.392875922282045</v>
      </c>
      <c r="BI200" s="59" t="str">
        <f t="shared" si="203"/>
        <v>28.9328852492883+35.8556798975281i</v>
      </c>
      <c r="BJ200" s="65">
        <f t="shared" si="200"/>
        <v>33.268971370784207</v>
      </c>
      <c r="BK200" s="62">
        <f t="shared" si="204"/>
        <v>51.099033327460866</v>
      </c>
      <c r="BL200" s="50">
        <f t="shared" si="201"/>
        <v>24.161880805580438</v>
      </c>
      <c r="BM200" s="62">
        <f t="shared" si="202"/>
        <v>49.392875922282045</v>
      </c>
    </row>
    <row r="201" spans="14:65" x14ac:dyDescent="0.3">
      <c r="N201" s="11">
        <v>83</v>
      </c>
      <c r="O201" s="51">
        <f t="shared" si="205"/>
        <v>676.08297539198213</v>
      </c>
      <c r="P201" s="49" t="str">
        <f t="shared" si="155"/>
        <v>27.9103246607183</v>
      </c>
      <c r="Q201" s="18" t="str">
        <f t="shared" si="156"/>
        <v>1+2.08668754828354i</v>
      </c>
      <c r="R201" s="18">
        <f t="shared" si="168"/>
        <v>2.3139284613318472</v>
      </c>
      <c r="S201" s="18">
        <f t="shared" si="169"/>
        <v>1.1239036282090442</v>
      </c>
      <c r="T201" s="18" t="str">
        <f t="shared" si="157"/>
        <v>1+0.00186910003166355i</v>
      </c>
      <c r="U201" s="18">
        <f t="shared" si="170"/>
        <v>1.0000017467659386</v>
      </c>
      <c r="V201" s="18">
        <f t="shared" si="171"/>
        <v>1.869097855079364E-3</v>
      </c>
      <c r="W201" s="32" t="str">
        <f t="shared" si="158"/>
        <v>1-0.0246486255578526i</v>
      </c>
      <c r="X201" s="18">
        <f t="shared" si="172"/>
        <v>1.000303731244611</v>
      </c>
      <c r="Y201" s="18">
        <f t="shared" si="173"/>
        <v>-2.4643635580290799E-2</v>
      </c>
      <c r="Z201" s="32" t="str">
        <f t="shared" si="159"/>
        <v>0.99999055602914+0.0112715613996239i</v>
      </c>
      <c r="AA201" s="18">
        <f t="shared" si="174"/>
        <v>1.0000540786596765</v>
      </c>
      <c r="AB201" s="18">
        <f t="shared" si="175"/>
        <v>1.1271190528315026E-2</v>
      </c>
      <c r="AC201" s="67" t="str">
        <f t="shared" si="176"/>
        <v>4.84066820427731-11.0512446647963i</v>
      </c>
      <c r="AD201" s="65">
        <f t="shared" si="177"/>
        <v>21.630482447412138</v>
      </c>
      <c r="AE201" s="62">
        <f t="shared" si="178"/>
        <v>-66.345611015195075</v>
      </c>
      <c r="AF201" s="50" t="str">
        <f t="shared" si="160"/>
        <v>79.1527877025864</v>
      </c>
      <c r="AG201" s="50" t="str">
        <f t="shared" si="161"/>
        <v>1+2.07038772738116i</v>
      </c>
      <c r="AH201" s="50">
        <f t="shared" si="179"/>
        <v>2.2992401661615354</v>
      </c>
      <c r="AI201" s="50">
        <f t="shared" si="180"/>
        <v>1.120839906976955</v>
      </c>
      <c r="AJ201" s="50" t="str">
        <f t="shared" si="162"/>
        <v>1+0.00186910003166355i</v>
      </c>
      <c r="AK201" s="50">
        <f t="shared" si="181"/>
        <v>1.0000017467659386</v>
      </c>
      <c r="AL201" s="50">
        <f t="shared" si="182"/>
        <v>1.869097855079364E-3</v>
      </c>
      <c r="AM201" s="50" t="str">
        <f t="shared" si="163"/>
        <v>1-0.00862352765559977i</v>
      </c>
      <c r="AN201" s="50">
        <f t="shared" si="183"/>
        <v>1.0000371819233658</v>
      </c>
      <c r="AO201" s="50">
        <f t="shared" si="184"/>
        <v>-8.6233139016002568E-3</v>
      </c>
      <c r="AP201" s="59" t="str">
        <f t="shared" si="185"/>
        <v>14.7634710255876-31.1007410006937i</v>
      </c>
      <c r="AQ201" s="50">
        <f t="shared" si="186"/>
        <v>30.737975670527984</v>
      </c>
      <c r="AR201" s="62">
        <f t="shared" si="187"/>
        <v>-64.6063842530004</v>
      </c>
      <c r="AS201" s="32" t="str">
        <f t="shared" si="164"/>
        <v>-0.0000166666666666667</v>
      </c>
      <c r="AT201" s="32" t="str">
        <f t="shared" si="165"/>
        <v>0.0000144430456992183i</v>
      </c>
      <c r="AU201" s="32">
        <f t="shared" si="188"/>
        <v>1.44430456992183E-5</v>
      </c>
      <c r="AV201" s="32">
        <f t="shared" si="189"/>
        <v>1.5707963267948966</v>
      </c>
      <c r="AW201" s="32" t="str">
        <f t="shared" si="166"/>
        <v>1+0.0146779326015932i</v>
      </c>
      <c r="AX201" s="32">
        <f t="shared" si="190"/>
        <v>1.0001077150514623</v>
      </c>
      <c r="AY201" s="32">
        <f t="shared" si="191"/>
        <v>1.4676878658217105E-2</v>
      </c>
      <c r="AZ201" s="32" t="str">
        <f t="shared" si="167"/>
        <v>1+0.499049708454168i</v>
      </c>
      <c r="BA201" s="32">
        <f t="shared" si="192"/>
        <v>1.1176093286601496</v>
      </c>
      <c r="BB201" s="32">
        <f t="shared" si="193"/>
        <v>0.46288708682359381</v>
      </c>
      <c r="BC201" s="59" t="str">
        <f t="shared" si="194"/>
        <v>-0.558824242630321+1.16216028332269i</v>
      </c>
      <c r="BD201" s="50">
        <f t="shared" si="195"/>
        <v>2.2086640970082252</v>
      </c>
      <c r="BE201" s="62">
        <f t="shared" si="196"/>
        <v>115.68055326255606</v>
      </c>
      <c r="BF201" s="59" t="str">
        <f t="shared" si="197"/>
        <v>10.1382348876281+11.8013357616812i</v>
      </c>
      <c r="BG201" s="65">
        <f t="shared" si="198"/>
        <v>23.839146544420355</v>
      </c>
      <c r="BH201" s="62">
        <f t="shared" si="199"/>
        <v>49.334942247360942</v>
      </c>
      <c r="BI201" s="59" t="str">
        <f t="shared" si="203"/>
        <v>27.8938604584431+34.5373677048776i</v>
      </c>
      <c r="BJ201" s="65">
        <f t="shared" si="200"/>
        <v>32.946639767536197</v>
      </c>
      <c r="BK201" s="62">
        <f t="shared" si="204"/>
        <v>51.074169009555668</v>
      </c>
      <c r="BL201" s="50">
        <f t="shared" si="201"/>
        <v>23.839146544420355</v>
      </c>
      <c r="BM201" s="62">
        <f t="shared" si="202"/>
        <v>49.334942247360942</v>
      </c>
    </row>
    <row r="202" spans="14:65" x14ac:dyDescent="0.3">
      <c r="N202" s="11">
        <v>84</v>
      </c>
      <c r="O202" s="51">
        <f t="shared" si="205"/>
        <v>691.83097091893671</v>
      </c>
      <c r="P202" s="49" t="str">
        <f t="shared" si="155"/>
        <v>27.9103246607183</v>
      </c>
      <c r="Q202" s="18" t="str">
        <f t="shared" si="156"/>
        <v>1+2.13529274523805i</v>
      </c>
      <c r="R202" s="18">
        <f t="shared" si="168"/>
        <v>2.357853919959048</v>
      </c>
      <c r="S202" s="18">
        <f t="shared" si="169"/>
        <v>1.1328124778492032</v>
      </c>
      <c r="T202" s="18" t="str">
        <f t="shared" si="157"/>
        <v>1+0.00191263696427305i</v>
      </c>
      <c r="U202" s="18">
        <f t="shared" si="170"/>
        <v>1.0000018290884056</v>
      </c>
      <c r="V202" s="18">
        <f t="shared" si="171"/>
        <v>1.9126346320213056E-3</v>
      </c>
      <c r="W202" s="32" t="str">
        <f t="shared" si="158"/>
        <v>1-0.0252227658027029i</v>
      </c>
      <c r="X202" s="18">
        <f t="shared" si="172"/>
        <v>1.0003180433815728</v>
      </c>
      <c r="Y202" s="18">
        <f t="shared" si="173"/>
        <v>-2.5217419037223122E-2</v>
      </c>
      <c r="Z202" s="32" t="str">
        <f t="shared" si="159"/>
        <v>0.999990110948506+0.0115341097922974i</v>
      </c>
      <c r="AA202" s="18">
        <f t="shared" si="174"/>
        <v>1.000056627238431</v>
      </c>
      <c r="AB202" s="18">
        <f t="shared" si="175"/>
        <v>1.1533712397735332E-2</v>
      </c>
      <c r="AC202" s="67" t="str">
        <f t="shared" si="176"/>
        <v>4.64510484001243-10.8910716415954i</v>
      </c>
      <c r="AD202" s="65">
        <f t="shared" si="177"/>
        <v>21.467245960300133</v>
      </c>
      <c r="AE202" s="62">
        <f t="shared" si="178"/>
        <v>-66.901472791904695</v>
      </c>
      <c r="AF202" s="50" t="str">
        <f t="shared" si="160"/>
        <v>79.1527877025864</v>
      </c>
      <c r="AG202" s="50" t="str">
        <f t="shared" si="161"/>
        <v>1+2.11861325273322i</v>
      </c>
      <c r="AH202" s="50">
        <f t="shared" si="179"/>
        <v>2.3427595084977964</v>
      </c>
      <c r="AI202" s="50">
        <f t="shared" si="180"/>
        <v>1.1297929510514884</v>
      </c>
      <c r="AJ202" s="50" t="str">
        <f t="shared" si="162"/>
        <v>1+0.00191263696427305i</v>
      </c>
      <c r="AK202" s="50">
        <f t="shared" si="181"/>
        <v>1.0000018290884056</v>
      </c>
      <c r="AL202" s="50">
        <f t="shared" si="182"/>
        <v>1.9126346320213056E-3</v>
      </c>
      <c r="AM202" s="50" t="str">
        <f t="shared" si="163"/>
        <v>1-0.00882439541871453i</v>
      </c>
      <c r="AN202" s="50">
        <f t="shared" si="183"/>
        <v>1.0000389342193161</v>
      </c>
      <c r="AO202" s="50">
        <f t="shared" si="184"/>
        <v>-8.8241663776590859E-3</v>
      </c>
      <c r="AP202" s="59" t="str">
        <f t="shared" si="185"/>
        <v>14.2105762860596-30.6538001982182i</v>
      </c>
      <c r="AQ202" s="50">
        <f t="shared" si="186"/>
        <v>30.575124174660367</v>
      </c>
      <c r="AR202" s="62">
        <f t="shared" si="187"/>
        <v>-65.128369417876385</v>
      </c>
      <c r="AS202" s="32" t="str">
        <f t="shared" si="164"/>
        <v>-0.0000166666666666667</v>
      </c>
      <c r="AT202" s="32" t="str">
        <f t="shared" si="165"/>
        <v>0.0000147794674512008i</v>
      </c>
      <c r="AU202" s="32">
        <f t="shared" si="188"/>
        <v>1.47794674512008E-5</v>
      </c>
      <c r="AV202" s="32">
        <f t="shared" si="189"/>
        <v>1.5707963267948966</v>
      </c>
      <c r="AW202" s="32" t="str">
        <f t="shared" si="166"/>
        <v>1+0.0150198255723795i</v>
      </c>
      <c r="AX202" s="32">
        <f t="shared" si="190"/>
        <v>1.0001127912191827</v>
      </c>
      <c r="AY202" s="32">
        <f t="shared" si="191"/>
        <v>1.5018696258584013E-2</v>
      </c>
      <c r="AZ202" s="32" t="str">
        <f t="shared" si="167"/>
        <v>1+0.510674069460903i</v>
      </c>
      <c r="BA202" s="32">
        <f t="shared" si="192"/>
        <v>1.1228481665923309</v>
      </c>
      <c r="BB202" s="32">
        <f t="shared" si="193"/>
        <v>0.47215035522038729</v>
      </c>
      <c r="BC202" s="59" t="str">
        <f t="shared" si="194"/>
        <v>-0.558818569913386+1.13608396752431i</v>
      </c>
      <c r="BD202" s="50">
        <f t="shared" si="195"/>
        <v>2.0492403315874883</v>
      </c>
      <c r="BE202" s="62">
        <f t="shared" si="196"/>
        <v>116.191714740325</v>
      </c>
      <c r="BF202" s="59" t="str">
        <f t="shared" si="197"/>
        <v>9.77740103738171+11.3633622157883i</v>
      </c>
      <c r="BG202" s="65">
        <f t="shared" si="198"/>
        <v>23.516486291887631</v>
      </c>
      <c r="BH202" s="62">
        <f t="shared" si="199"/>
        <v>49.290241948420366</v>
      </c>
      <c r="BI202" s="59" t="str">
        <f t="shared" si="203"/>
        <v>26.8841570310683+33.2743206770524i</v>
      </c>
      <c r="BJ202" s="65">
        <f t="shared" si="200"/>
        <v>32.624364506247851</v>
      </c>
      <c r="BK202" s="62">
        <f t="shared" si="204"/>
        <v>51.063345322448612</v>
      </c>
      <c r="BL202" s="50">
        <f t="shared" si="201"/>
        <v>23.516486291887631</v>
      </c>
      <c r="BM202" s="62">
        <f t="shared" si="202"/>
        <v>49.290241948420366</v>
      </c>
    </row>
    <row r="203" spans="14:65" x14ac:dyDescent="0.3">
      <c r="N203" s="11">
        <v>85</v>
      </c>
      <c r="O203" s="51">
        <f t="shared" si="205"/>
        <v>707.94578438413873</v>
      </c>
      <c r="P203" s="49" t="str">
        <f t="shared" si="155"/>
        <v>27.9103246607183</v>
      </c>
      <c r="Q203" s="18" t="str">
        <f t="shared" si="156"/>
        <v>1+2.18503010267004i</v>
      </c>
      <c r="R203" s="18">
        <f t="shared" si="168"/>
        <v>2.4029890864450976</v>
      </c>
      <c r="S203" s="18">
        <f t="shared" si="169"/>
        <v>1.1415909632619887</v>
      </c>
      <c r="T203" s="18" t="str">
        <f t="shared" si="157"/>
        <v>1+0.00195718800231775i</v>
      </c>
      <c r="U203" s="18">
        <f t="shared" si="170"/>
        <v>1.0000019152906041</v>
      </c>
      <c r="V203" s="18">
        <f t="shared" si="171"/>
        <v>1.9571855032652396E-3</v>
      </c>
      <c r="W203" s="32" t="str">
        <f t="shared" si="158"/>
        <v>1-0.0258102794918446i</v>
      </c>
      <c r="X203" s="18">
        <f t="shared" si="172"/>
        <v>1.0003330298092965</v>
      </c>
      <c r="Y203" s="18">
        <f t="shared" si="173"/>
        <v>-2.5804550432421098E-2</v>
      </c>
      <c r="Z203" s="32" t="str">
        <f t="shared" si="159"/>
        <v>0.999989644891867+0.0118027737226548i</v>
      </c>
      <c r="AA203" s="18">
        <f t="shared" si="174"/>
        <v>1.000059295921252</v>
      </c>
      <c r="AB203" s="18">
        <f t="shared" si="175"/>
        <v>1.1802347908061946E-2</v>
      </c>
      <c r="AC203" s="67" t="str">
        <f t="shared" si="176"/>
        <v>4.45522301986617-10.7298549242391i</v>
      </c>
      <c r="AD203" s="65">
        <f t="shared" si="177"/>
        <v>21.302655591270089</v>
      </c>
      <c r="AE203" s="62">
        <f t="shared" si="178"/>
        <v>-67.450922211612053</v>
      </c>
      <c r="AF203" s="50" t="str">
        <f t="shared" si="160"/>
        <v>79.1527877025864</v>
      </c>
      <c r="AG203" s="50" t="str">
        <f t="shared" si="161"/>
        <v>1+2.16796209487504i</v>
      </c>
      <c r="AH203" s="50">
        <f t="shared" si="179"/>
        <v>2.3874797684619176</v>
      </c>
      <c r="AI203" s="50">
        <f t="shared" si="180"/>
        <v>1.1386159289788773</v>
      </c>
      <c r="AJ203" s="50" t="str">
        <f t="shared" si="162"/>
        <v>1+0.00195718800231775i</v>
      </c>
      <c r="AK203" s="50">
        <f t="shared" si="181"/>
        <v>1.0000019152906041</v>
      </c>
      <c r="AL203" s="50">
        <f t="shared" si="182"/>
        <v>1.9571855032652396E-3</v>
      </c>
      <c r="AM203" s="50" t="str">
        <f t="shared" si="163"/>
        <v>1-0.00902994199308498i</v>
      </c>
      <c r="AN203" s="50">
        <f t="shared" si="183"/>
        <v>1.0000407690951396</v>
      </c>
      <c r="AO203" s="50">
        <f t="shared" si="184"/>
        <v>-9.0296965717127468E-3</v>
      </c>
      <c r="AP203" s="59" t="str">
        <f t="shared" si="185"/>
        <v>13.6736288991915-30.2037373479389i</v>
      </c>
      <c r="AQ203" s="50">
        <f t="shared" si="186"/>
        <v>30.410901043513974</v>
      </c>
      <c r="AR203" s="62">
        <f t="shared" si="187"/>
        <v>-65.64311225163874</v>
      </c>
      <c r="AS203" s="32" t="str">
        <f t="shared" si="164"/>
        <v>-0.0000166666666666667</v>
      </c>
      <c r="AT203" s="32" t="str">
        <f t="shared" si="165"/>
        <v>0.0000151237254724553i</v>
      </c>
      <c r="AU203" s="32">
        <f t="shared" si="188"/>
        <v>1.51237254724553E-5</v>
      </c>
      <c r="AV203" s="32">
        <f t="shared" si="189"/>
        <v>1.5707963267948966</v>
      </c>
      <c r="AW203" s="32" t="str">
        <f t="shared" si="166"/>
        <v>1+0.0153696822534952i</v>
      </c>
      <c r="AX203" s="32">
        <f t="shared" si="190"/>
        <v>1.0001181065917031</v>
      </c>
      <c r="AY203" s="32">
        <f t="shared" si="191"/>
        <v>1.5368472179679495E-2</v>
      </c>
      <c r="AZ203" s="32" t="str">
        <f t="shared" si="167"/>
        <v>1+0.522569196618838i</v>
      </c>
      <c r="BA203" s="32">
        <f t="shared" si="192"/>
        <v>1.1283078326657392</v>
      </c>
      <c r="BB203" s="32">
        <f t="shared" si="193"/>
        <v>0.48153951722761618</v>
      </c>
      <c r="BC203" s="59" t="str">
        <f t="shared" si="194"/>
        <v>-0.558812629972978+1.11061001045212i</v>
      </c>
      <c r="BD203" s="50">
        <f t="shared" si="195"/>
        <v>1.8913255442071184</v>
      </c>
      <c r="BE203" s="62">
        <f t="shared" si="196"/>
        <v>116.70963341244979</v>
      </c>
      <c r="BF203" s="59" t="str">
        <f t="shared" si="197"/>
        <v>9.42704939671135+10.9439937341027i</v>
      </c>
      <c r="BG203" s="65">
        <f t="shared" si="198"/>
        <v>23.19398113547723</v>
      </c>
      <c r="BH203" s="62">
        <f t="shared" si="199"/>
        <v>49.258711200837865</v>
      </c>
      <c r="BI203" s="59" t="str">
        <f t="shared" si="203"/>
        <v>25.9035765252558+32.0642990370643i</v>
      </c>
      <c r="BJ203" s="65">
        <f t="shared" si="200"/>
        <v>32.302226587721094</v>
      </c>
      <c r="BK203" s="62">
        <f t="shared" si="204"/>
        <v>51.066521160811064</v>
      </c>
      <c r="BL203" s="50">
        <f t="shared" si="201"/>
        <v>23.19398113547723</v>
      </c>
      <c r="BM203" s="62">
        <f t="shared" si="202"/>
        <v>49.258711200837865</v>
      </c>
    </row>
    <row r="204" spans="14:65" x14ac:dyDescent="0.3">
      <c r="N204" s="11">
        <v>86</v>
      </c>
      <c r="O204" s="51">
        <f t="shared" si="205"/>
        <v>724.43596007499025</v>
      </c>
      <c r="P204" s="49" t="str">
        <f t="shared" si="155"/>
        <v>27.9103246607183</v>
      </c>
      <c r="Q204" s="18" t="str">
        <f t="shared" si="156"/>
        <v>1+2.23592599198474i</v>
      </c>
      <c r="R204" s="18">
        <f t="shared" si="168"/>
        <v>2.4493601290200147</v>
      </c>
      <c r="S204" s="18">
        <f t="shared" si="169"/>
        <v>1.1502383260061704</v>
      </c>
      <c r="T204" s="18" t="str">
        <f t="shared" si="157"/>
        <v>1+0.00200277676734772i</v>
      </c>
      <c r="U204" s="18">
        <f t="shared" si="170"/>
        <v>1.0000020055553789</v>
      </c>
      <c r="V204" s="18">
        <f t="shared" si="171"/>
        <v>2.0027740895650005E-3</v>
      </c>
      <c r="W204" s="32" t="str">
        <f t="shared" si="158"/>
        <v>1-0.0264114781328122i</v>
      </c>
      <c r="X204" s="18">
        <f t="shared" si="172"/>
        <v>1.0003487222849641</v>
      </c>
      <c r="Y204" s="18">
        <f t="shared" si="173"/>
        <v>-2.6405339450611607E-2</v>
      </c>
      <c r="Z204" s="32" t="str">
        <f t="shared" si="159"/>
        <v>0.999989156870656+0.0120776956398681i</v>
      </c>
      <c r="AA204" s="18">
        <f t="shared" si="174"/>
        <v>1.0000620903678206</v>
      </c>
      <c r="AB204" s="18">
        <f t="shared" si="175"/>
        <v>1.2077239372828582E-2</v>
      </c>
      <c r="AC204" s="67" t="str">
        <f t="shared" si="176"/>
        <v>4.27097132879857-10.5678069865839i</v>
      </c>
      <c r="AD204" s="65">
        <f t="shared" si="177"/>
        <v>21.136751447684379</v>
      </c>
      <c r="AE204" s="62">
        <f t="shared" si="178"/>
        <v>-67.993940363058726</v>
      </c>
      <c r="AF204" s="50" t="str">
        <f t="shared" si="160"/>
        <v>79.1527877025864</v>
      </c>
      <c r="AG204" s="50" t="str">
        <f t="shared" si="161"/>
        <v>1+2.21846041921593i</v>
      </c>
      <c r="AH204" s="50">
        <f t="shared" si="179"/>
        <v>2.433426931639354</v>
      </c>
      <c r="AI204" s="50">
        <f t="shared" si="180"/>
        <v>1.1473080232083652</v>
      </c>
      <c r="AJ204" s="50" t="str">
        <f t="shared" si="162"/>
        <v>1+0.00200277676734772i</v>
      </c>
      <c r="AK204" s="50">
        <f t="shared" si="181"/>
        <v>1.0000020055553789</v>
      </c>
      <c r="AL204" s="50">
        <f t="shared" si="182"/>
        <v>2.0027740895650005E-3</v>
      </c>
      <c r="AM204" s="50" t="str">
        <f t="shared" si="163"/>
        <v>1-0.00924027636222556i</v>
      </c>
      <c r="AN204" s="50">
        <f t="shared" si="183"/>
        <v>1.0000426904423882</v>
      </c>
      <c r="AO204" s="50">
        <f t="shared" si="184"/>
        <v>-9.2400133890935942E-3</v>
      </c>
      <c r="AP204" s="59" t="str">
        <f t="shared" si="185"/>
        <v>13.1524935520832-29.7511546282203i</v>
      </c>
      <c r="AQ204" s="50">
        <f t="shared" si="186"/>
        <v>30.245346311696494</v>
      </c>
      <c r="AR204" s="62">
        <f t="shared" si="187"/>
        <v>-66.15057079852609</v>
      </c>
      <c r="AS204" s="32" t="str">
        <f t="shared" si="164"/>
        <v>-0.0000166666666666667</v>
      </c>
      <c r="AT204" s="32" t="str">
        <f t="shared" si="165"/>
        <v>0.0000154760022931414i</v>
      </c>
      <c r="AU204" s="32">
        <f t="shared" si="188"/>
        <v>1.5476002293141401E-5</v>
      </c>
      <c r="AV204" s="32">
        <f t="shared" si="189"/>
        <v>1.5707963267948966</v>
      </c>
      <c r="AW204" s="32" t="str">
        <f t="shared" si="166"/>
        <v>1+0.0157276881435835i</v>
      </c>
      <c r="AX204" s="32">
        <f t="shared" si="190"/>
        <v>1.0001236724397347</v>
      </c>
      <c r="AY204" s="32">
        <f t="shared" si="191"/>
        <v>1.5726391534788622E-2</v>
      </c>
      <c r="AZ204" s="32" t="str">
        <f t="shared" si="167"/>
        <v>1+0.53474139688184i</v>
      </c>
      <c r="BA204" s="32">
        <f t="shared" si="192"/>
        <v>1.1339966320669306</v>
      </c>
      <c r="BB204" s="32">
        <f t="shared" si="193"/>
        <v>0.49105292850404259</v>
      </c>
      <c r="BC204" s="59" t="str">
        <f t="shared" si="194"/>
        <v>-0.558806410227146+1.08572490490279i</v>
      </c>
      <c r="BD204" s="50">
        <f t="shared" si="195"/>
        <v>1.7349604399429528</v>
      </c>
      <c r="BE204" s="62">
        <f t="shared" si="196"/>
        <v>117.23420445890734</v>
      </c>
      <c r="BF204" s="59" t="str">
        <f t="shared" si="197"/>
        <v>9.08708507911085+10.5424582259487i</v>
      </c>
      <c r="BG204" s="65">
        <f t="shared" si="198"/>
        <v>22.871711887627342</v>
      </c>
      <c r="BH204" s="62">
        <f t="shared" si="199"/>
        <v>49.240264095848694</v>
      </c>
      <c r="BI204" s="59" t="str">
        <f t="shared" si="203"/>
        <v>24.9518718220974+30.9051257289786i</v>
      </c>
      <c r="BJ204" s="65">
        <f t="shared" si="200"/>
        <v>31.980306751639446</v>
      </c>
      <c r="BK204" s="62">
        <f t="shared" si="204"/>
        <v>51.083633660381231</v>
      </c>
      <c r="BL204" s="50">
        <f t="shared" si="201"/>
        <v>22.871711887627342</v>
      </c>
      <c r="BM204" s="62">
        <f t="shared" si="202"/>
        <v>49.240264095848694</v>
      </c>
    </row>
    <row r="205" spans="14:65" x14ac:dyDescent="0.3">
      <c r="N205" s="11">
        <v>87</v>
      </c>
      <c r="O205" s="51">
        <f t="shared" si="205"/>
        <v>741.31024130091828</v>
      </c>
      <c r="P205" s="49" t="str">
        <f t="shared" si="155"/>
        <v>27.9103246607183</v>
      </c>
      <c r="Q205" s="18" t="str">
        <f t="shared" si="156"/>
        <v>1+2.28800739885638i</v>
      </c>
      <c r="R205" s="18">
        <f t="shared" si="168"/>
        <v>2.4969937639532742</v>
      </c>
      <c r="S205" s="18">
        <f t="shared" si="169"/>
        <v>1.1587539770085156</v>
      </c>
      <c r="T205" s="18" t="str">
        <f t="shared" si="157"/>
        <v>1+0.00204942743112962i</v>
      </c>
      <c r="U205" s="18">
        <f t="shared" si="170"/>
        <v>1.0000021000741925</v>
      </c>
      <c r="V205" s="18">
        <f t="shared" si="171"/>
        <v>2.049424561834066E-3</v>
      </c>
      <c r="W205" s="32" t="str">
        <f t="shared" si="158"/>
        <v>1-0.0270266804890831i</v>
      </c>
      <c r="X205" s="18">
        <f t="shared" si="172"/>
        <v>1.0003651540603855</v>
      </c>
      <c r="Y205" s="18">
        <f t="shared" si="173"/>
        <v>-2.7020102902265027E-2</v>
      </c>
      <c r="Z205" s="32" t="str">
        <f t="shared" si="159"/>
        <v>0.999988645849714+0.0123590213111768i</v>
      </c>
      <c r="AA205" s="18">
        <f t="shared" si="174"/>
        <v>1.0000650165044846</v>
      </c>
      <c r="AB205" s="18">
        <f t="shared" si="175"/>
        <v>1.2358532413937893E-2</v>
      </c>
      <c r="AC205" s="67" t="str">
        <f t="shared" si="176"/>
        <v>4.09228977405169-10.4051325200933i</v>
      </c>
      <c r="AD205" s="65">
        <f t="shared" si="177"/>
        <v>20.969573254440416</v>
      </c>
      <c r="AE205" s="62">
        <f t="shared" si="178"/>
        <v>-68.530518605366822</v>
      </c>
      <c r="AF205" s="50" t="str">
        <f t="shared" si="160"/>
        <v>79.1527877025864</v>
      </c>
      <c r="AG205" s="50" t="str">
        <f t="shared" si="161"/>
        <v>1+2.27013500063588i</v>
      </c>
      <c r="AH205" s="50">
        <f t="shared" si="179"/>
        <v>2.4806275256700809</v>
      </c>
      <c r="AI205" s="50">
        <f t="shared" si="180"/>
        <v>1.1558685876950214</v>
      </c>
      <c r="AJ205" s="50" t="str">
        <f t="shared" si="162"/>
        <v>1+0.00204942743112962i</v>
      </c>
      <c r="AK205" s="50">
        <f t="shared" si="181"/>
        <v>1.0000021000741925</v>
      </c>
      <c r="AL205" s="50">
        <f t="shared" si="182"/>
        <v>2.049424561834066E-3</v>
      </c>
      <c r="AM205" s="50" t="str">
        <f t="shared" si="163"/>
        <v>1-0.00945551004820291i</v>
      </c>
      <c r="AN205" s="50">
        <f t="shared" si="183"/>
        <v>1.0000447023359864</v>
      </c>
      <c r="AO205" s="50">
        <f t="shared" si="184"/>
        <v>-9.4552282680955262E-3</v>
      </c>
      <c r="AP205" s="59" t="str">
        <f t="shared" si="185"/>
        <v>12.6470102494362-29.2966327057427i</v>
      </c>
      <c r="AQ205" s="50">
        <f t="shared" si="186"/>
        <v>30.07849964319481</v>
      </c>
      <c r="AR205" s="62">
        <f t="shared" si="187"/>
        <v>-66.650713042942826</v>
      </c>
      <c r="AS205" s="32" t="str">
        <f t="shared" si="164"/>
        <v>-0.0000166666666666667</v>
      </c>
      <c r="AT205" s="32" t="str">
        <f t="shared" si="165"/>
        <v>0.0000158364846950925i</v>
      </c>
      <c r="AU205" s="32">
        <f t="shared" si="188"/>
        <v>1.5836484695092499E-5</v>
      </c>
      <c r="AV205" s="32">
        <f t="shared" si="189"/>
        <v>1.5707963267948966</v>
      </c>
      <c r="AW205" s="32" t="str">
        <f t="shared" si="166"/>
        <v>1+0.0160940330621061i</v>
      </c>
      <c r="AX205" s="32">
        <f t="shared" si="190"/>
        <v>1.000129500564904</v>
      </c>
      <c r="AY205" s="32">
        <f t="shared" si="191"/>
        <v>1.6092643730466913E-2</v>
      </c>
      <c r="AZ205" s="32" t="str">
        <f t="shared" si="167"/>
        <v>1+0.547197124111608i</v>
      </c>
      <c r="BA205" s="32">
        <f t="shared" si="192"/>
        <v>1.1399231082121348</v>
      </c>
      <c r="BB205" s="32">
        <f t="shared" si="193"/>
        <v>0.5006887442575052</v>
      </c>
      <c r="BC205" s="59" t="str">
        <f t="shared" si="194"/>
        <v>-0.558799897502116+1.06141545584881i</v>
      </c>
      <c r="BD205" s="50">
        <f t="shared" si="195"/>
        <v>1.580185682481926</v>
      </c>
      <c r="BE205" s="62">
        <f t="shared" si="196"/>
        <v>117.76531132869654</v>
      </c>
      <c r="BF205" s="59" t="str">
        <f t="shared" si="197"/>
        <v>8.75739737069307+10.1580066017146i</v>
      </c>
      <c r="BG205" s="65">
        <f t="shared" si="198"/>
        <v>22.549758936922363</v>
      </c>
      <c r="BH205" s="62">
        <f t="shared" si="199"/>
        <v>49.234792723329804</v>
      </c>
      <c r="BI205" s="59" t="str">
        <f t="shared" si="203"/>
        <v>24.0287507271079+29.7946875021561i</v>
      </c>
      <c r="BJ205" s="65">
        <f t="shared" si="200"/>
        <v>31.658685325676746</v>
      </c>
      <c r="BK205" s="62">
        <f t="shared" si="204"/>
        <v>51.114598285753743</v>
      </c>
      <c r="BL205" s="50">
        <f t="shared" si="201"/>
        <v>22.549758936922363</v>
      </c>
      <c r="BM205" s="62">
        <f t="shared" si="202"/>
        <v>49.234792723329804</v>
      </c>
    </row>
    <row r="206" spans="14:65" x14ac:dyDescent="0.3">
      <c r="N206" s="11">
        <v>88</v>
      </c>
      <c r="O206" s="51">
        <f t="shared" si="205"/>
        <v>758.57757502918378</v>
      </c>
      <c r="P206" s="49" t="str">
        <f t="shared" si="155"/>
        <v>27.9103246607183</v>
      </c>
      <c r="Q206" s="18" t="str">
        <f t="shared" si="156"/>
        <v>1+2.34130193753625i</v>
      </c>
      <c r="R206" s="18">
        <f t="shared" si="168"/>
        <v>2.5459172733439313</v>
      </c>
      <c r="S206" s="18">
        <f t="shared" si="169"/>
        <v>1.1671374901450704</v>
      </c>
      <c r="T206" s="18" t="str">
        <f t="shared" si="157"/>
        <v>1+0.00209716472846289i</v>
      </c>
      <c r="U206" s="18">
        <f t="shared" si="170"/>
        <v>1.0000021990475312</v>
      </c>
      <c r="V206" s="18">
        <f t="shared" si="171"/>
        <v>2.0971616539576768E-3</v>
      </c>
      <c r="W206" s="32" t="str">
        <f t="shared" si="158"/>
        <v>1-0.0276562127490897i</v>
      </c>
      <c r="X206" s="18">
        <f t="shared" si="172"/>
        <v>1.0003823599522448</v>
      </c>
      <c r="Y206" s="18">
        <f t="shared" si="173"/>
        <v>-2.7649164883315806E-2</v>
      </c>
      <c r="Z206" s="32" t="str">
        <f t="shared" si="159"/>
        <v>0.999988110745096+0.0126468998991757i</v>
      </c>
      <c r="AA206" s="18">
        <f t="shared" si="174"/>
        <v>1.0000680805368234</v>
      </c>
      <c r="AB206" s="18">
        <f t="shared" si="175"/>
        <v>1.2646376038255924E-2</v>
      </c>
      <c r="AC206" s="67" t="str">
        <f t="shared" si="176"/>
        <v>3.91911048376844-10.242028189939i</v>
      </c>
      <c r="AD206" s="65">
        <f t="shared" si="177"/>
        <v>20.801160296463294</v>
      </c>
      <c r="AE206" s="62">
        <f t="shared" si="178"/>
        <v>-69.060658213078582</v>
      </c>
      <c r="AF206" s="50" t="str">
        <f t="shared" si="160"/>
        <v>79.1527877025864</v>
      </c>
      <c r="AG206" s="50" t="str">
        <f t="shared" si="161"/>
        <v>1+2.32301323768196i</v>
      </c>
      <c r="AH206" s="50">
        <f t="shared" si="179"/>
        <v>2.5291086379287115</v>
      </c>
      <c r="AI206" s="50">
        <f t="shared" si="180"/>
        <v>1.1642971415511867</v>
      </c>
      <c r="AJ206" s="50" t="str">
        <f t="shared" si="162"/>
        <v>1+0.00209716472846289i</v>
      </c>
      <c r="AK206" s="50">
        <f t="shared" si="181"/>
        <v>1.0000021990475312</v>
      </c>
      <c r="AL206" s="50">
        <f t="shared" si="182"/>
        <v>2.0971616539576768E-3</v>
      </c>
      <c r="AM206" s="50" t="str">
        <f t="shared" si="163"/>
        <v>1-0.00967575717076629i</v>
      </c>
      <c r="AN206" s="50">
        <f t="shared" si="183"/>
        <v>1.0000468090428705</v>
      </c>
      <c r="AO206" s="50">
        <f t="shared" si="184"/>
        <v>-9.6754552387046718E-3</v>
      </c>
      <c r="AP206" s="59" t="str">
        <f t="shared" si="185"/>
        <v>12.1569962755919-28.8407299973203i</v>
      </c>
      <c r="AQ206" s="50">
        <f t="shared" si="186"/>
        <v>29.910400271763926</v>
      </c>
      <c r="AR206" s="62">
        <f t="shared" si="187"/>
        <v>-67.143516548345829</v>
      </c>
      <c r="AS206" s="32" t="str">
        <f t="shared" si="164"/>
        <v>-0.0000166666666666667</v>
      </c>
      <c r="AT206" s="32" t="str">
        <f t="shared" si="165"/>
        <v>0.0000162053638108496i</v>
      </c>
      <c r="AU206" s="32">
        <f t="shared" si="188"/>
        <v>1.6205363810849602E-5</v>
      </c>
      <c r="AV206" s="32">
        <f t="shared" si="189"/>
        <v>1.5707963267948966</v>
      </c>
      <c r="AW206" s="32" t="str">
        <f t="shared" si="166"/>
        <v>1+0.016468911249988i</v>
      </c>
      <c r="AX206" s="32">
        <f t="shared" si="190"/>
        <v>1.000135603324749</v>
      </c>
      <c r="AY206" s="32">
        <f t="shared" si="191"/>
        <v>1.6467422565216425E-2</v>
      </c>
      <c r="AZ206" s="32" t="str">
        <f t="shared" si="167"/>
        <v>1+0.559942982499591i</v>
      </c>
      <c r="BA206" s="32">
        <f t="shared" si="192"/>
        <v>1.146096044688462</v>
      </c>
      <c r="BB206" s="32">
        <f t="shared" si="193"/>
        <v>0.51044491533460712</v>
      </c>
      <c r="BC206" s="59" t="str">
        <f t="shared" si="194"/>
        <v>-0.558793078004519+1.03766877343941i</v>
      </c>
      <c r="BD206" s="50">
        <f t="shared" si="195"/>
        <v>1.4270418032825327</v>
      </c>
      <c r="BE206" s="62">
        <f t="shared" si="196"/>
        <v>118.30282551014031</v>
      </c>
      <c r="BF206" s="59" t="str">
        <f t="shared" si="197"/>
        <v>8.43786101912112+9.7899130259306i</v>
      </c>
      <c r="BG206" s="65">
        <f t="shared" si="198"/>
        <v>22.228202099745825</v>
      </c>
      <c r="BH206" s="62">
        <f t="shared" si="199"/>
        <v>49.242167297061727</v>
      </c>
      <c r="BI206" s="59" t="str">
        <f t="shared" si="203"/>
        <v>23.1338795532891+28.7309357011008i</v>
      </c>
      <c r="BJ206" s="65">
        <f t="shared" si="200"/>
        <v>31.337442075046454</v>
      </c>
      <c r="BK206" s="62">
        <f t="shared" si="204"/>
        <v>51.159308961794466</v>
      </c>
      <c r="BL206" s="50">
        <f t="shared" si="201"/>
        <v>22.228202099745825</v>
      </c>
      <c r="BM206" s="62">
        <f t="shared" si="202"/>
        <v>49.242167297061727</v>
      </c>
    </row>
    <row r="207" spans="14:65" x14ac:dyDescent="0.3">
      <c r="N207" s="11">
        <v>89</v>
      </c>
      <c r="O207" s="51">
        <f t="shared" si="205"/>
        <v>776.24711662869231</v>
      </c>
      <c r="P207" s="49" t="str">
        <f t="shared" si="155"/>
        <v>27.9103246607183</v>
      </c>
      <c r="Q207" s="18" t="str">
        <f t="shared" si="156"/>
        <v>1+2.3958378654942i</v>
      </c>
      <c r="R207" s="18">
        <f t="shared" si="168"/>
        <v>2.5961585232292359</v>
      </c>
      <c r="S207" s="18">
        <f t="shared" si="169"/>
        <v>1.1753885956475338</v>
      </c>
      <c r="T207" s="18" t="str">
        <f t="shared" si="157"/>
        <v>1+0.00214601397029445i</v>
      </c>
      <c r="U207" s="18">
        <f t="shared" si="170"/>
        <v>1.0000023026853293</v>
      </c>
      <c r="V207" s="18">
        <f t="shared" si="171"/>
        <v>2.1460106759031696E-3</v>
      </c>
      <c r="W207" s="32" t="str">
        <f t="shared" si="158"/>
        <v>1-0.0283004086991691i</v>
      </c>
      <c r="X207" s="18">
        <f t="shared" si="172"/>
        <v>1.0004003764156328</v>
      </c>
      <c r="Y207" s="18">
        <f t="shared" si="173"/>
        <v>-2.8292856938158667E-2</v>
      </c>
      <c r="Z207" s="32" t="str">
        <f t="shared" si="159"/>
        <v>0.999987550421775+0.0129414840409027i</v>
      </c>
      <c r="AA207" s="18">
        <f t="shared" si="174"/>
        <v>1.0000712889628034</v>
      </c>
      <c r="AB207" s="18">
        <f t="shared" si="175"/>
        <v>1.2940922715956912E-2</v>
      </c>
      <c r="AC207" s="67" t="str">
        <f t="shared" si="176"/>
        <v>3.75135839600123-10.0786824472858i</v>
      </c>
      <c r="AD207" s="65">
        <f t="shared" si="177"/>
        <v>20.631551366114426</v>
      </c>
      <c r="AE207" s="62">
        <f t="shared" si="178"/>
        <v>-69.584370011446467</v>
      </c>
      <c r="AF207" s="50" t="str">
        <f t="shared" si="160"/>
        <v>79.1527877025864</v>
      </c>
      <c r="AG207" s="50" t="str">
        <f t="shared" si="161"/>
        <v>1+2.37712316709538i</v>
      </c>
      <c r="AH207" s="50">
        <f t="shared" si="179"/>
        <v>2.5788979335253983</v>
      </c>
      <c r="AI207" s="50">
        <f t="shared" si="180"/>
        <v>1.1725933625073088</v>
      </c>
      <c r="AJ207" s="50" t="str">
        <f t="shared" si="162"/>
        <v>1+0.00214601397029445i</v>
      </c>
      <c r="AK207" s="50">
        <f t="shared" si="181"/>
        <v>1.0000023026853293</v>
      </c>
      <c r="AL207" s="50">
        <f t="shared" si="182"/>
        <v>2.1460106759031696E-3</v>
      </c>
      <c r="AM207" s="50" t="str">
        <f t="shared" si="163"/>
        <v>1-0.00990113450785541i</v>
      </c>
      <c r="AN207" s="50">
        <f t="shared" si="183"/>
        <v>1.0000490150310346</v>
      </c>
      <c r="AO207" s="50">
        <f t="shared" si="184"/>
        <v>-9.9008109826789203E-3</v>
      </c>
      <c r="AP207" s="59" t="str">
        <f t="shared" si="185"/>
        <v>11.6822481337184-28.3839820919362i</v>
      </c>
      <c r="AQ207" s="50">
        <f t="shared" si="186"/>
        <v>29.741086946234731</v>
      </c>
      <c r="AR207" s="62">
        <f t="shared" si="187"/>
        <v>-67.628968085267516</v>
      </c>
      <c r="AS207" s="32" t="str">
        <f t="shared" si="164"/>
        <v>-0.0000166666666666667</v>
      </c>
      <c r="AT207" s="32" t="str">
        <f t="shared" si="165"/>
        <v>0.0000165828352250025i</v>
      </c>
      <c r="AU207" s="32">
        <f t="shared" si="188"/>
        <v>1.65828352250025E-5</v>
      </c>
      <c r="AV207" s="32">
        <f t="shared" si="189"/>
        <v>1.5707963267948966</v>
      </c>
      <c r="AW207" s="32" t="str">
        <f t="shared" si="166"/>
        <v>1+0.0168525214726064i</v>
      </c>
      <c r="AX207" s="32">
        <f t="shared" si="190"/>
        <v>1.0001419936588927</v>
      </c>
      <c r="AY207" s="32">
        <f t="shared" si="191"/>
        <v>1.6850926330365369E-2</v>
      </c>
      <c r="AZ207" s="32" t="str">
        <f t="shared" si="167"/>
        <v>1+0.572985730068617i</v>
      </c>
      <c r="BA207" s="32">
        <f t="shared" si="192"/>
        <v>1.1525244669256554</v>
      </c>
      <c r="BB207" s="32">
        <f t="shared" si="193"/>
        <v>0.52031918489213291</v>
      </c>
      <c r="BC207" s="59" t="str">
        <f t="shared" si="194"/>
        <v>-0.558785937292301+1.01447226616309i</v>
      </c>
      <c r="BD207" s="50">
        <f t="shared" si="195"/>
        <v>1.275569106443952</v>
      </c>
      <c r="BE207" s="62">
        <f t="shared" si="196"/>
        <v>118.84660633439047</v>
      </c>
      <c r="BF207" s="59" t="str">
        <f t="shared" si="197"/>
        <v>8.12833750480729+9.43747507115936i</v>
      </c>
      <c r="BG207" s="65">
        <f t="shared" si="198"/>
        <v>21.907120472558375</v>
      </c>
      <c r="BH207" s="62">
        <f t="shared" si="199"/>
        <v>49.262236322944041</v>
      </c>
      <c r="BI207" s="59" t="str">
        <f t="shared" si="203"/>
        <v>22.266886662458+27.7118867754233i</v>
      </c>
      <c r="BJ207" s="65">
        <f t="shared" si="200"/>
        <v>31.016656052678687</v>
      </c>
      <c r="BK207" s="62">
        <f t="shared" si="204"/>
        <v>51.217638249122992</v>
      </c>
      <c r="BL207" s="50">
        <f t="shared" si="201"/>
        <v>21.907120472558375</v>
      </c>
      <c r="BM207" s="62">
        <f t="shared" si="202"/>
        <v>49.262236322944041</v>
      </c>
    </row>
    <row r="208" spans="14:65" x14ac:dyDescent="0.3">
      <c r="N208" s="11">
        <v>90</v>
      </c>
      <c r="O208" s="51">
        <f t="shared" si="205"/>
        <v>794.32823472428208</v>
      </c>
      <c r="P208" s="49" t="str">
        <f t="shared" si="155"/>
        <v>27.9103246607183</v>
      </c>
      <c r="Q208" s="18" t="str">
        <f t="shared" si="156"/>
        <v>1+2.45164409840109i</v>
      </c>
      <c r="R208" s="18">
        <f t="shared" si="168"/>
        <v>2.6477459820052398</v>
      </c>
      <c r="S208" s="18">
        <f t="shared" si="169"/>
        <v>1.1835071733789948</v>
      </c>
      <c r="T208" s="18" t="str">
        <f t="shared" si="157"/>
        <v>1+0.00219600105713891i</v>
      </c>
      <c r="U208" s="18">
        <f t="shared" si="170"/>
        <v>1.0000024112074146</v>
      </c>
      <c r="V208" s="18">
        <f t="shared" si="171"/>
        <v>2.1959975271355139E-3</v>
      </c>
      <c r="W208" s="32" t="str">
        <f t="shared" si="158"/>
        <v>1-0.0289596099005411i</v>
      </c>
      <c r="X208" s="18">
        <f t="shared" si="172"/>
        <v>1.0004192416210274</v>
      </c>
      <c r="Y208" s="18">
        <f t="shared" si="173"/>
        <v>-2.8951518225963958E-2</v>
      </c>
      <c r="Z208" s="32" t="str">
        <f t="shared" si="159"/>
        <v>0.99998696369123+0.0132429299287689i</v>
      </c>
      <c r="AA208" s="18">
        <f t="shared" si="174"/>
        <v>1.0000746485865462</v>
      </c>
      <c r="AB208" s="18">
        <f t="shared" si="175"/>
        <v>1.3242328460657451E-2</v>
      </c>
      <c r="AC208" s="67" t="str">
        <f t="shared" si="176"/>
        <v>3.58895193419265-9.91527539453202i</v>
      </c>
      <c r="AD208" s="65">
        <f t="shared" si="177"/>
        <v>20.460784715437828</v>
      </c>
      <c r="AE208" s="62">
        <f t="shared" si="178"/>
        <v>-70.101674004513598</v>
      </c>
      <c r="AF208" s="50" t="str">
        <f t="shared" si="160"/>
        <v>79.1527877025864</v>
      </c>
      <c r="AG208" s="50" t="str">
        <f t="shared" si="161"/>
        <v>1+2.43249347867694i</v>
      </c>
      <c r="AH208" s="50">
        <f t="shared" si="179"/>
        <v>2.6300236736207987</v>
      </c>
      <c r="AI208" s="50">
        <f t="shared" si="180"/>
        <v>1.1807570802273606</v>
      </c>
      <c r="AJ208" s="50" t="str">
        <f t="shared" si="162"/>
        <v>1+0.00219600105713891i</v>
      </c>
      <c r="AK208" s="50">
        <f t="shared" si="181"/>
        <v>1.0000024112074146</v>
      </c>
      <c r="AL208" s="50">
        <f t="shared" si="182"/>
        <v>2.1959975271355139E-3</v>
      </c>
      <c r="AM208" s="50" t="str">
        <f t="shared" si="163"/>
        <v>1-0.0101317615575176i</v>
      </c>
      <c r="AN208" s="50">
        <f t="shared" si="183"/>
        <v>1.0000513249790026</v>
      </c>
      <c r="AO208" s="50">
        <f t="shared" si="184"/>
        <v>-1.0131414895006158E-2</v>
      </c>
      <c r="AP208" s="59" t="str">
        <f t="shared" si="185"/>
        <v>11.2225434507079-27.9269013241606i</v>
      </c>
      <c r="AQ208" s="50">
        <f t="shared" si="186"/>
        <v>29.570597880668885</v>
      </c>
      <c r="AR208" s="62">
        <f t="shared" si="187"/>
        <v>-68.107063251071494</v>
      </c>
      <c r="AS208" s="32" t="str">
        <f t="shared" si="164"/>
        <v>-0.0000166666666666667</v>
      </c>
      <c r="AT208" s="32" t="str">
        <f t="shared" si="165"/>
        <v>0.0000169690990778915i</v>
      </c>
      <c r="AU208" s="32">
        <f t="shared" si="188"/>
        <v>1.69690990778915E-5</v>
      </c>
      <c r="AV208" s="32">
        <f t="shared" si="189"/>
        <v>1.5707963267948966</v>
      </c>
      <c r="AW208" s="32" t="str">
        <f t="shared" si="166"/>
        <v>1+0.017245067125179i</v>
      </c>
      <c r="AX208" s="32">
        <f t="shared" si="190"/>
        <v>1.0001486851164441</v>
      </c>
      <c r="AY208" s="32">
        <f t="shared" si="191"/>
        <v>1.7243357913196422E-2</v>
      </c>
      <c r="AZ208" s="32" t="str">
        <f t="shared" si="167"/>
        <v>1+0.586332282256087i</v>
      </c>
      <c r="BA208" s="32">
        <f t="shared" si="192"/>
        <v>1.1592176435922772</v>
      </c>
      <c r="BB208" s="32">
        <f t="shared" si="193"/>
        <v>0.53030908570486912</v>
      </c>
      <c r="BC208" s="59" t="str">
        <f t="shared" si="194"/>
        <v>-0.558778460244285+0.991813634167969i</v>
      </c>
      <c r="BD208" s="50">
        <f t="shared" si="195"/>
        <v>1.1258075695632765</v>
      </c>
      <c r="BE208" s="62">
        <f t="shared" si="196"/>
        <v>119.39650081527083</v>
      </c>
      <c r="BF208" s="59" t="str">
        <f t="shared" si="197"/>
        <v>7.82867628714813+9.10001377856042i</v>
      </c>
      <c r="BG208" s="65">
        <f t="shared" si="198"/>
        <v>21.586592285001103</v>
      </c>
      <c r="BH208" s="62">
        <f t="shared" si="199"/>
        <v>49.294826810757215</v>
      </c>
      <c r="BI208" s="59" t="str">
        <f t="shared" si="203"/>
        <v>21.4273659439548+26.7356225257631i</v>
      </c>
      <c r="BJ208" s="65">
        <f t="shared" si="200"/>
        <v>30.696405450232156</v>
      </c>
      <c r="BK208" s="62">
        <f t="shared" si="204"/>
        <v>51.289437564199403</v>
      </c>
      <c r="BL208" s="50">
        <f t="shared" si="201"/>
        <v>21.586592285001103</v>
      </c>
      <c r="BM208" s="62">
        <f t="shared" si="202"/>
        <v>49.294826810757215</v>
      </c>
    </row>
    <row r="209" spans="14:65" x14ac:dyDescent="0.3">
      <c r="N209" s="11">
        <v>91</v>
      </c>
      <c r="O209" s="51">
        <f t="shared" si="205"/>
        <v>812.83051616409978</v>
      </c>
      <c r="P209" s="49" t="str">
        <f t="shared" si="155"/>
        <v>27.9103246607183</v>
      </c>
      <c r="Q209" s="18" t="str">
        <f t="shared" si="156"/>
        <v>1+2.5087502254603i</v>
      </c>
      <c r="R209" s="18">
        <f t="shared" si="168"/>
        <v>2.7007087391547993</v>
      </c>
      <c r="S209" s="18">
        <f t="shared" si="169"/>
        <v>1.1914932460206626</v>
      </c>
      <c r="T209" s="18" t="str">
        <f t="shared" si="157"/>
        <v>1+0.00224715249281137i</v>
      </c>
      <c r="U209" s="18">
        <f t="shared" si="170"/>
        <v>1.0000025248439757</v>
      </c>
      <c r="V209" s="18">
        <f t="shared" si="171"/>
        <v>2.2471487103450992E-3</v>
      </c>
      <c r="W209" s="32" t="str">
        <f t="shared" si="158"/>
        <v>1-0.029634165870408i</v>
      </c>
      <c r="X209" s="18">
        <f t="shared" si="172"/>
        <v>1.0004389955348776</v>
      </c>
      <c r="Y209" s="18">
        <f t="shared" si="173"/>
        <v>-2.9625495690355379E-2</v>
      </c>
      <c r="Z209" s="32" t="str">
        <f t="shared" si="159"/>
        <v>0.999986349308925+0.0135513973933743i</v>
      </c>
      <c r="AA209" s="18">
        <f t="shared" si="174"/>
        <v>1.0000781665327487</v>
      </c>
      <c r="AB209" s="18">
        <f t="shared" si="175"/>
        <v>1.3550752911379249E-2</v>
      </c>
      <c r="AC209" s="67" t="str">
        <f t="shared" si="176"/>
        <v>3.43180366569015-9.75197870009463i</v>
      </c>
      <c r="AD209" s="65">
        <f t="shared" si="177"/>
        <v>20.288898013134926</v>
      </c>
      <c r="AE209" s="62">
        <f t="shared" si="178"/>
        <v>-70.612598998372633</v>
      </c>
      <c r="AF209" s="50" t="str">
        <f t="shared" si="160"/>
        <v>79.1527877025864</v>
      </c>
      <c r="AG209" s="50" t="str">
        <f t="shared" si="161"/>
        <v>1+2.48915353049874i</v>
      </c>
      <c r="AH209" s="50">
        <f t="shared" si="179"/>
        <v>2.6825147340498137</v>
      </c>
      <c r="AI209" s="50">
        <f t="shared" si="180"/>
        <v>1.1887882695213807</v>
      </c>
      <c r="AJ209" s="50" t="str">
        <f t="shared" si="162"/>
        <v>1+0.00224715249281137i</v>
      </c>
      <c r="AK209" s="50">
        <f t="shared" si="181"/>
        <v>1.0000025248439757</v>
      </c>
      <c r="AL209" s="50">
        <f t="shared" si="182"/>
        <v>2.2471487103450992E-3</v>
      </c>
      <c r="AM209" s="50" t="str">
        <f t="shared" si="163"/>
        <v>1-0.0103677606012673i</v>
      </c>
      <c r="AN209" s="50">
        <f t="shared" si="183"/>
        <v>1.0000537437857453</v>
      </c>
      <c r="AO209" s="50">
        <f t="shared" si="184"/>
        <v>-1.0367389146772025E-2</v>
      </c>
      <c r="AP209" s="59" t="str">
        <f t="shared" si="185"/>
        <v>10.7776428377079-27.4699764895595i</v>
      </c>
      <c r="AQ209" s="50">
        <f t="shared" si="186"/>
        <v>29.398970709261096</v>
      </c>
      <c r="AR209" s="62">
        <f t="shared" si="187"/>
        <v>-68.577806083874378</v>
      </c>
      <c r="AS209" s="32" t="str">
        <f t="shared" si="164"/>
        <v>-0.0000166666666666667</v>
      </c>
      <c r="AT209" s="32" t="str">
        <f t="shared" si="165"/>
        <v>0.0000173643601717242i</v>
      </c>
      <c r="AU209" s="32">
        <f t="shared" si="188"/>
        <v>1.73643601717242E-5</v>
      </c>
      <c r="AV209" s="32">
        <f t="shared" si="189"/>
        <v>1.5707963267948966</v>
      </c>
      <c r="AW209" s="32" t="str">
        <f t="shared" si="166"/>
        <v>1+0.0176467563406069i</v>
      </c>
      <c r="AX209" s="32">
        <f t="shared" si="190"/>
        <v>1.0001556918846908</v>
      </c>
      <c r="AY209" s="32">
        <f t="shared" si="191"/>
        <v>1.7644924902368304E-2</v>
      </c>
      <c r="AZ209" s="32" t="str">
        <f t="shared" si="167"/>
        <v>1+0.599989715580635i</v>
      </c>
      <c r="BA209" s="32">
        <f t="shared" si="192"/>
        <v>1.1661850877122941</v>
      </c>
      <c r="BB209" s="32">
        <f t="shared" si="193"/>
        <v>0.54041193816321065</v>
      </c>
      <c r="BC209" s="59" t="str">
        <f t="shared" si="194"/>
        <v>-0.558770631028313+0.969680862736734i</v>
      </c>
      <c r="BD209" s="50">
        <f t="shared" si="195"/>
        <v>0.9777967409155498</v>
      </c>
      <c r="BE209" s="62">
        <f t="shared" si="196"/>
        <v>119.95234352850579</v>
      </c>
      <c r="BF209" s="59" t="str">
        <f t="shared" si="197"/>
        <v>7.53871601945505+8.77687363131606i</v>
      </c>
      <c r="BG209" s="65">
        <f t="shared" si="198"/>
        <v>21.266694754050476</v>
      </c>
      <c r="BH209" s="62">
        <f t="shared" si="199"/>
        <v>49.339744530133217</v>
      </c>
      <c r="BI209" s="59" t="str">
        <f t="shared" si="203"/>
        <v>20.61488021233+25.8002901025411i</v>
      </c>
      <c r="BJ209" s="65">
        <f t="shared" si="200"/>
        <v>30.376767450176647</v>
      </c>
      <c r="BK209" s="62">
        <f t="shared" si="204"/>
        <v>51.374537444631528</v>
      </c>
      <c r="BL209" s="50">
        <f t="shared" si="201"/>
        <v>21.266694754050476</v>
      </c>
      <c r="BM209" s="62">
        <f t="shared" si="202"/>
        <v>49.339744530133217</v>
      </c>
    </row>
    <row r="210" spans="14:65" x14ac:dyDescent="0.3">
      <c r="N210" s="11">
        <v>92</v>
      </c>
      <c r="O210" s="51">
        <f t="shared" si="205"/>
        <v>831.7637711026714</v>
      </c>
      <c r="P210" s="49" t="str">
        <f t="shared" si="155"/>
        <v>27.9103246607183</v>
      </c>
      <c r="Q210" s="18" t="str">
        <f t="shared" si="156"/>
        <v>1+2.56718652509629i</v>
      </c>
      <c r="R210" s="18">
        <f t="shared" si="168"/>
        <v>2.7550765242794917</v>
      </c>
      <c r="S210" s="18">
        <f t="shared" si="169"/>
        <v>1.1993469722083661</v>
      </c>
      <c r="T210" s="18" t="str">
        <f t="shared" si="157"/>
        <v>1+0.0022994953984801i</v>
      </c>
      <c r="U210" s="18">
        <f t="shared" si="170"/>
        <v>1.000002643836049</v>
      </c>
      <c r="V210" s="18">
        <f t="shared" si="171"/>
        <v>2.2994913454950482E-3</v>
      </c>
      <c r="W210" s="32" t="str">
        <f t="shared" si="158"/>
        <v>1-0.030324434267274i</v>
      </c>
      <c r="X210" s="18">
        <f t="shared" si="172"/>
        <v>1.0004596800039622</v>
      </c>
      <c r="Y210" s="18">
        <f t="shared" si="173"/>
        <v>-3.0315144232493846E-2</v>
      </c>
      <c r="Z210" s="32" t="str">
        <f t="shared" si="159"/>
        <v>0.999985705971675+0.0138670499882516i</v>
      </c>
      <c r="AA210" s="18">
        <f t="shared" si="174"/>
        <v>1.0000818502617903</v>
      </c>
      <c r="AB210" s="18">
        <f t="shared" si="175"/>
        <v>1.386635941637902E-2</v>
      </c>
      <c r="AC210" s="67" t="str">
        <f t="shared" si="176"/>
        <v>3.27982094032947-9.58895555921338i</v>
      </c>
      <c r="AD210" s="65">
        <f t="shared" si="177"/>
        <v>20.115928306140667</v>
      </c>
      <c r="AE210" s="62">
        <f t="shared" si="178"/>
        <v>-71.117182221831996</v>
      </c>
      <c r="AF210" s="50" t="str">
        <f t="shared" si="160"/>
        <v>79.1527877025864</v>
      </c>
      <c r="AG210" s="50" t="str">
        <f t="shared" si="161"/>
        <v>1+2.54713336447026i</v>
      </c>
      <c r="AH210" s="50">
        <f t="shared" si="179"/>
        <v>2.736400624250328</v>
      </c>
      <c r="AI210" s="50">
        <f t="shared" si="180"/>
        <v>1.1966870434949117</v>
      </c>
      <c r="AJ210" s="50" t="str">
        <f t="shared" si="162"/>
        <v>1+0.0022994953984801i</v>
      </c>
      <c r="AK210" s="50">
        <f t="shared" si="181"/>
        <v>1.000002643836049</v>
      </c>
      <c r="AL210" s="50">
        <f t="shared" si="182"/>
        <v>2.2994913454950482E-3</v>
      </c>
      <c r="AM210" s="50" t="str">
        <f t="shared" si="163"/>
        <v>1-0.0106092567689213i</v>
      </c>
      <c r="AN210" s="50">
        <f t="shared" si="183"/>
        <v>1.0000562765810677</v>
      </c>
      <c r="AO210" s="50">
        <f t="shared" si="184"/>
        <v>-1.0608858749468276E-2</v>
      </c>
      <c r="AP210" s="59" t="str">
        <f t="shared" si="185"/>
        <v>10.3472916975374-27.0136726923174i</v>
      </c>
      <c r="AQ210" s="50">
        <f t="shared" si="186"/>
        <v>29.226242445866436</v>
      </c>
      <c r="AR210" s="62">
        <f t="shared" si="187"/>
        <v>-69.041208672918117</v>
      </c>
      <c r="AS210" s="32" t="str">
        <f t="shared" si="164"/>
        <v>-0.0000166666666666667</v>
      </c>
      <c r="AT210" s="32" t="str">
        <f t="shared" si="165"/>
        <v>0.0000177688280791644i</v>
      </c>
      <c r="AU210" s="32">
        <f t="shared" si="188"/>
        <v>1.7768828079164399E-5</v>
      </c>
      <c r="AV210" s="32">
        <f t="shared" si="189"/>
        <v>1.5707963267948966</v>
      </c>
      <c r="AW210" s="32" t="str">
        <f t="shared" si="166"/>
        <v>1+0.018057802099829i</v>
      </c>
      <c r="AX210" s="32">
        <f t="shared" si="190"/>
        <v>1.0001630288191403</v>
      </c>
      <c r="AY210" s="32">
        <f t="shared" si="191"/>
        <v>1.8055839695675899E-2</v>
      </c>
      <c r="AZ210" s="32" t="str">
        <f t="shared" si="167"/>
        <v>1+0.613965271394186i</v>
      </c>
      <c r="BA210" s="32">
        <f t="shared" si="192"/>
        <v>1.1734365575002921</v>
      </c>
      <c r="BB210" s="32">
        <f t="shared" si="193"/>
        <v>0.55062484901192998</v>
      </c>
      <c r="BC210" s="59" t="str">
        <f t="shared" si="194"/>
        <v>-0.558762433067906+0.948062215912377i</v>
      </c>
      <c r="BD210" s="50">
        <f t="shared" si="195"/>
        <v>0.83157563334026396</v>
      </c>
      <c r="BE210" s="62">
        <f t="shared" si="196"/>
        <v>120.51395653328478</v>
      </c>
      <c r="BF210" s="59" t="str">
        <f t="shared" si="197"/>
        <v>7.25828572710758+8.46742244733066i</v>
      </c>
      <c r="BG210" s="65">
        <f t="shared" si="198"/>
        <v>20.947503939480928</v>
      </c>
      <c r="BH210" s="62">
        <f t="shared" si="199"/>
        <v>49.396774311452774</v>
      </c>
      <c r="BI210" s="59" t="str">
        <f t="shared" si="203"/>
        <v>19.8289645080308+24.9041017751184i</v>
      </c>
      <c r="BJ210" s="65">
        <f t="shared" si="200"/>
        <v>30.057818079206715</v>
      </c>
      <c r="BK210" s="62">
        <f t="shared" si="204"/>
        <v>51.472747860366624</v>
      </c>
      <c r="BL210" s="50">
        <f t="shared" si="201"/>
        <v>20.947503939480928</v>
      </c>
      <c r="BM210" s="62">
        <f t="shared" si="202"/>
        <v>49.396774311452774</v>
      </c>
    </row>
    <row r="211" spans="14:65" x14ac:dyDescent="0.3">
      <c r="N211" s="11">
        <v>93</v>
      </c>
      <c r="O211" s="51">
        <f t="shared" si="205"/>
        <v>851.13803820237763</v>
      </c>
      <c r="P211" s="49" t="str">
        <f t="shared" ref="P211:P274" si="206">COMPLEX(Adc,0)</f>
        <v>27.9103246607183</v>
      </c>
      <c r="Q211" s="18" t="str">
        <f t="shared" ref="Q211:Q274" si="207">IMSUM(COMPLEX(1,0),IMDIV(COMPLEX(0,2*PI()*O211),COMPLEX(wp_lf,0)))</f>
        <v>1+2.62698398100862i</v>
      </c>
      <c r="R211" s="18">
        <f t="shared" si="168"/>
        <v>2.8108797264336838</v>
      </c>
      <c r="S211" s="18">
        <f t="shared" si="169"/>
        <v>1.2070686396547279</v>
      </c>
      <c r="T211" s="18" t="str">
        <f t="shared" ref="T211:T274" si="208">IMSUM(COMPLEX(1,0),IMDIV(COMPLEX(0,2*PI()*O211),COMPLEX(wz_esr,0)))</f>
        <v>1+0.00235305752704653i</v>
      </c>
      <c r="U211" s="18">
        <f t="shared" si="170"/>
        <v>1.0000027684360306</v>
      </c>
      <c r="V211" s="18">
        <f t="shared" si="171"/>
        <v>2.3530531841954526E-3</v>
      </c>
      <c r="W211" s="32" t="str">
        <f t="shared" ref="W211:W274" si="209">IMSUB(COMPLEX(1,0),IMDIV(COMPLEX(0,2*PI()*O211),COMPLEX(wz_rhp,0)))</f>
        <v>1-0.0310307810805799i</v>
      </c>
      <c r="X211" s="18">
        <f t="shared" si="172"/>
        <v>1.0004813388436942</v>
      </c>
      <c r="Y211" s="18">
        <f t="shared" si="173"/>
        <v>-3.1020826887605556E-2</v>
      </c>
      <c r="Z211" s="32" t="str">
        <f t="shared" ref="Z211:Z274" si="210">IMSUM(COMPLEX(1,0),IMDIV(COMPLEX(0,2*PI()*O211),COMPLEX(Q*(wsl/2),0)),IMDIV(IMPOWER(COMPLEX(0,2*PI()*O211),2),IMPOWER(COMPLEX(wsl/2,0),2)))</f>
        <v>0.999985032314874+0.0141900550765848i</v>
      </c>
      <c r="AA211" s="18">
        <f t="shared" si="174"/>
        <v>1.0000857075855327</v>
      </c>
      <c r="AB211" s="18">
        <f t="shared" si="175"/>
        <v>1.4189315118887992E-2</v>
      </c>
      <c r="AC211" s="67" t="str">
        <f t="shared" si="176"/>
        <v>3.1329065065765-9.42636069717713i</v>
      </c>
      <c r="AD211" s="65">
        <f t="shared" si="177"/>
        <v>19.941911985651959</v>
      </c>
      <c r="AE211" s="62">
        <f t="shared" si="178"/>
        <v>-71.615468946548518</v>
      </c>
      <c r="AF211" s="50" t="str">
        <f t="shared" ref="AF211:AF274" si="211">COMPLEX($B$72,0)</f>
        <v>79.1527877025864</v>
      </c>
      <c r="AG211" s="50" t="str">
        <f t="shared" ref="AG211:AG274" si="212">IMSUM(COMPLEX(1,0),IMDIV(COMPLEX(0,2*PI()*O211),COMPLEX(wp_lf_DCM,0)))</f>
        <v>1+2.60646372226692i</v>
      </c>
      <c r="AH211" s="50">
        <f t="shared" si="179"/>
        <v>2.7917115064944524</v>
      </c>
      <c r="AI211" s="50">
        <f t="shared" si="180"/>
        <v>1.2044536466721951</v>
      </c>
      <c r="AJ211" s="50" t="str">
        <f t="shared" ref="AJ211:AJ274" si="213">IMSUM(COMPLEX(1,0),IMDIV(COMPLEX(0,2*PI()*O211),COMPLEX(wz1_dcm,0)))</f>
        <v>1+0.00235305752704653i</v>
      </c>
      <c r="AK211" s="50">
        <f t="shared" si="181"/>
        <v>1.0000027684360306</v>
      </c>
      <c r="AL211" s="50">
        <f t="shared" si="182"/>
        <v>2.3530531841954526E-3</v>
      </c>
      <c r="AM211" s="50" t="str">
        <f t="shared" ref="AM211:AM274" si="214">IMSUB(COMPLEX(1,0),IMDIV(COMPLEX(0,2*PI()*O211),COMPLEX(wz2_dcm,0)))</f>
        <v>1-0.0108563781049444i</v>
      </c>
      <c r="AN211" s="50">
        <f t="shared" si="183"/>
        <v>1.0000589287364807</v>
      </c>
      <c r="AO211" s="50">
        <f t="shared" si="184"/>
        <v>-1.0855951620773898E-2</v>
      </c>
      <c r="AP211" s="59" t="str">
        <f t="shared" si="185"/>
        <v>9.93122197153534-26.5584313150564i</v>
      </c>
      <c r="AQ211" s="50">
        <f t="shared" si="186"/>
        <v>29.052449448009568</v>
      </c>
      <c r="AR211" s="62">
        <f t="shared" si="187"/>
        <v>-69.497290767502378</v>
      </c>
      <c r="AS211" s="32" t="str">
        <f t="shared" ref="AS211:AS274" si="215">COMPLEX(Adc_ea,0)</f>
        <v>-0.0000166666666666667</v>
      </c>
      <c r="AT211" s="32" t="str">
        <f t="shared" ref="AT211:AT274" si="216">COMPLEX(0,2*PI()*O211*wp0_ea)</f>
        <v>0.0000181827172544504i</v>
      </c>
      <c r="AU211" s="32">
        <f t="shared" si="188"/>
        <v>1.8182717254450399E-5</v>
      </c>
      <c r="AV211" s="32">
        <f t="shared" si="189"/>
        <v>1.5707963267948966</v>
      </c>
      <c r="AW211" s="32" t="str">
        <f t="shared" ref="AW211:AW274" si="217">IMSUM(COMPLEX(1,0),IMDIV(COMPLEX(0,2*PI()*O211),COMPLEX(wp1_ea,0)))</f>
        <v>1+0.0184784223447477i</v>
      </c>
      <c r="AX211" s="32">
        <f t="shared" si="190"/>
        <v>1.0001707114749716</v>
      </c>
      <c r="AY211" s="32">
        <f t="shared" si="191"/>
        <v>1.847631961019644E-2</v>
      </c>
      <c r="AZ211" s="32" t="str">
        <f t="shared" ref="AZ211:AZ274" si="218">IMSUM(COMPLEX(1,0),IMDIV(COMPLEX(0,2*PI()*O211),COMPLEX(wz_ea,0)))</f>
        <v>1+0.628266359721423i</v>
      </c>
      <c r="BA211" s="32">
        <f t="shared" si="192"/>
        <v>1.1809820569160263</v>
      </c>
      <c r="BB211" s="32">
        <f t="shared" si="193"/>
        <v>0.56094471087880327</v>
      </c>
      <c r="BC211" s="59" t="str">
        <f t="shared" si="194"/>
        <v>-0.558753849007351+0.926946230271497i</v>
      </c>
      <c r="BD211" s="50">
        <f t="shared" si="195"/>
        <v>0.68718261527382518</v>
      </c>
      <c r="BE211" s="62">
        <f t="shared" si="196"/>
        <v>121.08114933894259</v>
      </c>
      <c r="BF211" s="59" t="str">
        <f t="shared" si="197"/>
        <v>6.98720594429795+8.17105119774347i</v>
      </c>
      <c r="BG211" s="65">
        <f t="shared" si="198"/>
        <v>20.629094600925786</v>
      </c>
      <c r="BH211" s="62">
        <f t="shared" si="199"/>
        <v>49.46568039239407</v>
      </c>
      <c r="BI211" s="59" t="str">
        <f t="shared" si="203"/>
        <v>19.0691292874743+24.0453344893893i</v>
      </c>
      <c r="BJ211" s="65">
        <f t="shared" si="200"/>
        <v>29.739632063283405</v>
      </c>
      <c r="BK211" s="62">
        <f t="shared" si="204"/>
        <v>51.583858571440203</v>
      </c>
      <c r="BL211" s="50">
        <f t="shared" si="201"/>
        <v>20.629094600925786</v>
      </c>
      <c r="BM211" s="62">
        <f t="shared" si="202"/>
        <v>49.46568039239407</v>
      </c>
    </row>
    <row r="212" spans="14:65" x14ac:dyDescent="0.3">
      <c r="N212" s="11">
        <v>94</v>
      </c>
      <c r="O212" s="51">
        <f t="shared" si="205"/>
        <v>870.96358995608091</v>
      </c>
      <c r="P212" s="49" t="str">
        <f t="shared" si="206"/>
        <v>27.9103246607183</v>
      </c>
      <c r="Q212" s="18" t="str">
        <f t="shared" si="207"/>
        <v>1+2.68817429859991i</v>
      </c>
      <c r="R212" s="18">
        <f t="shared" ref="R212:R275" si="219">IMABS(Q212)</f>
        <v>2.8681494137602246</v>
      </c>
      <c r="S212" s="18">
        <f t="shared" ref="S212:S275" si="220">IMARGUMENT(Q212)</f>
        <v>1.2146586582899777</v>
      </c>
      <c r="T212" s="18" t="str">
        <f t="shared" si="208"/>
        <v>1+0.00240786727786019i</v>
      </c>
      <c r="U212" s="18">
        <f t="shared" ref="U212:U275" si="221">IMABS(T212)</f>
        <v>1.0000028989082121</v>
      </c>
      <c r="V212" s="18">
        <f t="shared" ref="V212:V275" si="222">IMARGUMENT(T212)</f>
        <v>2.4078626244121494E-3</v>
      </c>
      <c r="W212" s="32" t="str">
        <f t="shared" si="209"/>
        <v>1-0.0317535808247556i</v>
      </c>
      <c r="X212" s="18">
        <f t="shared" ref="X212:X275" si="223">IMABS(W212)</f>
        <v>1.00050401793056</v>
      </c>
      <c r="Y212" s="18">
        <f t="shared" ref="Y212:Y275" si="224">IMARGUMENT(W212)</f>
        <v>-3.17429150049948E-2</v>
      </c>
      <c r="Z212" s="32" t="str">
        <f t="shared" si="210"/>
        <v>0.999984326909607+0.0145205839199471i</v>
      </c>
      <c r="AA212" s="18">
        <f t="shared" ref="AA212:AA275" si="225">IMABS(Z212)</f>
        <v>1.0000897466838845</v>
      </c>
      <c r="AB212" s="18">
        <f t="shared" ref="AB212:AB275" si="226">IMARGUMENT(Z212)</f>
        <v>1.4519791044800584E-2</v>
      </c>
      <c r="AC212" s="67" t="str">
        <f t="shared" ref="AC212:AC275" si="227">(IMDIV(IMPRODUCT(P212,T212,W212),IMPRODUCT(Q212,Z212)))</f>
        <v>2.99095910315128-9.26434041135507i</v>
      </c>
      <c r="AD212" s="65">
        <f t="shared" ref="AD212:AD275" si="228">20*LOG(IMABS(AC212))</f>
        <v>19.766884757443258</v>
      </c>
      <c r="AE212" s="62">
        <f t="shared" ref="AE212:AE275" si="229">(180/PI())*IMARGUMENT(AC212)</f>
        <v>-72.107512108520439</v>
      </c>
      <c r="AF212" s="50" t="str">
        <f t="shared" si="211"/>
        <v>79.1527877025864</v>
      </c>
      <c r="AG212" s="50" t="str">
        <f t="shared" si="212"/>
        <v>1+2.66717606162974i</v>
      </c>
      <c r="AH212" s="50">
        <f t="shared" ref="AH212:AH275" si="230">IMABS(AG212)</f>
        <v>2.8484782154214785</v>
      </c>
      <c r="AI212" s="50">
        <f t="shared" ref="AI212:AI275" si="231">IMARGUMENT(AG212)</f>
        <v>1.2120884481271217</v>
      </c>
      <c r="AJ212" s="50" t="str">
        <f t="shared" si="213"/>
        <v>1+0.00240786727786019i</v>
      </c>
      <c r="AK212" s="50">
        <f t="shared" ref="AK212:AK275" si="232">IMABS(AJ212)</f>
        <v>1.0000028989082121</v>
      </c>
      <c r="AL212" s="50">
        <f t="shared" ref="AL212:AL275" si="233">IMARGUMENT(AJ212)</f>
        <v>2.4078626244121494E-3</v>
      </c>
      <c r="AM212" s="50" t="str">
        <f t="shared" si="214"/>
        <v>1-0.0111092556363397i</v>
      </c>
      <c r="AN212" s="50">
        <f t="shared" ref="AN212:AN275" si="234">IMABS(AM212)</f>
        <v>1.0000617058765893</v>
      </c>
      <c r="AO212" s="50">
        <f t="shared" ref="AO212:AO275" si="235">IMARGUMENT(AM212)</f>
        <v>-1.1108798651840503E-2</v>
      </c>
      <c r="AP212" s="59" t="str">
        <f t="shared" ref="AP212:AP275" si="236">(IMDIV(IMPRODUCT(AF212,AJ212,AM212),IMPRODUCT(AG212)))</f>
        <v>9.52915381961934-26.1046701007328i</v>
      </c>
      <c r="AQ212" s="50">
        <f t="shared" ref="AQ212:AQ275" si="237">20*LOG(IMABS(AP212))</f>
        <v>28.877627385214929</v>
      </c>
      <c r="AR212" s="62">
        <f t="shared" ref="AR212:AR275" si="238">(180/PI())*IMARGUMENT(AP212)</f>
        <v>-69.946079386430668</v>
      </c>
      <c r="AS212" s="32" t="str">
        <f t="shared" si="215"/>
        <v>-0.0000166666666666667</v>
      </c>
      <c r="AT212" s="32" t="str">
        <f t="shared" si="216"/>
        <v>0.0000186062471471015i</v>
      </c>
      <c r="AU212" s="32">
        <f t="shared" ref="AU212:AU275" si="239">IMABS(AT212)</f>
        <v>1.8606247147101502E-5</v>
      </c>
      <c r="AV212" s="32">
        <f t="shared" ref="AV212:AV275" si="240">IMARGUMENT(AT212)</f>
        <v>1.5707963267948966</v>
      </c>
      <c r="AW212" s="32" t="str">
        <f t="shared" si="217"/>
        <v>1+0.0189088400937844i</v>
      </c>
      <c r="AX212" s="32">
        <f t="shared" ref="AX212:AX275" si="241">IMABS(AW212)</f>
        <v>1.0001787561399673</v>
      </c>
      <c r="AY212" s="32">
        <f t="shared" ref="AY212:AY275" si="242">IMARGUMENT(AW212)</f>
        <v>1.8906586994867053E-2</v>
      </c>
      <c r="AZ212" s="32" t="str">
        <f t="shared" si="218"/>
        <v>1+0.64290056318867i</v>
      </c>
      <c r="BA212" s="32">
        <f t="shared" ref="BA212:BA275" si="243">IMABS(AZ212)</f>
        <v>1.1888318359416141</v>
      </c>
      <c r="BB212" s="32">
        <f t="shared" ref="BB212:BB275" si="244">IMARGUMENT(AZ212)</f>
        <v>0.57136820263829591</v>
      </c>
      <c r="BC212" s="59" t="str">
        <f t="shared" ref="BC212:BC275" si="245">IMPRODUCT(AS212,IMDIV(AZ212,IMPRODUCT(AT212,AW212)))</f>
        <v>-0.558744860675161+0.906321708841819i</v>
      </c>
      <c r="BD212" s="50">
        <f t="shared" ref="BD212:BD275" si="246">20*LOG(IMABS(BC212))</f>
        <v>0.54465529941848045</v>
      </c>
      <c r="BE212" s="62">
        <f t="shared" ref="BE212:BE275" si="247">(180/PI())*IMARGUMENT(BC212)</f>
        <v>121.65371891934713</v>
      </c>
      <c r="BF212" s="59" t="str">
        <f t="shared" ref="BF212:BF275" si="248">IMPRODUCT(AC212,BC212)</f>
        <v>6.72528980553628+7.88717375783391i</v>
      </c>
      <c r="BG212" s="65">
        <f t="shared" ref="BG212:BG275" si="249">20*LOG(IMABS(BF212))</f>
        <v>20.311540056861741</v>
      </c>
      <c r="BH212" s="62">
        <f t="shared" ref="BH212:BH275" si="250">(180/PI())*IMARGUMENT(BF212)</f>
        <v>49.546206810826682</v>
      </c>
      <c r="BI212" s="59" t="str">
        <f t="shared" si="203"/>
        <v>18.3348634911527+23.2223292320189i</v>
      </c>
      <c r="BJ212" s="65">
        <f t="shared" ref="BJ212:BJ275" si="251">20*LOG(IMABS(BI212))</f>
        <v>29.422282684633402</v>
      </c>
      <c r="BK212" s="62">
        <f t="shared" si="204"/>
        <v>51.707639532916446</v>
      </c>
      <c r="BL212" s="50">
        <f t="shared" ref="BL212:BL275" si="252">IF($B$31=0,BJ212,BG212)</f>
        <v>20.311540056861741</v>
      </c>
      <c r="BM212" s="62">
        <f t="shared" ref="BM212:BM275" si="253">IF($B$31=0,BK212,BH212)</f>
        <v>49.546206810826682</v>
      </c>
    </row>
    <row r="213" spans="14:65" x14ac:dyDescent="0.3">
      <c r="N213" s="11">
        <v>95</v>
      </c>
      <c r="O213" s="51">
        <f t="shared" si="205"/>
        <v>891.25093813374656</v>
      </c>
      <c r="P213" s="49" t="str">
        <f t="shared" si="206"/>
        <v>27.9103246607183</v>
      </c>
      <c r="Q213" s="18" t="str">
        <f t="shared" si="207"/>
        <v>1+2.75078992178653i</v>
      </c>
      <c r="R213" s="18">
        <f t="shared" si="219"/>
        <v>2.9269173534287471</v>
      </c>
      <c r="S213" s="18">
        <f t="shared" si="220"/>
        <v>1.2221175534514486</v>
      </c>
      <c r="T213" s="18" t="str">
        <f t="shared" si="208"/>
        <v>1+0.00246395371177647i</v>
      </c>
      <c r="U213" s="18">
        <f t="shared" si="221"/>
        <v>1.0000030355293397</v>
      </c>
      <c r="V213" s="18">
        <f t="shared" si="222"/>
        <v>2.4639487255178759E-3</v>
      </c>
      <c r="W213" s="32" t="str">
        <f t="shared" si="209"/>
        <v>1-0.032493216737793i</v>
      </c>
      <c r="X213" s="18">
        <f t="shared" si="223"/>
        <v>1.0005277652988793</v>
      </c>
      <c r="Y213" s="18">
        <f t="shared" si="224"/>
        <v>-3.2481788431578021E-2</v>
      </c>
      <c r="Z213" s="32" t="str">
        <f t="shared" si="210"/>
        <v>0.999983588259613+0.0148588117691065i</v>
      </c>
      <c r="AA213" s="18">
        <f t="shared" si="225"/>
        <v>1.0000939761221246</v>
      </c>
      <c r="AB213" s="18">
        <f t="shared" si="226"/>
        <v>1.4857962192355977E-2</v>
      </c>
      <c r="AC213" s="67" t="str">
        <f t="shared" si="227"/>
        <v>2.85387402446874-9.10303264843759i</v>
      </c>
      <c r="AD213" s="65">
        <f t="shared" si="228"/>
        <v>19.590881616292275</v>
      </c>
      <c r="AE213" s="62">
        <f t="shared" si="229"/>
        <v>-72.593371932666216</v>
      </c>
      <c r="AF213" s="50" t="str">
        <f t="shared" si="211"/>
        <v>79.1527877025864</v>
      </c>
      <c r="AG213" s="50" t="str">
        <f t="shared" si="212"/>
        <v>1+2.7293025730447i</v>
      </c>
      <c r="AH213" s="50">
        <f t="shared" si="230"/>
        <v>2.9067322778729414</v>
      </c>
      <c r="AI213" s="50">
        <f t="shared" si="231"/>
        <v>1.2195919346529565</v>
      </c>
      <c r="AJ213" s="50" t="str">
        <f t="shared" si="213"/>
        <v>1+0.00246395371177647i</v>
      </c>
      <c r="AK213" s="50">
        <f t="shared" si="232"/>
        <v>1.0000030355293397</v>
      </c>
      <c r="AL213" s="50">
        <f t="shared" si="233"/>
        <v>2.4639487255178759E-3</v>
      </c>
      <c r="AM213" s="50" t="str">
        <f t="shared" si="214"/>
        <v>1-0.0113680234421219i</v>
      </c>
      <c r="AN213" s="50">
        <f t="shared" si="234"/>
        <v>1.0000646138910128</v>
      </c>
      <c r="AO213" s="50">
        <f t="shared" si="235"/>
        <v>-1.1367533776117494E-2</v>
      </c>
      <c r="AP213" s="59" t="str">
        <f t="shared" si="236"/>
        <v>9.14079722851198-25.6527833365127i</v>
      </c>
      <c r="AQ213" s="50">
        <f t="shared" si="237"/>
        <v>28.701811211483538</v>
      </c>
      <c r="AR213" s="62">
        <f t="shared" si="238"/>
        <v>-70.387608429744461</v>
      </c>
      <c r="AS213" s="32" t="str">
        <f t="shared" si="215"/>
        <v>-0.0000166666666666667</v>
      </c>
      <c r="AT213" s="32" t="str">
        <f t="shared" si="216"/>
        <v>0.0000190396423182727i</v>
      </c>
      <c r="AU213" s="32">
        <f t="shared" si="239"/>
        <v>1.9039642318272699E-5</v>
      </c>
      <c r="AV213" s="32">
        <f t="shared" si="240"/>
        <v>1.5707963267948966</v>
      </c>
      <c r="AW213" s="32" t="str">
        <f t="shared" si="217"/>
        <v>1+0.019349283560127i</v>
      </c>
      <c r="AX213" s="32">
        <f t="shared" si="241"/>
        <v>1.0001871798689934</v>
      </c>
      <c r="AY213" s="32">
        <f t="shared" si="242"/>
        <v>1.9346869345541671E-2</v>
      </c>
      <c r="AZ213" s="32" t="str">
        <f t="shared" si="218"/>
        <v>1+0.657875641044318i</v>
      </c>
      <c r="BA213" s="32">
        <f t="shared" si="243"/>
        <v>1.1969963905874872</v>
      </c>
      <c r="BB213" s="32">
        <f t="shared" si="244"/>
        <v>0.58189179065135133</v>
      </c>
      <c r="BC213" s="59" t="str">
        <f t="shared" si="245"/>
        <v>-0.558735449045869+0.886177715160673i</v>
      </c>
      <c r="BD213" s="50">
        <f t="shared" si="246"/>
        <v>0.40403042958852764</v>
      </c>
      <c r="BE213" s="62">
        <f t="shared" si="247"/>
        <v>122.23144977734189</v>
      </c>
      <c r="BF213" s="59" t="str">
        <f t="shared" si="248"/>
        <v>6.47234408884355+7.61522659686409i</v>
      </c>
      <c r="BG213" s="65">
        <f t="shared" si="249"/>
        <v>19.994912045880806</v>
      </c>
      <c r="BH213" s="62">
        <f t="shared" si="250"/>
        <v>49.638077844675685</v>
      </c>
      <c r="BI213" s="59" t="str">
        <f t="shared" si="203"/>
        <v>17.6256374805527+22.4334902195126i</v>
      </c>
      <c r="BJ213" s="65">
        <f t="shared" si="251"/>
        <v>29.105841641072065</v>
      </c>
      <c r="BK213" s="62">
        <f t="shared" si="204"/>
        <v>51.843841347597525</v>
      </c>
      <c r="BL213" s="50">
        <f t="shared" si="252"/>
        <v>19.994912045880806</v>
      </c>
      <c r="BM213" s="62">
        <f t="shared" si="253"/>
        <v>49.638077844675685</v>
      </c>
    </row>
    <row r="214" spans="14:65" x14ac:dyDescent="0.3">
      <c r="N214" s="11">
        <v>96</v>
      </c>
      <c r="O214" s="51">
        <f t="shared" si="205"/>
        <v>912.01083935590987</v>
      </c>
      <c r="P214" s="49" t="str">
        <f t="shared" si="206"/>
        <v>27.9103246607183</v>
      </c>
      <c r="Q214" s="18" t="str">
        <f t="shared" si="207"/>
        <v>1+2.81486405020067i</v>
      </c>
      <c r="R214" s="18">
        <f t="shared" si="219"/>
        <v>2.9872160318785315</v>
      </c>
      <c r="S214" s="18">
        <f t="shared" si="220"/>
        <v>1.2294459591488651</v>
      </c>
      <c r="T214" s="18" t="str">
        <f t="shared" si="208"/>
        <v>1+0.00252134656656501i</v>
      </c>
      <c r="U214" s="18">
        <f t="shared" si="221"/>
        <v>1.0000031785892027</v>
      </c>
      <c r="V214" s="18">
        <f t="shared" si="222"/>
        <v>2.521341223693583E-3</v>
      </c>
      <c r="W214" s="32" t="str">
        <f t="shared" si="209"/>
        <v>1-0.0332500809844432i</v>
      </c>
      <c r="X214" s="18">
        <f t="shared" si="223"/>
        <v>1.0005526312420912</v>
      </c>
      <c r="Y214" s="18">
        <f t="shared" si="224"/>
        <v>-3.3237835698972165E-2</v>
      </c>
      <c r="Z214" s="32" t="str">
        <f t="shared" si="210"/>
        <v>0.999982814798118+0.0152049179569455i</v>
      </c>
      <c r="AA214" s="18">
        <f t="shared" si="225"/>
        <v>1.0000984048690633</v>
      </c>
      <c r="AB214" s="18">
        <f t="shared" si="226"/>
        <v>1.5204007623853277E-2</v>
      </c>
      <c r="AC214" s="67" t="str">
        <f t="shared" si="227"/>
        <v>2.72154365861489-8.94256711334881i</v>
      </c>
      <c r="AD214" s="65">
        <f t="shared" si="228"/>
        <v>19.41393682432826</v>
      </c>
      <c r="AE214" s="62">
        <f t="shared" si="229"/>
        <v>-73.073115562045288</v>
      </c>
      <c r="AF214" s="50" t="str">
        <f t="shared" si="211"/>
        <v>79.1527877025864</v>
      </c>
      <c r="AG214" s="50" t="str">
        <f t="shared" si="212"/>
        <v>1+2.79287619681047i</v>
      </c>
      <c r="AH214" s="50">
        <f t="shared" si="230"/>
        <v>2.9665059330314025</v>
      </c>
      <c r="AI214" s="50">
        <f t="shared" si="231"/>
        <v>1.2269647039989393</v>
      </c>
      <c r="AJ214" s="50" t="str">
        <f t="shared" si="213"/>
        <v>1+0.00252134656656501i</v>
      </c>
      <c r="AK214" s="50">
        <f t="shared" si="232"/>
        <v>1.0000031785892027</v>
      </c>
      <c r="AL214" s="50">
        <f t="shared" si="233"/>
        <v>2.521341223693583E-3</v>
      </c>
      <c r="AM214" s="50" t="str">
        <f t="shared" si="214"/>
        <v>1-0.0116328187244067i</v>
      </c>
      <c r="AN214" s="50">
        <f t="shared" si="234"/>
        <v>1.0000676589468709</v>
      </c>
      <c r="AO214" s="50">
        <f t="shared" si="235"/>
        <v>-1.1632294039747013E-2</v>
      </c>
      <c r="AP214" s="59" t="str">
        <f t="shared" si="236"/>
        <v>8.76585354418846-25.2031421296583i</v>
      </c>
      <c r="AQ214" s="50">
        <f t="shared" si="237"/>
        <v>28.525035141730946</v>
      </c>
      <c r="AR214" s="62">
        <f t="shared" si="238"/>
        <v>-70.821918294360231</v>
      </c>
      <c r="AS214" s="32" t="str">
        <f t="shared" si="215"/>
        <v>-0.0000166666666666667</v>
      </c>
      <c r="AT214" s="32" t="str">
        <f t="shared" si="216"/>
        <v>0.0000194831325598206i</v>
      </c>
      <c r="AU214" s="32">
        <f t="shared" si="239"/>
        <v>1.94831325598206E-5</v>
      </c>
      <c r="AV214" s="32">
        <f t="shared" si="240"/>
        <v>1.5707963267948966</v>
      </c>
      <c r="AW214" s="32" t="str">
        <f t="shared" si="217"/>
        <v>1+0.0197999862727311i</v>
      </c>
      <c r="AX214" s="32">
        <f t="shared" si="241"/>
        <v>1.0001960005200983</v>
      </c>
      <c r="AY214" s="32">
        <f t="shared" si="242"/>
        <v>1.9797399422573875E-2</v>
      </c>
      <c r="AZ214" s="32" t="str">
        <f t="shared" si="218"/>
        <v>1+0.673199533272858i</v>
      </c>
      <c r="BA214" s="32">
        <f t="shared" si="243"/>
        <v>1.2054864626360571</v>
      </c>
      <c r="BB214" s="32">
        <f t="shared" si="244"/>
        <v>0.59251173091727904</v>
      </c>
      <c r="BC214" s="59" t="str">
        <f t="shared" si="245"/>
        <v>-0.558725594199973+0.866503567471228i</v>
      </c>
      <c r="BD214" s="50">
        <f t="shared" si="246"/>
        <v>0.26534376632163853</v>
      </c>
      <c r="BE214" s="62">
        <f t="shared" si="247"/>
        <v>122.814114061303</v>
      </c>
      <c r="BF214" s="59" t="str">
        <f t="shared" si="248"/>
        <v>6.22817020826685+7.35466841329745i</v>
      </c>
      <c r="BG214" s="65">
        <f t="shared" si="249"/>
        <v>19.679280590649896</v>
      </c>
      <c r="BH214" s="62">
        <f t="shared" si="250"/>
        <v>49.740998499257721</v>
      </c>
      <c r="BI214" s="59" t="str">
        <f t="shared" si="203"/>
        <v>16.9409058366867+21.6772839300693i</v>
      </c>
      <c r="BJ214" s="65">
        <f t="shared" si="251"/>
        <v>28.790378908052581</v>
      </c>
      <c r="BK214" s="62">
        <f t="shared" si="204"/>
        <v>51.992195766942721</v>
      </c>
      <c r="BL214" s="50">
        <f t="shared" si="252"/>
        <v>19.679280590649896</v>
      </c>
      <c r="BM214" s="62">
        <f t="shared" si="253"/>
        <v>49.740998499257721</v>
      </c>
    </row>
    <row r="215" spans="14:65" x14ac:dyDescent="0.3">
      <c r="N215" s="11">
        <v>97</v>
      </c>
      <c r="O215" s="51">
        <f t="shared" si="205"/>
        <v>933.25430079699106</v>
      </c>
      <c r="P215" s="49" t="str">
        <f t="shared" si="206"/>
        <v>27.9103246607183</v>
      </c>
      <c r="Q215" s="18" t="str">
        <f t="shared" si="207"/>
        <v>1+2.88043065679337i</v>
      </c>
      <c r="R215" s="18">
        <f t="shared" si="219"/>
        <v>3.0490786753698376</v>
      </c>
      <c r="S215" s="18">
        <f t="shared" si="220"/>
        <v>1.2366446114297762</v>
      </c>
      <c r="T215" s="18" t="str">
        <f t="shared" si="208"/>
        <v>1+0.00258007627267712i</v>
      </c>
      <c r="U215" s="18">
        <f t="shared" si="221"/>
        <v>1.0000033283912473</v>
      </c>
      <c r="V215" s="18">
        <f t="shared" si="222"/>
        <v>2.5800705476882696E-3</v>
      </c>
      <c r="W215" s="32" t="str">
        <f t="shared" si="209"/>
        <v>1-0.0340245748641483i</v>
      </c>
      <c r="X215" s="18">
        <f t="shared" si="223"/>
        <v>1.0005786684187736</v>
      </c>
      <c r="Y215" s="18">
        <f t="shared" si="224"/>
        <v>-3.4011454214171642E-2</v>
      </c>
      <c r="Z215" s="32" t="str">
        <f t="shared" si="210"/>
        <v>0.999982004884505+0.0155590859935461i</v>
      </c>
      <c r="AA215" s="18">
        <f t="shared" si="225"/>
        <v>1.0001030423160349</v>
      </c>
      <c r="AB215" s="18">
        <f t="shared" si="226"/>
        <v>1.5558110559446127E-2</v>
      </c>
      <c r="AC215" s="67" t="str">
        <f t="shared" si="227"/>
        <v>2.59385799693008-8.78306540637988i</v>
      </c>
      <c r="AD215" s="65">
        <f t="shared" si="228"/>
        <v>19.236083893105846</v>
      </c>
      <c r="AE215" s="62">
        <f t="shared" si="229"/>
        <v>-73.546816693121897</v>
      </c>
      <c r="AF215" s="50" t="str">
        <f t="shared" si="211"/>
        <v>79.1527877025864</v>
      </c>
      <c r="AG215" s="50" t="str">
        <f t="shared" si="212"/>
        <v>1+2.85793064050388i</v>
      </c>
      <c r="AH215" s="50">
        <f t="shared" si="230"/>
        <v>3.0278321528662908</v>
      </c>
      <c r="AI215" s="50">
        <f t="shared" si="231"/>
        <v>1.2342074581990616</v>
      </c>
      <c r="AJ215" s="50" t="str">
        <f t="shared" si="213"/>
        <v>1+0.00258007627267712i</v>
      </c>
      <c r="AK215" s="50">
        <f t="shared" si="232"/>
        <v>1.0000033283912473</v>
      </c>
      <c r="AL215" s="50">
        <f t="shared" si="233"/>
        <v>2.5800705476882696E-3</v>
      </c>
      <c r="AM215" s="50" t="str">
        <f t="shared" si="214"/>
        <v>1-0.0119037818811577i</v>
      </c>
      <c r="AN215" s="50">
        <f t="shared" si="234"/>
        <v>1.0000708475018527</v>
      </c>
      <c r="AO215" s="50">
        <f t="shared" si="235"/>
        <v>-1.1903219673566745E-2</v>
      </c>
      <c r="AP215" s="59" t="str">
        <f t="shared" si="236"/>
        <v>8.40401692562019-24.7560947656726i</v>
      </c>
      <c r="AQ215" s="50">
        <f t="shared" si="237"/>
        <v>28.347332631991154</v>
      </c>
      <c r="AR215" s="62">
        <f t="shared" si="238"/>
        <v>-71.249055495059096</v>
      </c>
      <c r="AS215" s="32" t="str">
        <f t="shared" si="215"/>
        <v>-0.0000166666666666667</v>
      </c>
      <c r="AT215" s="32" t="str">
        <f t="shared" si="216"/>
        <v>0.0000199369530161414i</v>
      </c>
      <c r="AU215" s="32">
        <f t="shared" si="239"/>
        <v>1.9936953016141399E-5</v>
      </c>
      <c r="AV215" s="32">
        <f t="shared" si="240"/>
        <v>1.5707963267948966</v>
      </c>
      <c r="AW215" s="32" t="str">
        <f t="shared" si="217"/>
        <v>1+0.0202611872001409i</v>
      </c>
      <c r="AX215" s="32">
        <f t="shared" si="241"/>
        <v>1.0002052367923091</v>
      </c>
      <c r="AY215" s="32">
        <f t="shared" si="242"/>
        <v>2.025841537097544E-2</v>
      </c>
      <c r="AZ215" s="32" t="str">
        <f t="shared" si="218"/>
        <v>1+0.68888036480479i</v>
      </c>
      <c r="BA215" s="32">
        <f t="shared" si="243"/>
        <v>1.2143130391351238</v>
      </c>
      <c r="BB215" s="32">
        <f t="shared" si="244"/>
        <v>0.60322407216814111</v>
      </c>
      <c r="BC215" s="59" t="str">
        <f t="shared" si="245"/>
        <v>-0.558715275282091+0.847288833053473i</v>
      </c>
      <c r="BD215" s="50">
        <f t="shared" si="246"/>
        <v>0.12862997188915193</v>
      </c>
      <c r="BE215" s="62">
        <f t="shared" si="247"/>
        <v>123.40147173554963</v>
      </c>
      <c r="BF215" s="59" t="str">
        <f t="shared" si="248"/>
        <v>5.99256515400649+7.10497972167145i</v>
      </c>
      <c r="BG215" s="65">
        <f t="shared" si="249"/>
        <v>19.364713864994997</v>
      </c>
      <c r="BH215" s="62">
        <f t="shared" si="250"/>
        <v>49.854655042427744</v>
      </c>
      <c r="BI215" s="59" t="str">
        <f t="shared" si="203"/>
        <v>16.2801100148947+20.9522379957827i</v>
      </c>
      <c r="BJ215" s="65">
        <f t="shared" si="251"/>
        <v>28.475962603880319</v>
      </c>
      <c r="BK215" s="62">
        <f t="shared" si="204"/>
        <v>52.152416240490567</v>
      </c>
      <c r="BL215" s="50">
        <f t="shared" si="252"/>
        <v>19.364713864994997</v>
      </c>
      <c r="BM215" s="62">
        <f t="shared" si="253"/>
        <v>49.854655042427744</v>
      </c>
    </row>
    <row r="216" spans="14:65" x14ac:dyDescent="0.3">
      <c r="N216" s="11">
        <v>98</v>
      </c>
      <c r="O216" s="51">
        <f t="shared" si="205"/>
        <v>954.99258602143675</v>
      </c>
      <c r="P216" s="49" t="str">
        <f t="shared" si="206"/>
        <v>27.9103246607183</v>
      </c>
      <c r="Q216" s="18" t="str">
        <f t="shared" si="207"/>
        <v>1+2.94752450584731i</v>
      </c>
      <c r="R216" s="18">
        <f t="shared" si="219"/>
        <v>3.1125392708479085</v>
      </c>
      <c r="S216" s="18">
        <f t="shared" si="220"/>
        <v>1.2437143418666197</v>
      </c>
      <c r="T216" s="18" t="str">
        <f t="shared" si="208"/>
        <v>1+0.00264017396938035i</v>
      </c>
      <c r="U216" s="18">
        <f t="shared" si="221"/>
        <v>1.0000034852532207</v>
      </c>
      <c r="V216" s="18">
        <f t="shared" si="222"/>
        <v>2.6401678349454289E-3</v>
      </c>
      <c r="W216" s="32" t="str">
        <f t="shared" si="209"/>
        <v>1-0.0348171090238149i</v>
      </c>
      <c r="X216" s="18">
        <f t="shared" si="223"/>
        <v>1.0006059319636158</v>
      </c>
      <c r="Y216" s="18">
        <f t="shared" si="224"/>
        <v>-3.4803050453839954E-2</v>
      </c>
      <c r="Z216" s="32" t="str">
        <f t="shared" si="210"/>
        <v>0.99998115680084+0.0159215036634894i</v>
      </c>
      <c r="AA216" s="18">
        <f t="shared" si="225"/>
        <v>1.0001078982968052</v>
      </c>
      <c r="AB216" s="18">
        <f t="shared" si="226"/>
        <v>1.5920458473059507E-2</v>
      </c>
      <c r="AC216" s="67" t="str">
        <f t="shared" si="227"/>
        <v>2.47070511459884-8.62464118521002i</v>
      </c>
      <c r="AD216" s="65">
        <f t="shared" si="228"/>
        <v>19.057355569205015</v>
      </c>
      <c r="AE216" s="62">
        <f t="shared" si="229"/>
        <v>-74.014555218305063</v>
      </c>
      <c r="AF216" s="50" t="str">
        <f t="shared" si="211"/>
        <v>79.1527877025864</v>
      </c>
      <c r="AG216" s="50" t="str">
        <f t="shared" si="212"/>
        <v>1+2.92450039685207i</v>
      </c>
      <c r="AH216" s="50">
        <f t="shared" si="230"/>
        <v>3.090744662890792</v>
      </c>
      <c r="AI216" s="50">
        <f t="shared" si="231"/>
        <v>1.2413209970154495</v>
      </c>
      <c r="AJ216" s="50" t="str">
        <f t="shared" si="213"/>
        <v>1+0.00264017396938035i</v>
      </c>
      <c r="AK216" s="50">
        <f t="shared" si="232"/>
        <v>1.0000034852532207</v>
      </c>
      <c r="AL216" s="50">
        <f t="shared" si="233"/>
        <v>2.6401678349454289E-3</v>
      </c>
      <c r="AM216" s="50" t="str">
        <f t="shared" si="214"/>
        <v>1-0.0121810565806273i</v>
      </c>
      <c r="AN216" s="50">
        <f t="shared" si="234"/>
        <v>1.0000741863179055</v>
      </c>
      <c r="AO216" s="50">
        <f t="shared" si="235"/>
        <v>-1.2180454166753552E-2</v>
      </c>
      <c r="AP216" s="59" t="str">
        <f t="shared" si="236"/>
        <v>8.05497571783036-24.311967139252i</v>
      </c>
      <c r="AQ216" s="50">
        <f t="shared" si="237"/>
        <v>28.168736363186227</v>
      </c>
      <c r="AR216" s="62">
        <f t="shared" si="238"/>
        <v>-71.669072292115672</v>
      </c>
      <c r="AS216" s="32" t="str">
        <f t="shared" si="215"/>
        <v>-0.0000166666666666667</v>
      </c>
      <c r="AT216" s="32" t="str">
        <f t="shared" si="216"/>
        <v>0.0000204013443088481i</v>
      </c>
      <c r="AU216" s="32">
        <f t="shared" si="239"/>
        <v>2.0401344308848099E-5</v>
      </c>
      <c r="AV216" s="32">
        <f t="shared" si="240"/>
        <v>1.5707963267948966</v>
      </c>
      <c r="AW216" s="32" t="str">
        <f t="shared" si="217"/>
        <v>1+0.0207331308771927i</v>
      </c>
      <c r="AX216" s="32">
        <f t="shared" si="241"/>
        <v>1.0002149082652043</v>
      </c>
      <c r="AY216" s="32">
        <f t="shared" si="242"/>
        <v>2.0730160843196052E-2</v>
      </c>
      <c r="AZ216" s="32" t="str">
        <f t="shared" si="218"/>
        <v>1+0.704926449824552i</v>
      </c>
      <c r="BA216" s="32">
        <f t="shared" si="243"/>
        <v>1.2234873516560139</v>
      </c>
      <c r="BB216" s="32">
        <f t="shared" si="244"/>
        <v>0.6140246599294874</v>
      </c>
      <c r="BC216" s="59" t="str">
        <f t="shared" si="245"/>
        <v>-0.558704470457106+0.828523322686778i</v>
      </c>
      <c r="BD216" s="50">
        <f t="shared" si="246"/>
        <v>-6.0775046237352189E-3</v>
      </c>
      <c r="BE216" s="62">
        <f t="shared" si="247"/>
        <v>123.99327080597276</v>
      </c>
      <c r="BF216" s="59" t="str">
        <f t="shared" si="248"/>
        <v>5.76532237904383+6.86566239719196i</v>
      </c>
      <c r="BG216" s="65">
        <f t="shared" si="249"/>
        <v>19.051278064581282</v>
      </c>
      <c r="BH216" s="62">
        <f t="shared" si="250"/>
        <v>49.978715587667693</v>
      </c>
      <c r="BI216" s="59" t="str">
        <f t="shared" si="203"/>
        <v>15.6426808522896+20.2569399722045i</v>
      </c>
      <c r="BJ216" s="65">
        <f t="shared" si="251"/>
        <v>28.162658858562505</v>
      </c>
      <c r="BK216" s="62">
        <f t="shared" si="204"/>
        <v>52.324198513857077</v>
      </c>
      <c r="BL216" s="50">
        <f t="shared" si="252"/>
        <v>19.051278064581282</v>
      </c>
      <c r="BM216" s="62">
        <f t="shared" si="253"/>
        <v>49.978715587667693</v>
      </c>
    </row>
    <row r="217" spans="14:65" x14ac:dyDescent="0.3">
      <c r="N217" s="11">
        <v>99</v>
      </c>
      <c r="O217" s="51">
        <f t="shared" si="205"/>
        <v>977.23722095581138</v>
      </c>
      <c r="P217" s="49" t="str">
        <f t="shared" si="206"/>
        <v>27.9103246607183</v>
      </c>
      <c r="Q217" s="18" t="str">
        <f t="shared" si="207"/>
        <v>1+3.01618117140934i</v>
      </c>
      <c r="R217" s="18">
        <f t="shared" si="219"/>
        <v>3.1776325871258657</v>
      </c>
      <c r="S217" s="18">
        <f t="shared" si="220"/>
        <v>1.2506560711843586</v>
      </c>
      <c r="T217" s="18" t="str">
        <f t="shared" si="208"/>
        <v>1+0.00270167152126897i</v>
      </c>
      <c r="U217" s="18">
        <f t="shared" si="221"/>
        <v>1.0000036495078448</v>
      </c>
      <c r="V217" s="18">
        <f t="shared" si="222"/>
        <v>2.7016649481048211E-3</v>
      </c>
      <c r="W217" s="32" t="str">
        <f t="shared" si="209"/>
        <v>1-0.0356281036755448i</v>
      </c>
      <c r="X217" s="18">
        <f t="shared" si="223"/>
        <v>1.000634479603574</v>
      </c>
      <c r="Y217" s="18">
        <f t="shared" si="224"/>
        <v>-3.5613040162244529E-2</v>
      </c>
      <c r="Z217" s="32" t="str">
        <f t="shared" si="210"/>
        <v>0.999980268748223+0.0162923631254211i</v>
      </c>
      <c r="AA217" s="18">
        <f t="shared" si="225"/>
        <v>1.0001129831083981</v>
      </c>
      <c r="AB217" s="18">
        <f t="shared" si="226"/>
        <v>1.6291243190473845E-2</v>
      </c>
      <c r="AC217" s="67" t="str">
        <f t="shared" si="227"/>
        <v>2.35197162193821-8.46740034861643i</v>
      </c>
      <c r="AD217" s="65">
        <f t="shared" si="228"/>
        <v>18.87778382315215</v>
      </c>
      <c r="AE217" s="62">
        <f t="shared" si="229"/>
        <v>-74.476416876853818</v>
      </c>
      <c r="AF217" s="50" t="str">
        <f t="shared" si="211"/>
        <v>79.1527877025864</v>
      </c>
      <c r="AG217" s="50" t="str">
        <f t="shared" si="212"/>
        <v>1+2.99262076202101i</v>
      </c>
      <c r="AH217" s="50">
        <f t="shared" si="230"/>
        <v>3.1552779632354437</v>
      </c>
      <c r="AI217" s="50">
        <f t="shared" si="231"/>
        <v>1.2483062115161667</v>
      </c>
      <c r="AJ217" s="50" t="str">
        <f t="shared" si="213"/>
        <v>1+0.00270167152126897i</v>
      </c>
      <c r="AK217" s="50">
        <f t="shared" si="232"/>
        <v>1.0000036495078448</v>
      </c>
      <c r="AL217" s="50">
        <f t="shared" si="233"/>
        <v>2.7016649481048211E-3</v>
      </c>
      <c r="AM217" s="50" t="str">
        <f t="shared" si="214"/>
        <v>1-0.0124647898375313i</v>
      </c>
      <c r="AN217" s="50">
        <f t="shared" si="234"/>
        <v>1.0000776824755635</v>
      </c>
      <c r="AO217" s="50">
        <f t="shared" si="235"/>
        <v>-1.246414434214381E-2</v>
      </c>
      <c r="AP217" s="59" t="str">
        <f t="shared" si="236"/>
        <v>7.71841374312908-23.8710632489587i</v>
      </c>
      <c r="AQ217" s="50">
        <f t="shared" si="237"/>
        <v>27.989278228257017</v>
      </c>
      <c r="AR217" s="62">
        <f t="shared" si="238"/>
        <v>-72.082026326703229</v>
      </c>
      <c r="AS217" s="32" t="str">
        <f t="shared" si="215"/>
        <v>-0.0000166666666666667</v>
      </c>
      <c r="AT217" s="32" t="str">
        <f t="shared" si="216"/>
        <v>0.0000208765526643511i</v>
      </c>
      <c r="AU217" s="32">
        <f t="shared" si="239"/>
        <v>2.08765526643511E-5</v>
      </c>
      <c r="AV217" s="32">
        <f t="shared" si="240"/>
        <v>1.5707963267948966</v>
      </c>
      <c r="AW217" s="32" t="str">
        <f t="shared" si="217"/>
        <v>1+0.021216067534671i</v>
      </c>
      <c r="AX217" s="32">
        <f t="shared" si="241"/>
        <v>1.0002250354403432</v>
      </c>
      <c r="AY217" s="32">
        <f t="shared" si="242"/>
        <v>2.1212885124575618E-2</v>
      </c>
      <c r="AZ217" s="32" t="str">
        <f t="shared" si="218"/>
        <v>1+0.721346296178815i</v>
      </c>
      <c r="BA217" s="32">
        <f t="shared" si="243"/>
        <v>1.2330208753345966</v>
      </c>
      <c r="BB217" s="32">
        <f t="shared" si="244"/>
        <v>0.62490914156430699</v>
      </c>
      <c r="BC217" s="59" t="str">
        <f t="shared" si="245"/>
        <v>-0.558693156864308+0.810197085241207i</v>
      </c>
      <c r="BD217" s="50">
        <f t="shared" si="246"/>
        <v>-0.13874654145964938</v>
      </c>
      <c r="BE217" s="62">
        <f t="shared" si="247"/>
        <v>124.58924760184408</v>
      </c>
      <c r="BF217" s="59" t="str">
        <f t="shared" si="248"/>
        <v>5.54623263170349+6.63623918386683i</v>
      </c>
      <c r="BG217" s="65">
        <f t="shared" si="249"/>
        <v>18.739037281692504</v>
      </c>
      <c r="BH217" s="62">
        <f t="shared" si="250"/>
        <v>50.112830724990253</v>
      </c>
      <c r="BI217" s="59" t="str">
        <f t="shared" si="203"/>
        <v>15.0280409257812+19.5900360016372i</v>
      </c>
      <c r="BJ217" s="65">
        <f t="shared" si="251"/>
        <v>27.850531686797385</v>
      </c>
      <c r="BK217" s="62">
        <f t="shared" si="204"/>
        <v>52.507221275140886</v>
      </c>
      <c r="BL217" s="50">
        <f t="shared" si="252"/>
        <v>18.739037281692504</v>
      </c>
      <c r="BM217" s="62">
        <f t="shared" si="253"/>
        <v>50.112830724990253</v>
      </c>
    </row>
    <row r="218" spans="14:65" x14ac:dyDescent="0.3">
      <c r="N218" s="11">
        <v>100</v>
      </c>
      <c r="O218" s="51">
        <f t="shared" si="205"/>
        <v>1000</v>
      </c>
      <c r="P218" s="49" t="str">
        <f t="shared" si="206"/>
        <v>27.9103246607183</v>
      </c>
      <c r="Q218" s="18" t="str">
        <f t="shared" si="207"/>
        <v>1+3.08643705615233i</v>
      </c>
      <c r="R218" s="18">
        <f t="shared" si="219"/>
        <v>3.2443941963932592</v>
      </c>
      <c r="S218" s="18">
        <f t="shared" si="220"/>
        <v>1.2574708030450261</v>
      </c>
      <c r="T218" s="18" t="str">
        <f t="shared" si="208"/>
        <v>1+0.00276460153515902i</v>
      </c>
      <c r="U218" s="18">
        <f t="shared" si="221"/>
        <v>1.0000038215035221</v>
      </c>
      <c r="V218" s="18">
        <f t="shared" si="222"/>
        <v>2.7645944918881921E-3</v>
      </c>
      <c r="W218" s="32" t="str">
        <f t="shared" si="209"/>
        <v>1-0.0364579888194371i</v>
      </c>
      <c r="X218" s="18">
        <f t="shared" si="223"/>
        <v>1.0006643717794486</v>
      </c>
      <c r="Y218" s="18">
        <f t="shared" si="224"/>
        <v>-3.6441848552855788E-2</v>
      </c>
      <c r="Z218" s="32" t="str">
        <f t="shared" si="210"/>
        <v>0.999979338842975+0.0166718610139367i</v>
      </c>
      <c r="AA218" s="18">
        <f t="shared" si="225"/>
        <v>1.0001183075329145</v>
      </c>
      <c r="AB218" s="18">
        <f t="shared" si="226"/>
        <v>1.6670660989622822E-2</v>
      </c>
      <c r="AC218" s="67" t="str">
        <f t="shared" si="227"/>
        <v>2.23754308634192-8.31144123882909i</v>
      </c>
      <c r="AD218" s="65">
        <f t="shared" si="228"/>
        <v>18.6973998414569</v>
      </c>
      <c r="AE218" s="62">
        <f t="shared" si="229"/>
        <v>-74.932492915088432</v>
      </c>
      <c r="AF218" s="50" t="str">
        <f t="shared" si="211"/>
        <v>79.1527877025864</v>
      </c>
      <c r="AG218" s="50" t="str">
        <f t="shared" si="212"/>
        <v>1+3.06232785432999i</v>
      </c>
      <c r="AH218" s="50">
        <f t="shared" si="230"/>
        <v>3.2214673500449016</v>
      </c>
      <c r="AI218" s="50">
        <f t="shared" si="231"/>
        <v>1.2551640778046325</v>
      </c>
      <c r="AJ218" s="50" t="str">
        <f t="shared" si="213"/>
        <v>1+0.00276460153515902i</v>
      </c>
      <c r="AK218" s="50">
        <f t="shared" si="232"/>
        <v>1.0000038215035221</v>
      </c>
      <c r="AL218" s="50">
        <f t="shared" si="233"/>
        <v>2.7645944918881921E-3</v>
      </c>
      <c r="AM218" s="50" t="str">
        <f t="shared" si="214"/>
        <v>1-0.0127551320909981i</v>
      </c>
      <c r="AN218" s="50">
        <f t="shared" si="234"/>
        <v>1.0000813433889559</v>
      </c>
      <c r="AO218" s="50">
        <f t="shared" si="235"/>
        <v>-1.2754440433267329E-2</v>
      </c>
      <c r="AP218" s="59" t="str">
        <f t="shared" si="236"/>
        <v>7.39401151016602-23.4336657469405i</v>
      </c>
      <c r="AQ218" s="50">
        <f t="shared" si="237"/>
        <v>27.808989322448696</v>
      </c>
      <c r="AR218" s="62">
        <f t="shared" si="238"/>
        <v>-72.487980265062447</v>
      </c>
      <c r="AS218" s="32" t="str">
        <f t="shared" si="215"/>
        <v>-0.0000166666666666667</v>
      </c>
      <c r="AT218" s="32" t="str">
        <f t="shared" si="216"/>
        <v>0.0000213628300444106i</v>
      </c>
      <c r="AU218" s="32">
        <f t="shared" si="239"/>
        <v>2.1362830044410598E-5</v>
      </c>
      <c r="AV218" s="32">
        <f t="shared" si="240"/>
        <v>1.5707963267948966</v>
      </c>
      <c r="AW218" s="32" t="str">
        <f t="shared" si="217"/>
        <v>1+0.0217102532319841i</v>
      </c>
      <c r="AX218" s="32">
        <f t="shared" si="241"/>
        <v>1.0002356397846444</v>
      </c>
      <c r="AY218" s="32">
        <f t="shared" si="242"/>
        <v>2.1706843261516024E-2</v>
      </c>
      <c r="AZ218" s="32" t="str">
        <f t="shared" si="218"/>
        <v>1+0.738148609887458i</v>
      </c>
      <c r="BA218" s="32">
        <f t="shared" si="243"/>
        <v>1.2429253277163461</v>
      </c>
      <c r="BB218" s="32">
        <f t="shared" si="244"/>
        <v>0.6358729723093014</v>
      </c>
      <c r="BC218" s="59" t="str">
        <f t="shared" si="245"/>
        <v>-0.558681310569388+0.792300402394593i</v>
      </c>
      <c r="BD218" s="50">
        <f t="shared" si="246"/>
        <v>-0.26934645681814984</v>
      </c>
      <c r="BE218" s="62">
        <f t="shared" si="247"/>
        <v>125.18912711432517</v>
      </c>
      <c r="BF218" s="59" t="str">
        <f t="shared" si="248"/>
        <v>5.33508473407032+6.41625317171344i</v>
      </c>
      <c r="BG218" s="65">
        <f t="shared" si="249"/>
        <v>18.428053384638751</v>
      </c>
      <c r="BH218" s="62">
        <f t="shared" si="250"/>
        <v>50.2566341992368</v>
      </c>
      <c r="BI218" s="59" t="str">
        <f t="shared" si="203"/>
        <v>14.4356067600167+18.9502293857605i</v>
      </c>
      <c r="BJ218" s="65">
        <f t="shared" si="251"/>
        <v>27.539642865630558</v>
      </c>
      <c r="BK218" s="62">
        <f t="shared" si="204"/>
        <v>52.70114684926267</v>
      </c>
      <c r="BL218" s="50">
        <f t="shared" si="252"/>
        <v>18.428053384638751</v>
      </c>
      <c r="BM218" s="62">
        <f t="shared" si="253"/>
        <v>50.2566341992368</v>
      </c>
    </row>
    <row r="219" spans="14:65" x14ac:dyDescent="0.3">
      <c r="N219" s="11">
        <v>1</v>
      </c>
      <c r="O219" s="51">
        <f>10^(3+(N219/100))</f>
        <v>1023.2929922807547</v>
      </c>
      <c r="P219" s="49" t="str">
        <f t="shared" si="206"/>
        <v>27.9103246607183</v>
      </c>
      <c r="Q219" s="18" t="str">
        <f t="shared" si="207"/>
        <v>1+3.15832941067632i</v>
      </c>
      <c r="R219" s="18">
        <f t="shared" si="219"/>
        <v>3.3128604960582066</v>
      </c>
      <c r="S219" s="18">
        <f t="shared" si="220"/>
        <v>1.2641596180031347</v>
      </c>
      <c r="T219" s="18" t="str">
        <f t="shared" si="208"/>
        <v>1+0.00282899737737684i</v>
      </c>
      <c r="U219" s="18">
        <f t="shared" si="221"/>
        <v>1.0000040016050742</v>
      </c>
      <c r="V219" s="18">
        <f t="shared" si="222"/>
        <v>2.8289898303778065E-3</v>
      </c>
      <c r="W219" s="32" t="str">
        <f t="shared" si="209"/>
        <v>1-0.0373072044715801i</v>
      </c>
      <c r="X219" s="18">
        <f t="shared" si="223"/>
        <v>1.0006956717731341</v>
      </c>
      <c r="Y219" s="18">
        <f t="shared" si="224"/>
        <v>-3.7289910513629537E-2</v>
      </c>
      <c r="Z219" s="32" t="str">
        <f t="shared" si="210"/>
        <v>0.999978365112644+0.0170601985438402i</v>
      </c>
      <c r="AA219" s="18">
        <f t="shared" si="225"/>
        <v>1.0001238828603742</v>
      </c>
      <c r="AB219" s="18">
        <f t="shared" si="226"/>
        <v>1.7058912703151363E-2</v>
      </c>
      <c r="AC219" s="67" t="str">
        <f t="shared" si="227"/>
        <v>2.12730442507279-8.15685485965373i</v>
      </c>
      <c r="AD219" s="65">
        <f t="shared" si="228"/>
        <v>18.51623402156094</v>
      </c>
      <c r="AE219" s="62">
        <f t="shared" si="229"/>
        <v>-75.382879756708078</v>
      </c>
      <c r="AF219" s="50" t="str">
        <f t="shared" si="211"/>
        <v>79.1527877025864</v>
      </c>
      <c r="AG219" s="50" t="str">
        <f t="shared" si="212"/>
        <v>1+3.13365863340203i</v>
      </c>
      <c r="AH219" s="50">
        <f t="shared" si="230"/>
        <v>3.2893489372055194</v>
      </c>
      <c r="AI219" s="50">
        <f t="shared" si="231"/>
        <v>1.2618956509154169</v>
      </c>
      <c r="AJ219" s="50" t="str">
        <f t="shared" si="213"/>
        <v>1+0.00282899737737684i</v>
      </c>
      <c r="AK219" s="50">
        <f t="shared" si="232"/>
        <v>1.0000040016050742</v>
      </c>
      <c r="AL219" s="50">
        <f t="shared" si="233"/>
        <v>2.8289898303778065E-3</v>
      </c>
      <c r="AM219" s="50" t="str">
        <f t="shared" si="214"/>
        <v>1-0.0130522372843338i</v>
      </c>
      <c r="AN219" s="50">
        <f t="shared" si="234"/>
        <v>1.0000851768215178</v>
      </c>
      <c r="AO219" s="50">
        <f t="shared" si="235"/>
        <v>-1.305149616313173E-2</v>
      </c>
      <c r="AP219" s="59" t="str">
        <f t="shared" si="236"/>
        <v>7.08144734112302-23.00003653548i</v>
      </c>
      <c r="AQ219" s="50">
        <f t="shared" si="237"/>
        <v>27.627899936544189</v>
      </c>
      <c r="AR219" s="62">
        <f t="shared" si="238"/>
        <v>-72.88700145227979</v>
      </c>
      <c r="AS219" s="32" t="str">
        <f t="shared" si="215"/>
        <v>-0.0000166666666666667</v>
      </c>
      <c r="AT219" s="32" t="str">
        <f t="shared" si="216"/>
        <v>0.0000218604342797301i</v>
      </c>
      <c r="AU219" s="32">
        <f t="shared" si="239"/>
        <v>2.1860434279730101E-5</v>
      </c>
      <c r="AV219" s="32">
        <f t="shared" si="240"/>
        <v>1.5707963267948966</v>
      </c>
      <c r="AW219" s="32" t="str">
        <f t="shared" si="217"/>
        <v>1+0.0222159499929299i</v>
      </c>
      <c r="AX219" s="32">
        <f t="shared" si="241"/>
        <v>1.0002467437757987</v>
      </c>
      <c r="AY219" s="32">
        <f t="shared" si="242"/>
        <v>2.2212296192421797E-2</v>
      </c>
      <c r="AZ219" s="32" t="str">
        <f t="shared" si="218"/>
        <v>1+0.755342299759616i</v>
      </c>
      <c r="BA219" s="32">
        <f t="shared" si="243"/>
        <v>1.2532126674296529</v>
      </c>
      <c r="BB219" s="32">
        <f t="shared" si="244"/>
        <v>0.64691142230437071</v>
      </c>
      <c r="BC219" s="59" t="str">
        <f t="shared" si="245"/>
        <v>-0.558668906514218+0.77482378347259i</v>
      </c>
      <c r="BD219" s="50">
        <f t="shared" si="246"/>
        <v>-0.39784811921525509</v>
      </c>
      <c r="BE219" s="62">
        <f t="shared" si="247"/>
        <v>125.79262339172539</v>
      </c>
      <c r="BF219" s="59" t="str">
        <f t="shared" si="248"/>
        <v>5.13166630661541+6.20526724827082i</v>
      </c>
      <c r="BG219" s="65">
        <f t="shared" si="249"/>
        <v>18.11838590234569</v>
      </c>
      <c r="BH219" s="62">
        <f t="shared" si="250"/>
        <v>50.40974363501735</v>
      </c>
      <c r="BI219" s="59" t="str">
        <f t="shared" si="203"/>
        <v>13.8647908858252+18.3362790823745i</v>
      </c>
      <c r="BJ219" s="65">
        <f t="shared" si="251"/>
        <v>27.230051817328924</v>
      </c>
      <c r="BK219" s="62">
        <f t="shared" si="204"/>
        <v>52.905621939445567</v>
      </c>
      <c r="BL219" s="50">
        <f t="shared" si="252"/>
        <v>18.11838590234569</v>
      </c>
      <c r="BM219" s="62">
        <f t="shared" si="253"/>
        <v>50.40974363501735</v>
      </c>
    </row>
    <row r="220" spans="14:65" x14ac:dyDescent="0.3">
      <c r="N220" s="11">
        <v>2</v>
      </c>
      <c r="O220" s="51">
        <f t="shared" ref="O220:O283" si="254">10^(3+(N220/100))</f>
        <v>1047.1285480509</v>
      </c>
      <c r="P220" s="49" t="str">
        <f t="shared" si="206"/>
        <v>27.9103246607183</v>
      </c>
      <c r="Q220" s="18" t="str">
        <f t="shared" si="207"/>
        <v>1+3.23189635325929i</v>
      </c>
      <c r="R220" s="18">
        <f t="shared" si="219"/>
        <v>3.3830687309321248</v>
      </c>
      <c r="S220" s="18">
        <f t="shared" si="220"/>
        <v>1.2707236676436475</v>
      </c>
      <c r="T220" s="18" t="str">
        <f t="shared" si="208"/>
        <v>1+0.00289489319145036i</v>
      </c>
      <c r="U220" s="18">
        <f t="shared" si="221"/>
        <v>1.0000041901945163</v>
      </c>
      <c r="V220" s="18">
        <f t="shared" si="222"/>
        <v>2.8948851046970291E-3</v>
      </c>
      <c r="W220" s="32" t="str">
        <f t="shared" si="209"/>
        <v>1-0.0381762008973531i</v>
      </c>
      <c r="X220" s="18">
        <f t="shared" si="223"/>
        <v>1.0007284458408061</v>
      </c>
      <c r="Y220" s="18">
        <f t="shared" si="224"/>
        <v>-3.8157670815985964E-2</v>
      </c>
      <c r="Z220" s="32" t="str">
        <f t="shared" si="210"/>
        <v>0.999977345491815+0.01745758161683i</v>
      </c>
      <c r="AA220" s="18">
        <f t="shared" si="225"/>
        <v>1.000129720912625</v>
      </c>
      <c r="AB220" s="18">
        <f t="shared" si="226"/>
        <v>1.7456203823279406E-2</v>
      </c>
      <c r="AC220" s="67" t="str">
        <f t="shared" si="227"/>
        <v>2.02114026930018-8.00372510766134i</v>
      </c>
      <c r="AD220" s="65">
        <f t="shared" si="228"/>
        <v>18.334315969495432</v>
      </c>
      <c r="AE220" s="62">
        <f t="shared" si="229"/>
        <v>-75.827678683890866</v>
      </c>
      <c r="AF220" s="50" t="str">
        <f t="shared" si="211"/>
        <v>79.1527877025864</v>
      </c>
      <c r="AG220" s="50" t="str">
        <f t="shared" si="212"/>
        <v>1+3.20665091976039i</v>
      </c>
      <c r="AH220" s="50">
        <f t="shared" si="230"/>
        <v>3.3589596784123739</v>
      </c>
      <c r="AI220" s="50">
        <f t="shared" si="231"/>
        <v>1.2685020588888607</v>
      </c>
      <c r="AJ220" s="50" t="str">
        <f t="shared" si="213"/>
        <v>1+0.00289489319145036i</v>
      </c>
      <c r="AK220" s="50">
        <f t="shared" si="232"/>
        <v>1.0000041901945163</v>
      </c>
      <c r="AL220" s="50">
        <f t="shared" si="233"/>
        <v>2.8948851046970291E-3</v>
      </c>
      <c r="AM220" s="50" t="str">
        <f t="shared" si="214"/>
        <v>1-0.0133562629466443i</v>
      </c>
      <c r="AN220" s="50">
        <f t="shared" si="234"/>
        <v>1.0000891909024414</v>
      </c>
      <c r="AO220" s="50">
        <f t="shared" si="235"/>
        <v>-1.3355468824793755E-2</v>
      </c>
      <c r="AP220" s="59" t="str">
        <f t="shared" si="236"/>
        <v>6.78039841797216-22.5704174026435i</v>
      </c>
      <c r="AQ220" s="50">
        <f t="shared" si="237"/>
        <v>27.446039552841413</v>
      </c>
      <c r="AR220" s="62">
        <f t="shared" si="238"/>
        <v>-73.279161576391971</v>
      </c>
      <c r="AS220" s="32" t="str">
        <f t="shared" si="215"/>
        <v>-0.0000166666666666667</v>
      </c>
      <c r="AT220" s="32" t="str">
        <f t="shared" si="216"/>
        <v>0.0000223696292066618i</v>
      </c>
      <c r="AU220" s="32">
        <f t="shared" si="239"/>
        <v>2.2369629206661802E-5</v>
      </c>
      <c r="AV220" s="32">
        <f t="shared" si="240"/>
        <v>1.5707963267948966</v>
      </c>
      <c r="AW220" s="32" t="str">
        <f t="shared" si="217"/>
        <v>1+0.0227334259446248i</v>
      </c>
      <c r="AX220" s="32">
        <f t="shared" si="241"/>
        <v>1.0002583709498161</v>
      </c>
      <c r="AY220" s="32">
        <f t="shared" si="242"/>
        <v>2.2729510881459542E-2</v>
      </c>
      <c r="AZ220" s="32" t="str">
        <f t="shared" si="218"/>
        <v>1+0.772936482117244i</v>
      </c>
      <c r="BA220" s="32">
        <f t="shared" si="243"/>
        <v>1.2638950927144945</v>
      </c>
      <c r="BB220" s="32">
        <f t="shared" si="244"/>
        <v>0.65801958460752963</v>
      </c>
      <c r="BC220" s="59" t="str">
        <f t="shared" si="245"/>
        <v>-0.558655918464273+0.757757960408895i</v>
      </c>
      <c r="BD220" s="50">
        <f t="shared" si="246"/>
        <v>-0.52422405480363077</v>
      </c>
      <c r="BE220" s="62">
        <f t="shared" si="247"/>
        <v>126.39943999105873</v>
      </c>
      <c r="BF220" s="59" t="str">
        <f t="shared" si="248"/>
        <v>4.9357644397639+6.0028635293213i</v>
      </c>
      <c r="BG220" s="65">
        <f t="shared" si="249"/>
        <v>17.810091914691803</v>
      </c>
      <c r="BH220" s="62">
        <f t="shared" si="250"/>
        <v>50.57176130716789</v>
      </c>
      <c r="BI220" s="59" t="str">
        <f t="shared" si="203"/>
        <v>13.3150037508586+17.7469981401581i</v>
      </c>
      <c r="BJ220" s="65">
        <f t="shared" si="251"/>
        <v>26.921815498037773</v>
      </c>
      <c r="BK220" s="62">
        <f t="shared" si="204"/>
        <v>53.120278414666814</v>
      </c>
      <c r="BL220" s="50">
        <f t="shared" si="252"/>
        <v>17.810091914691803</v>
      </c>
      <c r="BM220" s="62">
        <f t="shared" si="253"/>
        <v>50.57176130716789</v>
      </c>
    </row>
    <row r="221" spans="14:65" x14ac:dyDescent="0.3">
      <c r="N221" s="11">
        <v>3</v>
      </c>
      <c r="O221" s="51">
        <f t="shared" si="254"/>
        <v>1071.5193052376069</v>
      </c>
      <c r="P221" s="49" t="str">
        <f t="shared" si="206"/>
        <v>27.9103246607183</v>
      </c>
      <c r="Q221" s="18" t="str">
        <f t="shared" si="207"/>
        <v>1+3.30717689006795i</v>
      </c>
      <c r="R221" s="18">
        <f t="shared" si="219"/>
        <v>3.455057015766819</v>
      </c>
      <c r="S221" s="18">
        <f t="shared" si="220"/>
        <v>1.2771641689120772</v>
      </c>
      <c r="T221" s="18" t="str">
        <f t="shared" si="208"/>
        <v>1+0.00296232391621242i</v>
      </c>
      <c r="U221" s="18">
        <f t="shared" si="221"/>
        <v>1.0000043876718665</v>
      </c>
      <c r="V221" s="18">
        <f t="shared" si="222"/>
        <v>2.9623152511021626E-3</v>
      </c>
      <c r="W221" s="32" t="str">
        <f t="shared" si="209"/>
        <v>1-0.0390654388501637i</v>
      </c>
      <c r="X221" s="18">
        <f t="shared" si="223"/>
        <v>1.0007627633523122</v>
      </c>
      <c r="Y221" s="18">
        <f t="shared" si="224"/>
        <v>-3.9045584327496975E-2</v>
      </c>
      <c r="Z221" s="32" t="str">
        <f t="shared" si="210"/>
        <v>0.999976277817738+0.0178642209306714i</v>
      </c>
      <c r="AA221" s="18">
        <f t="shared" si="225"/>
        <v>1.0001358340683917</v>
      </c>
      <c r="AB221" s="18">
        <f t="shared" si="226"/>
        <v>1.7862744609021885E-2</v>
      </c>
      <c r="AC221" s="67" t="str">
        <f t="shared" si="227"/>
        <v>1.9189352999583-7.85212901392555i</v>
      </c>
      <c r="AD221" s="65">
        <f t="shared" si="228"/>
        <v>18.1516745000486</v>
      </c>
      <c r="AE221" s="62">
        <f t="shared" si="229"/>
        <v>-76.266995529724809</v>
      </c>
      <c r="AF221" s="50" t="str">
        <f t="shared" si="211"/>
        <v>79.1527877025864</v>
      </c>
      <c r="AG221" s="50" t="str">
        <f t="shared" si="212"/>
        <v>1+3.28134341488144i</v>
      </c>
      <c r="AH221" s="50">
        <f t="shared" si="230"/>
        <v>3.4303373895851395</v>
      </c>
      <c r="AI221" s="50">
        <f t="shared" si="231"/>
        <v>1.2749844970347868</v>
      </c>
      <c r="AJ221" s="50" t="str">
        <f t="shared" si="213"/>
        <v>1+0.00296232391621242i</v>
      </c>
      <c r="AK221" s="50">
        <f t="shared" si="232"/>
        <v>1.0000043876718665</v>
      </c>
      <c r="AL221" s="50">
        <f t="shared" si="233"/>
        <v>2.9623152511021626E-3</v>
      </c>
      <c r="AM221" s="50" t="str">
        <f t="shared" si="214"/>
        <v>1-0.0136673702763602i</v>
      </c>
      <c r="AN221" s="50">
        <f t="shared" si="234"/>
        <v>1.0000933941439025</v>
      </c>
      <c r="AO221" s="50">
        <f t="shared" si="235"/>
        <v>-1.3666519363758291E-2</v>
      </c>
      <c r="AP221" s="59" t="str">
        <f t="shared" si="236"/>
        <v>6.49054174924894-22.1450306898022i</v>
      </c>
      <c r="AQ221" s="50">
        <f t="shared" si="237"/>
        <v>27.263436843671979</v>
      </c>
      <c r="AR221" s="62">
        <f t="shared" si="238"/>
        <v>-73.664536343405075</v>
      </c>
      <c r="AS221" s="32" t="str">
        <f t="shared" si="215"/>
        <v>-0.0000166666666666667</v>
      </c>
      <c r="AT221" s="32" t="str">
        <f t="shared" si="216"/>
        <v>0.0000228906848070959i</v>
      </c>
      <c r="AU221" s="32">
        <f t="shared" si="239"/>
        <v>2.28906848070959E-5</v>
      </c>
      <c r="AV221" s="32">
        <f t="shared" si="240"/>
        <v>1.5707963267948966</v>
      </c>
      <c r="AW221" s="32" t="str">
        <f t="shared" si="217"/>
        <v>1+0.0232629554596681i</v>
      </c>
      <c r="AX221" s="32">
        <f t="shared" si="241"/>
        <v>1.0002705459508034</v>
      </c>
      <c r="AY221" s="32">
        <f t="shared" si="242"/>
        <v>2.3258760455184123E-2</v>
      </c>
      <c r="AZ221" s="32" t="str">
        <f t="shared" si="218"/>
        <v>1+0.790940485628714i</v>
      </c>
      <c r="BA221" s="32">
        <f t="shared" si="243"/>
        <v>1.274985039836384</v>
      </c>
      <c r="BB221" s="32">
        <f t="shared" si="244"/>
        <v>0.66919238417846783</v>
      </c>
      <c r="BC221" s="59" t="str">
        <f t="shared" si="245"/>
        <v>-0.558642318953634+0.741093882822978i</v>
      </c>
      <c r="BD221" s="50">
        <f t="shared" si="246"/>
        <v>-0.64844855087744524</v>
      </c>
      <c r="BE221" s="62">
        <f t="shared" si="247"/>
        <v>127.00927048493554</v>
      </c>
      <c r="BF221" s="59" t="str">
        <f t="shared" si="248"/>
        <v>4.74716631346636+5.80864277339465i</v>
      </c>
      <c r="BG221" s="65">
        <f t="shared" si="249"/>
        <v>17.503225949171156</v>
      </c>
      <c r="BH221" s="62">
        <f t="shared" si="250"/>
        <v>50.742274955210696</v>
      </c>
      <c r="BI221" s="59" t="str">
        <f t="shared" si="203"/>
        <v>12.7856554850737+17.181252084426i</v>
      </c>
      <c r="BJ221" s="65">
        <f t="shared" si="251"/>
        <v>26.614988292794518</v>
      </c>
      <c r="BK221" s="62">
        <f t="shared" si="204"/>
        <v>53.344734141530438</v>
      </c>
      <c r="BL221" s="50">
        <f t="shared" si="252"/>
        <v>17.503225949171156</v>
      </c>
      <c r="BM221" s="62">
        <f t="shared" si="253"/>
        <v>50.742274955210696</v>
      </c>
    </row>
    <row r="222" spans="14:65" x14ac:dyDescent="0.3">
      <c r="N222" s="11">
        <v>4</v>
      </c>
      <c r="O222" s="51">
        <f t="shared" si="254"/>
        <v>1096.4781961431863</v>
      </c>
      <c r="P222" s="49" t="str">
        <f t="shared" si="206"/>
        <v>27.9103246607183</v>
      </c>
      <c r="Q222" s="18" t="str">
        <f t="shared" si="207"/>
        <v>1+3.38421093583939i</v>
      </c>
      <c r="R222" s="18">
        <f t="shared" si="219"/>
        <v>3.5288643581547472</v>
      </c>
      <c r="S222" s="18">
        <f t="shared" si="220"/>
        <v>1.2834823986443271</v>
      </c>
      <c r="T222" s="18" t="str">
        <f t="shared" si="208"/>
        <v>1+0.00303132530432585i</v>
      </c>
      <c r="U222" s="18">
        <f t="shared" si="221"/>
        <v>1.0000045944559959</v>
      </c>
      <c r="V222" s="18">
        <f t="shared" si="222"/>
        <v>3.0313160194952314E-3</v>
      </c>
      <c r="W222" s="32" t="str">
        <f t="shared" si="209"/>
        <v>1-0.0399753898157448i</v>
      </c>
      <c r="X222" s="18">
        <f t="shared" si="223"/>
        <v>1.0007986969370617</v>
      </c>
      <c r="Y222" s="18">
        <f t="shared" si="224"/>
        <v>-3.9954116228284028E-2</v>
      </c>
      <c r="Z222" s="32" t="str">
        <f t="shared" si="210"/>
        <v>0.999975159825731+0.0182803320909112i</v>
      </c>
      <c r="AA222" s="18">
        <f t="shared" si="225"/>
        <v>1.0001422352894864</v>
      </c>
      <c r="AB222" s="18">
        <f t="shared" si="226"/>
        <v>1.8278750195811697E-2</v>
      </c>
      <c r="AC222" s="67" t="str">
        <f t="shared" si="227"/>
        <v>1.8205745561519-7.70213699397392i</v>
      </c>
      <c r="AD222" s="65">
        <f t="shared" si="228"/>
        <v>17.968337639248958</v>
      </c>
      <c r="AE222" s="62">
        <f t="shared" si="229"/>
        <v>-76.700940382409627</v>
      </c>
      <c r="AF222" s="50" t="str">
        <f t="shared" si="211"/>
        <v>79.1527877025864</v>
      </c>
      <c r="AG222" s="50" t="str">
        <f t="shared" si="212"/>
        <v>1+3.35777572171477i</v>
      </c>
      <c r="AH222" s="50">
        <f t="shared" si="230"/>
        <v>3.5035207716434535</v>
      </c>
      <c r="AI222" s="50">
        <f t="shared" si="231"/>
        <v>1.2813442223935789</v>
      </c>
      <c r="AJ222" s="50" t="str">
        <f t="shared" si="213"/>
        <v>1+0.00303132530432585i</v>
      </c>
      <c r="AK222" s="50">
        <f t="shared" si="232"/>
        <v>1.0000045944559959</v>
      </c>
      <c r="AL222" s="50">
        <f t="shared" si="233"/>
        <v>3.0313160194952314E-3</v>
      </c>
      <c r="AM222" s="50" t="str">
        <f t="shared" si="214"/>
        <v>1-0.0139857242267057i</v>
      </c>
      <c r="AN222" s="50">
        <f t="shared" si="234"/>
        <v>1.0000977954590968</v>
      </c>
      <c r="AO222" s="50">
        <f t="shared" si="235"/>
        <v>-1.3984812462240951E-2</v>
      </c>
      <c r="AP222" s="59" t="str">
        <f t="shared" si="236"/>
        <v>6.21155505923786-21.724079984316i</v>
      </c>
      <c r="AQ222" s="50">
        <f t="shared" si="237"/>
        <v>27.080119672263962</v>
      </c>
      <c r="AR222" s="62">
        <f t="shared" si="238"/>
        <v>-74.043205163705295</v>
      </c>
      <c r="AS222" s="32" t="str">
        <f t="shared" si="215"/>
        <v>-0.0000166666666666667</v>
      </c>
      <c r="AT222" s="32" t="str">
        <f t="shared" si="216"/>
        <v>0.0000234238773516088i</v>
      </c>
      <c r="AU222" s="32">
        <f t="shared" si="239"/>
        <v>2.3423877351608799E-5</v>
      </c>
      <c r="AV222" s="32">
        <f t="shared" si="240"/>
        <v>1.5707963267948966</v>
      </c>
      <c r="AW222" s="32" t="str">
        <f t="shared" si="217"/>
        <v>1+0.0238048193016176i</v>
      </c>
      <c r="AX222" s="32">
        <f t="shared" si="241"/>
        <v>1.0002832945830809</v>
      </c>
      <c r="AY222" s="32">
        <f t="shared" si="242"/>
        <v>2.3800324342080976E-2</v>
      </c>
      <c r="AZ222" s="32" t="str">
        <f t="shared" si="218"/>
        <v>1+0.809363856255i</v>
      </c>
      <c r="BA222" s="32">
        <f t="shared" si="243"/>
        <v>1.2864951814180901</v>
      </c>
      <c r="BB222" s="32">
        <f t="shared" si="244"/>
        <v>0.6804245878047338</v>
      </c>
      <c r="BC222" s="59" t="str">
        <f t="shared" si="245"/>
        <v>-0.558628079227443+0.72482271321263i</v>
      </c>
      <c r="BD222" s="50">
        <f t="shared" si="246"/>
        <v>-0.77049775479051996</v>
      </c>
      <c r="BE222" s="62">
        <f t="shared" si="247"/>
        <v>127.62179902229629</v>
      </c>
      <c r="BF222" s="59" t="str">
        <f t="shared" si="248"/>
        <v>4.56565976611406+5.62222378428618i</v>
      </c>
      <c r="BG222" s="65">
        <f t="shared" si="249"/>
        <v>17.197839884458439</v>
      </c>
      <c r="BH222" s="62">
        <f t="shared" si="250"/>
        <v>50.920858639886625</v>
      </c>
      <c r="BI222" s="59" t="str">
        <f t="shared" si="203"/>
        <v>12.2761575245226+16.6379572659282i</v>
      </c>
      <c r="BJ222" s="65">
        <f t="shared" si="251"/>
        <v>26.30962191747345</v>
      </c>
      <c r="BK222" s="62">
        <f t="shared" si="204"/>
        <v>53.578593858590892</v>
      </c>
      <c r="BL222" s="50">
        <f t="shared" si="252"/>
        <v>17.197839884458439</v>
      </c>
      <c r="BM222" s="62">
        <f t="shared" si="253"/>
        <v>50.920858639886625</v>
      </c>
    </row>
    <row r="223" spans="14:65" x14ac:dyDescent="0.3">
      <c r="N223" s="11">
        <v>5</v>
      </c>
      <c r="O223" s="51">
        <f t="shared" si="254"/>
        <v>1122.0184543019636</v>
      </c>
      <c r="P223" s="49" t="str">
        <f t="shared" si="206"/>
        <v>27.9103246607183</v>
      </c>
      <c r="Q223" s="18" t="str">
        <f t="shared" si="207"/>
        <v>1+3.46303933504434i</v>
      </c>
      <c r="R223" s="18">
        <f t="shared" si="219"/>
        <v>3.6045306818037131</v>
      </c>
      <c r="S223" s="18">
        <f t="shared" si="220"/>
        <v>1.2896796883020369</v>
      </c>
      <c r="T223" s="18" t="str">
        <f t="shared" si="208"/>
        <v>1+0.00310193394123996i</v>
      </c>
      <c r="U223" s="18">
        <f t="shared" si="221"/>
        <v>1.0000048109855151</v>
      </c>
      <c r="V223" s="18">
        <f t="shared" si="222"/>
        <v>3.1019239923672911E-3</v>
      </c>
      <c r="W223" s="32" t="str">
        <f t="shared" si="209"/>
        <v>1-0.0409065362621431i</v>
      </c>
      <c r="X223" s="18">
        <f t="shared" si="223"/>
        <v>1.0008363226367067</v>
      </c>
      <c r="Y223" s="18">
        <f t="shared" si="224"/>
        <v>-4.0883742231127514E-2</v>
      </c>
      <c r="Z223" s="32" t="str">
        <f t="shared" si="210"/>
        <v>0.999973989144384+0.0187061357251945i</v>
      </c>
      <c r="AA223" s="18">
        <f t="shared" si="225"/>
        <v>1.0001489381482649</v>
      </c>
      <c r="AB223" s="18">
        <f t="shared" si="226"/>
        <v>1.8704440707575126E-2</v>
      </c>
      <c r="AC223" s="67" t="str">
        <f t="shared" si="227"/>
        <v>1.72594371696304-7.55381310380525i</v>
      </c>
      <c r="AD223" s="65">
        <f t="shared" si="228"/>
        <v>17.784332628975864</v>
      </c>
      <c r="AE223" s="62">
        <f t="shared" si="229"/>
        <v>-77.129627301562323</v>
      </c>
      <c r="AF223" s="50" t="str">
        <f t="shared" si="211"/>
        <v>79.1527877025864</v>
      </c>
      <c r="AG223" s="50" t="str">
        <f t="shared" si="212"/>
        <v>1+3.43598836568118i</v>
      </c>
      <c r="AH223" s="50">
        <f t="shared" si="230"/>
        <v>3.5785494336527512</v>
      </c>
      <c r="AI223" s="50">
        <f t="shared" si="231"/>
        <v>1.287582548400996</v>
      </c>
      <c r="AJ223" s="50" t="str">
        <f t="shared" si="213"/>
        <v>1+0.00310193394123996i</v>
      </c>
      <c r="AK223" s="50">
        <f t="shared" si="232"/>
        <v>1.0000048109855151</v>
      </c>
      <c r="AL223" s="50">
        <f t="shared" si="233"/>
        <v>3.1019239923672911E-3</v>
      </c>
      <c r="AM223" s="50" t="str">
        <f t="shared" si="214"/>
        <v>1-0.0143114935931591i</v>
      </c>
      <c r="AN223" s="50">
        <f t="shared" si="234"/>
        <v>1.0001024041811253</v>
      </c>
      <c r="AO223" s="50">
        <f t="shared" si="235"/>
        <v>-1.4310516625336039E-2</v>
      </c>
      <c r="AP223" s="59" t="str">
        <f t="shared" si="236"/>
        <v>5.94311760184714-21.3077508311897i</v>
      </c>
      <c r="AQ223" s="50">
        <f t="shared" si="237"/>
        <v>26.89611509575645</v>
      </c>
      <c r="AR223" s="62">
        <f t="shared" si="238"/>
        <v>-74.415250850226684</v>
      </c>
      <c r="AS223" s="32" t="str">
        <f t="shared" si="215"/>
        <v>-0.0000166666666666667</v>
      </c>
      <c r="AT223" s="32" t="str">
        <f t="shared" si="216"/>
        <v>0.0000239694895459451i</v>
      </c>
      <c r="AU223" s="32">
        <f t="shared" si="239"/>
        <v>2.3969489545945099E-5</v>
      </c>
      <c r="AV223" s="32">
        <f t="shared" si="240"/>
        <v>1.5707963267948966</v>
      </c>
      <c r="AW223" s="32" t="str">
        <f t="shared" si="217"/>
        <v>1+0.024359304773855i</v>
      </c>
      <c r="AX223" s="32">
        <f t="shared" si="241"/>
        <v>1.0002966438657412</v>
      </c>
      <c r="AY223" s="32">
        <f t="shared" si="242"/>
        <v>2.4354488415075086E-2</v>
      </c>
      <c r="AZ223" s="32" t="str">
        <f t="shared" si="218"/>
        <v>1+0.828216362311069i</v>
      </c>
      <c r="BA223" s="32">
        <f t="shared" si="243"/>
        <v>1.2984384247240144</v>
      </c>
      <c r="BB223" s="32">
        <f t="shared" si="244"/>
        <v>0.69171081493521058</v>
      </c>
      <c r="BC223" s="59" t="str">
        <f t="shared" si="245"/>
        <v>-0.558613169181674+0.708935822258762i</v>
      </c>
      <c r="BD223" s="50">
        <f t="shared" si="246"/>
        <v>-0.89034976752893669</v>
      </c>
      <c r="BE223" s="62">
        <f t="shared" si="247"/>
        <v>128.2367009409582</v>
      </c>
      <c r="BF223" s="59" t="str">
        <f t="shared" si="248"/>
        <v>4.39103381437326+5.44324280548025i</v>
      </c>
      <c r="BG223" s="65">
        <f t="shared" si="249"/>
        <v>16.893982861446929</v>
      </c>
      <c r="BH223" s="62">
        <f t="shared" si="250"/>
        <v>51.107073639395956</v>
      </c>
      <c r="BI223" s="59" t="str">
        <f t="shared" si="203"/>
        <v>11.7859240976071+16.1160791837904i</v>
      </c>
      <c r="BJ223" s="65">
        <f t="shared" si="251"/>
        <v>26.005765328227536</v>
      </c>
      <c r="BK223" s="62">
        <f t="shared" si="204"/>
        <v>53.821450090731553</v>
      </c>
      <c r="BL223" s="50">
        <f t="shared" si="252"/>
        <v>16.893982861446929</v>
      </c>
      <c r="BM223" s="62">
        <f t="shared" si="253"/>
        <v>51.107073639395956</v>
      </c>
    </row>
    <row r="224" spans="14:65" x14ac:dyDescent="0.3">
      <c r="N224" s="11">
        <v>6</v>
      </c>
      <c r="O224" s="51">
        <f t="shared" si="254"/>
        <v>1148.1536214968839</v>
      </c>
      <c r="P224" s="49" t="str">
        <f t="shared" si="206"/>
        <v>27.9103246607183</v>
      </c>
      <c r="Q224" s="18" t="str">
        <f t="shared" si="207"/>
        <v>1+3.54370388354348i</v>
      </c>
      <c r="R224" s="18">
        <f t="shared" si="219"/>
        <v>3.6820968501984219</v>
      </c>
      <c r="S224" s="18">
        <f t="shared" si="220"/>
        <v>1.2957574189175678</v>
      </c>
      <c r="T224" s="18" t="str">
        <f t="shared" si="208"/>
        <v>1+0.00317418726458867i</v>
      </c>
      <c r="U224" s="18">
        <f t="shared" si="221"/>
        <v>1.0000050377197061</v>
      </c>
      <c r="V224" s="18">
        <f t="shared" si="222"/>
        <v>3.174176604182441E-3</v>
      </c>
      <c r="W224" s="32" t="str">
        <f t="shared" si="209"/>
        <v>1-0.0418593718955296i</v>
      </c>
      <c r="X224" s="18">
        <f t="shared" si="223"/>
        <v>1.0008757200649281</v>
      </c>
      <c r="Y224" s="18">
        <f t="shared" si="224"/>
        <v>-4.1834948805278695E-2</v>
      </c>
      <c r="Z224" s="32" t="str">
        <f t="shared" si="210"/>
        <v>0.999972763290526+0.0191418576002442i</v>
      </c>
      <c r="AA224" s="18">
        <f t="shared" si="225"/>
        <v>1.0001559568563687</v>
      </c>
      <c r="AB224" s="18">
        <f t="shared" si="226"/>
        <v>1.9140041371310125E-2</v>
      </c>
      <c r="AC224" s="67" t="str">
        <f t="shared" si="227"/>
        <v>1.6349293576163-7.40721530000826i</v>
      </c>
      <c r="AD224" s="65">
        <f t="shared" si="228"/>
        <v>17.599685933515126</v>
      </c>
      <c r="AE224" s="62">
        <f t="shared" si="229"/>
        <v>-77.553174046863035</v>
      </c>
      <c r="AF224" s="50" t="str">
        <f t="shared" si="211"/>
        <v>79.1527877025864</v>
      </c>
      <c r="AG224" s="50" t="str">
        <f t="shared" si="212"/>
        <v>1+3.51602281615975i</v>
      </c>
      <c r="AH224" s="50">
        <f t="shared" si="230"/>
        <v>3.6554639163526073</v>
      </c>
      <c r="AI224" s="50">
        <f t="shared" si="231"/>
        <v>1.2937008397613918</v>
      </c>
      <c r="AJ224" s="50" t="str">
        <f t="shared" si="213"/>
        <v>1+0.00317418726458867i</v>
      </c>
      <c r="AK224" s="50">
        <f t="shared" si="232"/>
        <v>1.0000050377197061</v>
      </c>
      <c r="AL224" s="50">
        <f t="shared" si="233"/>
        <v>3.174176604182441E-3</v>
      </c>
      <c r="AM224" s="50" t="str">
        <f t="shared" si="214"/>
        <v>1-0.0146448511029506i</v>
      </c>
      <c r="AN224" s="50">
        <f t="shared" si="234"/>
        <v>1.0001072300827685</v>
      </c>
      <c r="AO224" s="50">
        <f t="shared" si="235"/>
        <v>-1.4643804269129495E-2</v>
      </c>
      <c r="AP224" s="59" t="str">
        <f t="shared" si="236"/>
        <v>5.68491090175995-20.8962114580289i</v>
      </c>
      <c r="AQ224" s="50">
        <f t="shared" si="237"/>
        <v>26.711449370179917</v>
      </c>
      <c r="AR224" s="62">
        <f t="shared" si="238"/>
        <v>-74.780759328646127</v>
      </c>
      <c r="AS224" s="32" t="str">
        <f t="shared" si="215"/>
        <v>-0.0000166666666666667</v>
      </c>
      <c r="AT224" s="32" t="str">
        <f t="shared" si="216"/>
        <v>0.0000245278106809125i</v>
      </c>
      <c r="AU224" s="32">
        <f t="shared" si="239"/>
        <v>2.45278106809125E-5</v>
      </c>
      <c r="AV224" s="32">
        <f t="shared" si="240"/>
        <v>1.5707963267948966</v>
      </c>
      <c r="AW224" s="32" t="str">
        <f t="shared" si="217"/>
        <v>1+0.0249267058719169i</v>
      </c>
      <c r="AX224" s="32">
        <f t="shared" si="241"/>
        <v>1.0003106220897713</v>
      </c>
      <c r="AY224" s="32">
        <f t="shared" si="242"/>
        <v>2.492154513705222E-2</v>
      </c>
      <c r="AZ224" s="32" t="str">
        <f t="shared" si="218"/>
        <v>1+0.847507999645175i</v>
      </c>
      <c r="BA224" s="32">
        <f t="shared" si="243"/>
        <v>1.3108279099342393</v>
      </c>
      <c r="BB224" s="32">
        <f t="shared" si="244"/>
        <v>0.70304554937629637</v>
      </c>
      <c r="BC224" s="59" t="str">
        <f t="shared" si="245"/>
        <v>-0.558597557300131+0.69342478423989i</v>
      </c>
      <c r="BD224" s="50">
        <f t="shared" si="246"/>
        <v>-1.0079847312018886</v>
      </c>
      <c r="BE224" s="62">
        <f t="shared" si="247"/>
        <v>128.8536434294202</v>
      </c>
      <c r="BF224" s="59" t="str">
        <f t="shared" si="248"/>
        <v>4.2230791257039+5.27135291003332i</v>
      </c>
      <c r="BG224" s="65">
        <f t="shared" si="249"/>
        <v>16.591701202313239</v>
      </c>
      <c r="BH224" s="62">
        <f t="shared" si="250"/>
        <v>51.300469382557203</v>
      </c>
      <c r="BI224" s="59" t="str">
        <f t="shared" si="203"/>
        <v>11.3143735785228+15.6146307927578i</v>
      </c>
      <c r="BJ224" s="65">
        <f t="shared" si="251"/>
        <v>25.703464638978005</v>
      </c>
      <c r="BK224" s="62">
        <f t="shared" si="204"/>
        <v>54.072884100774047</v>
      </c>
      <c r="BL224" s="50">
        <f t="shared" si="252"/>
        <v>16.591701202313239</v>
      </c>
      <c r="BM224" s="62">
        <f t="shared" si="253"/>
        <v>51.300469382557203</v>
      </c>
    </row>
    <row r="225" spans="14:65" x14ac:dyDescent="0.3">
      <c r="N225" s="11">
        <v>7</v>
      </c>
      <c r="O225" s="51">
        <f t="shared" si="254"/>
        <v>1174.8975549395295</v>
      </c>
      <c r="P225" s="49" t="str">
        <f t="shared" si="206"/>
        <v>27.9103246607183</v>
      </c>
      <c r="Q225" s="18" t="str">
        <f t="shared" si="207"/>
        <v>1+3.62624735074813i</v>
      </c>
      <c r="R225" s="18">
        <f t="shared" si="219"/>
        <v>3.761604690661664</v>
      </c>
      <c r="S225" s="18">
        <f t="shared" si="220"/>
        <v>1.3017170162512097</v>
      </c>
      <c r="T225" s="18" t="str">
        <f t="shared" si="208"/>
        <v>1+0.0032481235840404i</v>
      </c>
      <c r="U225" s="18">
        <f t="shared" si="221"/>
        <v>1.000005275139495</v>
      </c>
      <c r="V225" s="18">
        <f t="shared" si="222"/>
        <v>3.2481121612125781E-3</v>
      </c>
      <c r="W225" s="32" t="str">
        <f t="shared" si="209"/>
        <v>1-0.0428344019219693i</v>
      </c>
      <c r="X225" s="18">
        <f t="shared" si="223"/>
        <v>1.000916972574655</v>
      </c>
      <c r="Y225" s="18">
        <f t="shared" si="224"/>
        <v>-4.280823340396183E-2</v>
      </c>
      <c r="Z225" s="32" t="str">
        <f t="shared" si="210"/>
        <v>0.999971479663954+0.0195877287415659i</v>
      </c>
      <c r="AA225" s="18">
        <f t="shared" si="225"/>
        <v>1.0001633062948125</v>
      </c>
      <c r="AB225" s="18">
        <f t="shared" si="226"/>
        <v>1.9585782634218549E-2</v>
      </c>
      <c r="AC225" s="67" t="str">
        <f t="shared" si="227"/>
        <v>1.54741918104193-7.26239570219726i</v>
      </c>
      <c r="AD225" s="65">
        <f t="shared" si="228"/>
        <v>17.414423247884617</v>
      </c>
      <c r="AE225" s="62">
        <f t="shared" si="229"/>
        <v>-77.971701819193456</v>
      </c>
      <c r="AF225" s="50" t="str">
        <f t="shared" si="211"/>
        <v>79.1527877025864</v>
      </c>
      <c r="AG225" s="50" t="str">
        <f t="shared" si="212"/>
        <v>1+3.59792150847551i</v>
      </c>
      <c r="AH225" s="50">
        <f t="shared" si="230"/>
        <v>3.7343057160803923</v>
      </c>
      <c r="AI225" s="50">
        <f t="shared" si="231"/>
        <v>1.2997005075324475</v>
      </c>
      <c r="AJ225" s="50" t="str">
        <f t="shared" si="213"/>
        <v>1+0.0032481235840404i</v>
      </c>
      <c r="AK225" s="50">
        <f t="shared" si="232"/>
        <v>1.000005275139495</v>
      </c>
      <c r="AL225" s="50">
        <f t="shared" si="233"/>
        <v>3.2481121612125781E-3</v>
      </c>
      <c r="AM225" s="50" t="str">
        <f t="shared" si="214"/>
        <v>1-0.0149859735066444i</v>
      </c>
      <c r="AN225" s="50">
        <f t="shared" si="234"/>
        <v>1.0001122833971903</v>
      </c>
      <c r="AO225" s="50">
        <f t="shared" si="235"/>
        <v>-1.4984851810797178E-2</v>
      </c>
      <c r="AP225" s="59" t="str">
        <f t="shared" si="236"/>
        <v>5.43661942569976-20.4896135081296i</v>
      </c>
      <c r="AQ225" s="50">
        <f t="shared" si="237"/>
        <v>26.526147957222936</v>
      </c>
      <c r="AR225" s="62">
        <f t="shared" si="238"/>
        <v>-75.139819359785321</v>
      </c>
      <c r="AS225" s="32" t="str">
        <f t="shared" si="215"/>
        <v>-0.0000166666666666667</v>
      </c>
      <c r="AT225" s="32" t="str">
        <f t="shared" si="216"/>
        <v>0.0000250991367857667i</v>
      </c>
      <c r="AU225" s="32">
        <f t="shared" si="239"/>
        <v>2.5099136785766699E-5</v>
      </c>
      <c r="AV225" s="32">
        <f t="shared" si="240"/>
        <v>1.5707963267948966</v>
      </c>
      <c r="AW225" s="32" t="str">
        <f t="shared" si="217"/>
        <v>1+0.0255073234393761i</v>
      </c>
      <c r="AX225" s="32">
        <f t="shared" si="241"/>
        <v>1.0003252588778517</v>
      </c>
      <c r="AY225" s="32">
        <f t="shared" si="242"/>
        <v>2.5501793709444928E-2</v>
      </c>
      <c r="AZ225" s="32" t="str">
        <f t="shared" si="218"/>
        <v>1+0.867248996938786i</v>
      </c>
      <c r="BA225" s="32">
        <f t="shared" si="243"/>
        <v>1.3236770084470495</v>
      </c>
      <c r="BB225" s="32">
        <f t="shared" si="244"/>
        <v>0.71442315179712423</v>
      </c>
      <c r="BC225" s="59" t="str">
        <f t="shared" si="245"/>
        <v>-0.558581210588541+0.67828137255391i</v>
      </c>
      <c r="BD225" s="50">
        <f t="shared" si="246"/>
        <v>-1.123384909746034</v>
      </c>
      <c r="BE225" s="62">
        <f t="shared" si="247"/>
        <v>129.47228623484489</v>
      </c>
      <c r="BF225" s="59" t="str">
        <f t="shared" si="248"/>
        <v>4.06158844548164+5.10622338913973i</v>
      </c>
      <c r="BG225" s="65">
        <f t="shared" si="249"/>
        <v>16.291038338138581</v>
      </c>
      <c r="BH225" s="62">
        <f t="shared" si="250"/>
        <v>51.500584415651488</v>
      </c>
      <c r="BI225" s="59" t="str">
        <f t="shared" si="203"/>
        <v>10.8609297130767+15.1326708039792i</v>
      </c>
      <c r="BJ225" s="65">
        <f t="shared" si="251"/>
        <v>25.402763047476881</v>
      </c>
      <c r="BK225" s="62">
        <f t="shared" si="204"/>
        <v>54.332466875059595</v>
      </c>
      <c r="BL225" s="50">
        <f t="shared" si="252"/>
        <v>16.291038338138581</v>
      </c>
      <c r="BM225" s="62">
        <f t="shared" si="253"/>
        <v>51.500584415651488</v>
      </c>
    </row>
    <row r="226" spans="14:65" x14ac:dyDescent="0.3">
      <c r="N226" s="11">
        <v>8</v>
      </c>
      <c r="O226" s="51">
        <f t="shared" si="254"/>
        <v>1202.2644346174138</v>
      </c>
      <c r="P226" s="49" t="str">
        <f t="shared" si="206"/>
        <v>27.9103246607183</v>
      </c>
      <c r="Q226" s="18" t="str">
        <f t="shared" si="207"/>
        <v>1+3.71071350229722i</v>
      </c>
      <c r="R226" s="18">
        <f t="shared" si="219"/>
        <v>3.8430970188288112</v>
      </c>
      <c r="S226" s="18">
        <f t="shared" si="220"/>
        <v>1.3075599461618352</v>
      </c>
      <c r="T226" s="18" t="str">
        <f t="shared" si="208"/>
        <v>1+0.0033237821016104i</v>
      </c>
      <c r="U226" s="18">
        <f t="shared" si="221"/>
        <v>1.0000055237484737</v>
      </c>
      <c r="V226" s="18">
        <f t="shared" si="222"/>
        <v>3.3237698618335198E-3</v>
      </c>
      <c r="W226" s="32" t="str">
        <f t="shared" si="209"/>
        <v>1-0.0438321433152885i</v>
      </c>
      <c r="X226" s="18">
        <f t="shared" si="223"/>
        <v>1.0009601674330562</v>
      </c>
      <c r="Y226" s="18">
        <f t="shared" si="224"/>
        <v>-4.3804104695544938E-2</v>
      </c>
      <c r="Z226" s="32" t="str">
        <f t="shared" si="210"/>
        <v>0.999970135541927+0.0200439855559407i</v>
      </c>
      <c r="AA226" s="18">
        <f t="shared" si="225"/>
        <v>1.0001710020455035</v>
      </c>
      <c r="AB226" s="18">
        <f t="shared" si="226"/>
        <v>2.0041900283442285E-2</v>
      </c>
      <c r="AC226" s="67" t="str">
        <f t="shared" si="227"/>
        <v>1.46330222593996-7.11940085615511i</v>
      </c>
      <c r="AD226" s="65">
        <f t="shared" si="228"/>
        <v>17.228569507762394</v>
      </c>
      <c r="AE226" s="62">
        <f t="shared" si="229"/>
        <v>-78.385335014337656</v>
      </c>
      <c r="AF226" s="50" t="str">
        <f t="shared" si="211"/>
        <v>79.1527877025864</v>
      </c>
      <c r="AG226" s="50" t="str">
        <f t="shared" si="212"/>
        <v>1+3.6817278663992i</v>
      </c>
      <c r="AH226" s="50">
        <f t="shared" si="230"/>
        <v>3.8151173091034045</v>
      </c>
      <c r="AI226" s="50">
        <f t="shared" si="231"/>
        <v>1.305583004423069</v>
      </c>
      <c r="AJ226" s="50" t="str">
        <f t="shared" si="213"/>
        <v>1+0.0033237821016104i</v>
      </c>
      <c r="AK226" s="50">
        <f t="shared" si="232"/>
        <v>1.0000055237484737</v>
      </c>
      <c r="AL226" s="50">
        <f t="shared" si="233"/>
        <v>3.3237698618335198E-3</v>
      </c>
      <c r="AM226" s="50" t="str">
        <f t="shared" si="214"/>
        <v>1-0.0153350416718543i</v>
      </c>
      <c r="AN226" s="50">
        <f t="shared" si="234"/>
        <v>1.0001175748396174</v>
      </c>
      <c r="AO226" s="50">
        <f t="shared" si="235"/>
        <v>-1.5333839760730657E-2</v>
      </c>
      <c r="AP226" s="59" t="str">
        <f t="shared" si="236"/>
        <v>5.19793118684355-20.0880927770315i</v>
      </c>
      <c r="AQ226" s="50">
        <f t="shared" si="237"/>
        <v>26.340235532613523</v>
      </c>
      <c r="AR226" s="62">
        <f t="shared" si="238"/>
        <v>-75.492522274315633</v>
      </c>
      <c r="AS226" s="32" t="str">
        <f t="shared" si="215"/>
        <v>-0.0000166666666666667</v>
      </c>
      <c r="AT226" s="32" t="str">
        <f t="shared" si="216"/>
        <v>0.0000256837707851712i</v>
      </c>
      <c r="AU226" s="32">
        <f t="shared" si="239"/>
        <v>2.5683770785171201E-5</v>
      </c>
      <c r="AV226" s="32">
        <f t="shared" si="240"/>
        <v>1.5707963267948966</v>
      </c>
      <c r="AW226" s="32" t="str">
        <f t="shared" si="217"/>
        <v>1+0.0261014653273522i</v>
      </c>
      <c r="AX226" s="32">
        <f t="shared" si="241"/>
        <v>1.0003405852469622</v>
      </c>
      <c r="AY226" s="32">
        <f t="shared" si="242"/>
        <v>2.6095540223927755E-2</v>
      </c>
      <c r="AZ226" s="32" t="str">
        <f t="shared" si="218"/>
        <v>1+0.887449821129975i</v>
      </c>
      <c r="BA226" s="32">
        <f t="shared" si="243"/>
        <v>1.3369993212502482</v>
      </c>
      <c r="BB226" s="32">
        <f t="shared" si="244"/>
        <v>0.72583787298144553</v>
      </c>
      <c r="BC226" s="59" t="str">
        <f t="shared" si="245"/>
        <v>-0.558564094505568+0.663497555344596i</v>
      </c>
      <c r="BD226" s="50">
        <f t="shared" si="246"/>
        <v>-1.2365347621821219</v>
      </c>
      <c r="BE226" s="62">
        <f t="shared" si="247"/>
        <v>130.09228241364463</v>
      </c>
      <c r="BF226" s="59" t="str">
        <f t="shared" si="248"/>
        <v>3.906356980757+4.94753914228191i</v>
      </c>
      <c r="BG226" s="65">
        <f t="shared" si="249"/>
        <v>15.992034745580266</v>
      </c>
      <c r="BH226" s="62">
        <f t="shared" si="250"/>
        <v>51.706947399306962</v>
      </c>
      <c r="BI226" s="59" t="str">
        <f t="shared" si="203"/>
        <v>10.4250227224143+14.6693019876666i</v>
      </c>
      <c r="BJ226" s="65">
        <f t="shared" si="251"/>
        <v>25.103700770431409</v>
      </c>
      <c r="BK226" s="62">
        <f t="shared" si="204"/>
        <v>54.599760139329085</v>
      </c>
      <c r="BL226" s="50">
        <f t="shared" si="252"/>
        <v>15.992034745580266</v>
      </c>
      <c r="BM226" s="62">
        <f t="shared" si="253"/>
        <v>51.706947399306962</v>
      </c>
    </row>
    <row r="227" spans="14:65" x14ac:dyDescent="0.3">
      <c r="N227" s="11">
        <v>9</v>
      </c>
      <c r="O227" s="51">
        <f t="shared" si="254"/>
        <v>1230.2687708123824</v>
      </c>
      <c r="P227" s="49" t="str">
        <f t="shared" si="206"/>
        <v>27.9103246607183</v>
      </c>
      <c r="Q227" s="18" t="str">
        <f t="shared" si="207"/>
        <v>1+3.79714712326232i</v>
      </c>
      <c r="R227" s="18">
        <f t="shared" si="219"/>
        <v>3.9266176635495484</v>
      </c>
      <c r="S227" s="18">
        <f t="shared" si="220"/>
        <v>1.3132877101909632</v>
      </c>
      <c r="T227" s="18" t="str">
        <f t="shared" si="208"/>
        <v>1+0.00340120293244611i</v>
      </c>
      <c r="U227" s="18">
        <f t="shared" si="221"/>
        <v>1.000005784073966</v>
      </c>
      <c r="V227" s="18">
        <f t="shared" si="222"/>
        <v>3.4011898172929883E-3</v>
      </c>
      <c r="W227" s="32" t="str">
        <f t="shared" si="209"/>
        <v>1-0.0448531250911804i</v>
      </c>
      <c r="X227" s="18">
        <f t="shared" si="223"/>
        <v>1.0010053960046594</v>
      </c>
      <c r="Y227" s="18">
        <f t="shared" si="224"/>
        <v>-4.4823082798348846E-2</v>
      </c>
      <c r="Z227" s="32" t="str">
        <f t="shared" si="210"/>
        <v>0.999968728073379+0.0205108699567708i</v>
      </c>
      <c r="AA227" s="18">
        <f t="shared" si="225"/>
        <v>1.0001790604242196</v>
      </c>
      <c r="AB227" s="18">
        <f t="shared" si="226"/>
        <v>2.0508635568455821E-2</v>
      </c>
      <c r="AC227" s="67" t="str">
        <f t="shared" si="227"/>
        <v>1.38246905249419-6.97827199624283i</v>
      </c>
      <c r="AD227" s="65">
        <f t="shared" si="228"/>
        <v>17.042148900858827</v>
      </c>
      <c r="AE227" s="62">
        <f t="shared" si="229"/>
        <v>-78.794200989243635</v>
      </c>
      <c r="AF227" s="50" t="str">
        <f t="shared" si="211"/>
        <v>79.1527877025864</v>
      </c>
      <c r="AG227" s="50" t="str">
        <f t="shared" si="212"/>
        <v>1+3.76748632517107i</v>
      </c>
      <c r="AH227" s="50">
        <f t="shared" si="230"/>
        <v>3.8979421763734536</v>
      </c>
      <c r="AI227" s="50">
        <f t="shared" si="231"/>
        <v>1.3113498203048439</v>
      </c>
      <c r="AJ227" s="50" t="str">
        <f t="shared" si="213"/>
        <v>1+0.00340120293244611i</v>
      </c>
      <c r="AK227" s="50">
        <f t="shared" si="232"/>
        <v>1.000005784073966</v>
      </c>
      <c r="AL227" s="50">
        <f t="shared" si="233"/>
        <v>3.4011898172929883E-3</v>
      </c>
      <c r="AM227" s="50" t="str">
        <f t="shared" si="214"/>
        <v>1-0.0156922406791418i</v>
      </c>
      <c r="AN227" s="50">
        <f t="shared" si="234"/>
        <v>1.000123115630037</v>
      </c>
      <c r="AO227" s="50">
        <f t="shared" si="235"/>
        <v>-1.5690952816731919E-2</v>
      </c>
      <c r="AP227" s="59" t="str">
        <f t="shared" si="236"/>
        <v>4.9685382855593-19.6917699483423i</v>
      </c>
      <c r="AQ227" s="50">
        <f t="shared" si="237"/>
        <v>26.153735995951163</v>
      </c>
      <c r="AR227" s="62">
        <f t="shared" si="238"/>
        <v>-75.838961719790376</v>
      </c>
      <c r="AS227" s="32" t="str">
        <f t="shared" si="215"/>
        <v>-0.0000166666666666667</v>
      </c>
      <c r="AT227" s="32" t="str">
        <f t="shared" si="216"/>
        <v>0.0000262820226598109i</v>
      </c>
      <c r="AU227" s="32">
        <f t="shared" si="239"/>
        <v>2.62820226598109E-5</v>
      </c>
      <c r="AV227" s="32">
        <f t="shared" si="240"/>
        <v>1.5707963267948966</v>
      </c>
      <c r="AW227" s="32" t="str">
        <f t="shared" si="217"/>
        <v>1+0.0267094465577386i</v>
      </c>
      <c r="AX227" s="32">
        <f t="shared" si="241"/>
        <v>1.0003566336739216</v>
      </c>
      <c r="AY227" s="32">
        <f t="shared" si="242"/>
        <v>2.6703097817271707E-2</v>
      </c>
      <c r="AZ227" s="32" t="str">
        <f t="shared" si="218"/>
        <v>1+0.908121182963111i</v>
      </c>
      <c r="BA227" s="32">
        <f t="shared" si="243"/>
        <v>1.3508086774026586</v>
      </c>
      <c r="BB227" s="32">
        <f t="shared" si="244"/>
        <v>0.73728386775553223</v>
      </c>
      <c r="BC227" s="59" t="str">
        <f t="shared" si="245"/>
        <v>-0.558546172890679+0.649065491230603i</v>
      </c>
      <c r="BD227" s="50">
        <f t="shared" si="246"/>
        <v>-1.3474210078105453</v>
      </c>
      <c r="BE227" s="62">
        <f t="shared" si="247"/>
        <v>130.71327912061884</v>
      </c>
      <c r="BF227" s="59" t="str">
        <f t="shared" si="248"/>
        <v>3.75718274277168+4.79500007155988i</v>
      </c>
      <c r="BG227" s="65">
        <f t="shared" si="249"/>
        <v>15.694727893048285</v>
      </c>
      <c r="BH227" s="62">
        <f t="shared" si="250"/>
        <v>51.919078131375187</v>
      </c>
      <c r="BI227" s="59" t="str">
        <f t="shared" si="203"/>
        <v>10.0060902904609+14.2236694851049i</v>
      </c>
      <c r="BJ227" s="65">
        <f t="shared" si="251"/>
        <v>24.806314988140635</v>
      </c>
      <c r="BK227" s="62">
        <f t="shared" si="204"/>
        <v>54.874317400828367</v>
      </c>
      <c r="BL227" s="50">
        <f t="shared" si="252"/>
        <v>15.694727893048285</v>
      </c>
      <c r="BM227" s="62">
        <f t="shared" si="253"/>
        <v>51.919078131375187</v>
      </c>
    </row>
    <row r="228" spans="14:65" x14ac:dyDescent="0.3">
      <c r="N228" s="11">
        <v>10</v>
      </c>
      <c r="O228" s="51">
        <f t="shared" si="254"/>
        <v>1258.925411794168</v>
      </c>
      <c r="P228" s="49" t="str">
        <f t="shared" si="206"/>
        <v>27.9103246607183</v>
      </c>
      <c r="Q228" s="18" t="str">
        <f t="shared" si="207"/>
        <v>1+3.88559404189336i</v>
      </c>
      <c r="R228" s="18">
        <f t="shared" si="219"/>
        <v>4.012211492231831</v>
      </c>
      <c r="S228" s="18">
        <f t="shared" si="220"/>
        <v>1.3189018413591302</v>
      </c>
      <c r="T228" s="18" t="str">
        <f t="shared" si="208"/>
        <v>1+0.00348042712609686i</v>
      </c>
      <c r="U228" s="18">
        <f t="shared" si="221"/>
        <v>1.0000060566681483</v>
      </c>
      <c r="V228" s="18">
        <f t="shared" si="222"/>
        <v>3.4804130729616956E-3</v>
      </c>
      <c r="W228" s="32" t="str">
        <f t="shared" si="209"/>
        <v>1-0.045897888587697i</v>
      </c>
      <c r="X228" s="18">
        <f t="shared" si="223"/>
        <v>1.0010527539429721</v>
      </c>
      <c r="Y228" s="18">
        <f t="shared" si="224"/>
        <v>-4.5865699519059687E-2</v>
      </c>
      <c r="Z228" s="32" t="str">
        <f t="shared" si="210"/>
        <v>0.999967254272883+0.0209886294923454i</v>
      </c>
      <c r="AA228" s="18">
        <f t="shared" si="225"/>
        <v>1.0001874985151611</v>
      </c>
      <c r="AB228" s="18">
        <f t="shared" si="226"/>
        <v>2.0986235326167765E-2</v>
      </c>
      <c r="AC228" s="67" t="str">
        <f t="shared" si="227"/>
        <v>1.30481190691414-6.83904530579441i</v>
      </c>
      <c r="AD228" s="65">
        <f t="shared" si="228"/>
        <v>16.855184879580705</v>
      </c>
      <c r="AE228" s="62">
        <f t="shared" si="229"/>
        <v>-79.19842984078322</v>
      </c>
      <c r="AF228" s="50" t="str">
        <f t="shared" si="211"/>
        <v>79.1527877025864</v>
      </c>
      <c r="AG228" s="50" t="str">
        <f t="shared" si="212"/>
        <v>1+3.85524235506113i</v>
      </c>
      <c r="AH228" s="50">
        <f t="shared" si="230"/>
        <v>3.9828248287185928</v>
      </c>
      <c r="AI228" s="50">
        <f t="shared" si="231"/>
        <v>1.317002477936299</v>
      </c>
      <c r="AJ228" s="50" t="str">
        <f t="shared" si="213"/>
        <v>1+0.00348042712609686i</v>
      </c>
      <c r="AK228" s="50">
        <f t="shared" si="232"/>
        <v>1.0000060566681483</v>
      </c>
      <c r="AL228" s="50">
        <f t="shared" si="233"/>
        <v>3.4804130729616956E-3</v>
      </c>
      <c r="AM228" s="50" t="str">
        <f t="shared" si="214"/>
        <v>1-0.0160577599201488i</v>
      </c>
      <c r="AN228" s="50">
        <f t="shared" si="234"/>
        <v>1.0001289175169634</v>
      </c>
      <c r="AO228" s="50">
        <f t="shared" si="235"/>
        <v>-1.6056379960321002E-2</v>
      </c>
      <c r="AP228" s="59" t="str">
        <f t="shared" si="236"/>
        <v>4.74813738974246-19.3007513250969i</v>
      </c>
      <c r="AQ228" s="50">
        <f t="shared" si="237"/>
        <v>25.966672481833374</v>
      </c>
      <c r="AR228" s="62">
        <f t="shared" si="238"/>
        <v>-76.179233419963211</v>
      </c>
      <c r="AS228" s="32" t="str">
        <f t="shared" si="215"/>
        <v>-0.0000166666666666667</v>
      </c>
      <c r="AT228" s="32" t="str">
        <f t="shared" si="216"/>
        <v>0.0000268942096107484i</v>
      </c>
      <c r="AU228" s="32">
        <f t="shared" si="239"/>
        <v>2.6894209610748399E-5</v>
      </c>
      <c r="AV228" s="32">
        <f t="shared" si="240"/>
        <v>1.5707963267948966</v>
      </c>
      <c r="AW228" s="32" t="str">
        <f t="shared" si="217"/>
        <v>1+0.0273315894902312i</v>
      </c>
      <c r="AX228" s="32">
        <f t="shared" si="241"/>
        <v>1.0003734381640002</v>
      </c>
      <c r="AY228" s="32">
        <f t="shared" si="242"/>
        <v>2.7324786829403761E-2</v>
      </c>
      <c r="AZ228" s="32" t="str">
        <f t="shared" si="218"/>
        <v>1+0.929274042667861i</v>
      </c>
      <c r="BA228" s="32">
        <f t="shared" si="243"/>
        <v>1.3651191326680134</v>
      </c>
      <c r="BB228" s="32">
        <f t="shared" si="244"/>
        <v>0.74875520951390895</v>
      </c>
      <c r="BC228" s="59" t="str">
        <f t="shared" si="245"/>
        <v>-0.558527407888678+0.63497752513454i</v>
      </c>
      <c r="BD228" s="50">
        <f t="shared" si="246"/>
        <v>-1.4560326827946271</v>
      </c>
      <c r="BE228" s="62">
        <f t="shared" si="247"/>
        <v>131.33491843216115</v>
      </c>
      <c r="BF228" s="59" t="str">
        <f t="shared" si="248"/>
        <v>3.61386685040529+4.648320482497i</v>
      </c>
      <c r="BG228" s="65">
        <f t="shared" si="249"/>
        <v>15.399152196786074</v>
      </c>
      <c r="BH228" s="62">
        <f t="shared" si="250"/>
        <v>52.136488591377912</v>
      </c>
      <c r="BI228" s="59" t="str">
        <f t="shared" si="203"/>
        <v>9.60357844105505+13.7949591366478i</v>
      </c>
      <c r="BJ228" s="65">
        <f t="shared" si="251"/>
        <v>24.510639799038753</v>
      </c>
      <c r="BK228" s="62">
        <f t="shared" si="204"/>
        <v>55.155685012197992</v>
      </c>
      <c r="BL228" s="50">
        <f t="shared" si="252"/>
        <v>15.399152196786074</v>
      </c>
      <c r="BM228" s="62">
        <f t="shared" si="253"/>
        <v>52.136488591377912</v>
      </c>
    </row>
    <row r="229" spans="14:65" x14ac:dyDescent="0.3">
      <c r="N229" s="11">
        <v>11</v>
      </c>
      <c r="O229" s="51">
        <f t="shared" si="254"/>
        <v>1288.2495516931347</v>
      </c>
      <c r="P229" s="49" t="str">
        <f t="shared" si="206"/>
        <v>27.9103246607183</v>
      </c>
      <c r="Q229" s="18" t="str">
        <f t="shared" si="207"/>
        <v>1+3.97610115391732i</v>
      </c>
      <c r="R229" s="18">
        <f t="shared" si="219"/>
        <v>4.0999244366430272</v>
      </c>
      <c r="S229" s="18">
        <f t="shared" si="220"/>
        <v>1.3244039001724461</v>
      </c>
      <c r="T229" s="18" t="str">
        <f t="shared" si="208"/>
        <v>1+0.00356149668827876i</v>
      </c>
      <c r="U229" s="18">
        <f t="shared" si="221"/>
        <v>1.0000063421092191</v>
      </c>
      <c r="V229" s="18">
        <f t="shared" si="222"/>
        <v>3.5614816300782899E-3</v>
      </c>
      <c r="W229" s="32" t="str">
        <f t="shared" si="209"/>
        <v>1-0.0469669877522731i</v>
      </c>
      <c r="X229" s="18">
        <f t="shared" si="223"/>
        <v>1.0011023413909899</v>
      </c>
      <c r="Y229" s="18">
        <f t="shared" si="224"/>
        <v>-4.6932498594694658E-2</v>
      </c>
      <c r="Z229" s="32" t="str">
        <f t="shared" si="210"/>
        <v>0.999965711014309+0.0214775174770942i</v>
      </c>
      <c r="AA229" s="18">
        <f t="shared" si="225"/>
        <v>1.0001963342071052</v>
      </c>
      <c r="AB229" s="18">
        <f t="shared" si="226"/>
        <v>2.1474952108784522E-2</v>
      </c>
      <c r="AC229" s="67" t="str">
        <f t="shared" si="227"/>
        <v>1.23022486599988-6.70175217436934i</v>
      </c>
      <c r="AD229" s="65">
        <f t="shared" si="228"/>
        <v>16.667700174845471</v>
      </c>
      <c r="AE229" s="62">
        <f t="shared" si="229"/>
        <v>-79.598154196888473</v>
      </c>
      <c r="AF229" s="50" t="str">
        <f t="shared" si="211"/>
        <v>79.1527877025864</v>
      </c>
      <c r="AG229" s="50" t="str">
        <f t="shared" si="212"/>
        <v>1+3.945042485478i</v>
      </c>
      <c r="AH229" s="50">
        <f t="shared" si="230"/>
        <v>4.069810832486743</v>
      </c>
      <c r="AI229" s="50">
        <f t="shared" si="231"/>
        <v>1.32254252889816</v>
      </c>
      <c r="AJ229" s="50" t="str">
        <f t="shared" si="213"/>
        <v>1+0.00356149668827876i</v>
      </c>
      <c r="AK229" s="50">
        <f t="shared" si="232"/>
        <v>1.0000063421092191</v>
      </c>
      <c r="AL229" s="50">
        <f t="shared" si="233"/>
        <v>3.5614816300782899E-3</v>
      </c>
      <c r="AM229" s="50" t="str">
        <f t="shared" si="214"/>
        <v>1-0.0164317931980151i</v>
      </c>
      <c r="AN229" s="50">
        <f t="shared" si="234"/>
        <v>1.0001349928023229</v>
      </c>
      <c r="AO229" s="50">
        <f t="shared" si="235"/>
        <v>-1.6430314555198083E-2</v>
      </c>
      <c r="AP229" s="59" t="str">
        <f t="shared" si="236"/>
        <v>4.5364301580848-18.9151295533527i</v>
      </c>
      <c r="AQ229" s="50">
        <f t="shared" si="237"/>
        <v>25.779067372130125</v>
      </c>
      <c r="AR229" s="62">
        <f t="shared" si="238"/>
        <v>-76.513434946291639</v>
      </c>
      <c r="AS229" s="32" t="str">
        <f t="shared" si="215"/>
        <v>-0.0000166666666666667</v>
      </c>
      <c r="AT229" s="32" t="str">
        <f t="shared" si="216"/>
        <v>0.0000275206562276086i</v>
      </c>
      <c r="AU229" s="32">
        <f t="shared" si="239"/>
        <v>2.75206562276086E-5</v>
      </c>
      <c r="AV229" s="32">
        <f t="shared" si="240"/>
        <v>1.5707963267948966</v>
      </c>
      <c r="AW229" s="32" t="str">
        <f t="shared" si="217"/>
        <v>1+0.0279682239932479i</v>
      </c>
      <c r="AX229" s="32">
        <f t="shared" si="241"/>
        <v>1.0003910343227473</v>
      </c>
      <c r="AY229" s="32">
        <f t="shared" si="242"/>
        <v>2.7960934964717975E-2</v>
      </c>
      <c r="AZ229" s="32" t="str">
        <f t="shared" si="218"/>
        <v>1+0.950919615770427i</v>
      </c>
      <c r="BA229" s="32">
        <f t="shared" si="243"/>
        <v>1.3799449683436571</v>
      </c>
      <c r="BB229" s="32">
        <f t="shared" si="244"/>
        <v>0.7602459052577919</v>
      </c>
      <c r="BC229" s="59" t="str">
        <f t="shared" si="245"/>
        <v>-0.558507759870725+0.621226184209871i</v>
      </c>
      <c r="BD229" s="50">
        <f t="shared" si="246"/>
        <v>-1.5623611876467935</v>
      </c>
      <c r="BE229" s="62">
        <f t="shared" si="247"/>
        <v>131.95683819865607</v>
      </c>
      <c r="BF229" s="59" t="str">
        <f t="shared" si="248"/>
        <v>3.47621379675682+4.50722849334099i</v>
      </c>
      <c r="BG229" s="65">
        <f t="shared" si="249"/>
        <v>15.105338987198685</v>
      </c>
      <c r="BH229" s="62">
        <f t="shared" si="250"/>
        <v>52.358684001767585</v>
      </c>
      <c r="BI229" s="59" t="str">
        <f t="shared" si="203"/>
        <v>9.21694231086272+13.3823958315492i</v>
      </c>
      <c r="BJ229" s="65">
        <f t="shared" si="251"/>
        <v>24.216706184483346</v>
      </c>
      <c r="BK229" s="62">
        <f t="shared" si="204"/>
        <v>55.443403252364504</v>
      </c>
      <c r="BL229" s="50">
        <f t="shared" si="252"/>
        <v>15.105338987198685</v>
      </c>
      <c r="BM229" s="62">
        <f t="shared" si="253"/>
        <v>52.358684001767585</v>
      </c>
    </row>
    <row r="230" spans="14:65" x14ac:dyDescent="0.3">
      <c r="N230" s="11">
        <v>12</v>
      </c>
      <c r="O230" s="51">
        <f t="shared" si="254"/>
        <v>1318.2567385564089</v>
      </c>
      <c r="P230" s="49" t="str">
        <f t="shared" si="206"/>
        <v>27.9103246607183</v>
      </c>
      <c r="Q230" s="18" t="str">
        <f t="shared" si="207"/>
        <v>1+4.06871644740302i</v>
      </c>
      <c r="R230" s="18">
        <f t="shared" si="219"/>
        <v>4.1898035191841458</v>
      </c>
      <c r="S230" s="18">
        <f t="shared" si="220"/>
        <v>1.3297954708363902</v>
      </c>
      <c r="T230" s="18" t="str">
        <f t="shared" si="208"/>
        <v>1+0.00364445460314677i</v>
      </c>
      <c r="U230" s="18">
        <f t="shared" si="221"/>
        <v>1.0000066410026258</v>
      </c>
      <c r="V230" s="18">
        <f t="shared" si="222"/>
        <v>3.6444384680000518E-3</v>
      </c>
      <c r="W230" s="32" t="str">
        <f t="shared" si="209"/>
        <v>1-0.0480609894354372i</v>
      </c>
      <c r="X230" s="18">
        <f t="shared" si="223"/>
        <v>1.0011542631909995</v>
      </c>
      <c r="Y230" s="18">
        <f t="shared" si="224"/>
        <v>-4.8024035938066909E-2</v>
      </c>
      <c r="Z230" s="32" t="str">
        <f t="shared" si="210"/>
        <v>0.999964095024199+0.021977793125898i</v>
      </c>
      <c r="AA230" s="18">
        <f t="shared" si="225"/>
        <v>1.0002055862312758</v>
      </c>
      <c r="AB230" s="18">
        <f t="shared" si="226"/>
        <v>2.1975044314488754E-2</v>
      </c>
      <c r="AC230" s="67" t="str">
        <f t="shared" si="227"/>
        <v>1.15860396292801-6.56641945087831i</v>
      </c>
      <c r="AD230" s="65">
        <f t="shared" si="228"/>
        <v>16.479716810911484</v>
      </c>
      <c r="AE230" s="62">
        <f t="shared" si="229"/>
        <v>-79.993509019894759</v>
      </c>
      <c r="AF230" s="50" t="str">
        <f t="shared" si="211"/>
        <v>79.1527877025864</v>
      </c>
      <c r="AG230" s="50" t="str">
        <f t="shared" si="212"/>
        <v>1+4.03693432963949i</v>
      </c>
      <c r="AH230" s="50">
        <f t="shared" si="230"/>
        <v>4.1589468356570567</v>
      </c>
      <c r="AI230" s="50">
        <f t="shared" si="231"/>
        <v>1.3279715497369509</v>
      </c>
      <c r="AJ230" s="50" t="str">
        <f t="shared" si="213"/>
        <v>1+0.00364445460314677i</v>
      </c>
      <c r="AK230" s="50">
        <f t="shared" si="232"/>
        <v>1.0000066410026258</v>
      </c>
      <c r="AL230" s="50">
        <f t="shared" si="233"/>
        <v>3.6444384680000518E-3</v>
      </c>
      <c r="AM230" s="50" t="str">
        <f t="shared" si="214"/>
        <v>1-0.0168145388301354i</v>
      </c>
      <c r="AN230" s="50">
        <f t="shared" si="234"/>
        <v>1.0001413543675064</v>
      </c>
      <c r="AO230" s="50">
        <f t="shared" si="235"/>
        <v>-1.6812954447905343E-2</v>
      </c>
      <c r="AP230" s="59" t="str">
        <f t="shared" si="236"/>
        <v>4.33312360962954-18.5349843351289i</v>
      </c>
      <c r="AQ230" s="50">
        <f t="shared" si="237"/>
        <v>25.590942309265937</v>
      </c>
      <c r="AR230" s="62">
        <f t="shared" si="238"/>
        <v>-76.841665501473742</v>
      </c>
      <c r="AS230" s="32" t="str">
        <f t="shared" si="215"/>
        <v>-0.0000166666666666667</v>
      </c>
      <c r="AT230" s="32" t="str">
        <f t="shared" si="216"/>
        <v>0.0000281616946606796i</v>
      </c>
      <c r="AU230" s="32">
        <f t="shared" si="239"/>
        <v>2.8161694660679599E-5</v>
      </c>
      <c r="AV230" s="32">
        <f t="shared" si="240"/>
        <v>1.5707963267948966</v>
      </c>
      <c r="AW230" s="32" t="str">
        <f t="shared" si="217"/>
        <v>1+0.028619687618829i</v>
      </c>
      <c r="AX230" s="32">
        <f t="shared" si="241"/>
        <v>1.0004094594311868</v>
      </c>
      <c r="AY230" s="32">
        <f t="shared" si="242"/>
        <v>2.861187745668296E-2</v>
      </c>
      <c r="AZ230" s="32" t="str">
        <f t="shared" si="218"/>
        <v>1+0.973069379040187i</v>
      </c>
      <c r="BA230" s="32">
        <f t="shared" si="243"/>
        <v>1.395300690326517</v>
      </c>
      <c r="BB230" s="32">
        <f t="shared" si="244"/>
        <v>0.77174991105526536</v>
      </c>
      <c r="BC230" s="59" t="str">
        <f t="shared" si="245"/>
        <v>-0.558487187351784+0.607804173863468i</v>
      </c>
      <c r="BD230" s="50">
        <f t="shared" si="246"/>
        <v>-1.6664003252064372</v>
      </c>
      <c r="BE230" s="62">
        <f t="shared" si="247"/>
        <v>132.57867292084993</v>
      </c>
      <c r="BF230" s="59" t="str">
        <f t="shared" si="248"/>
        <v>3.3440316810718+4.37146545461547i</v>
      </c>
      <c r="BG230" s="65">
        <f t="shared" si="249"/>
        <v>14.813316485705037</v>
      </c>
      <c r="BH230" s="62">
        <f t="shared" si="250"/>
        <v>52.585163900955195</v>
      </c>
      <c r="BI230" s="59" t="str">
        <f t="shared" si="203"/>
        <v>8.84564682419573+12.9852418847347i</v>
      </c>
      <c r="BJ230" s="65">
        <f t="shared" si="251"/>
        <v>23.924541984059505</v>
      </c>
      <c r="BK230" s="62">
        <f t="shared" si="204"/>
        <v>55.737007419376226</v>
      </c>
      <c r="BL230" s="50">
        <f t="shared" si="252"/>
        <v>14.813316485705037</v>
      </c>
      <c r="BM230" s="62">
        <f t="shared" si="253"/>
        <v>52.585163900955195</v>
      </c>
    </row>
    <row r="231" spans="14:65" x14ac:dyDescent="0.3">
      <c r="N231" s="11">
        <v>13</v>
      </c>
      <c r="O231" s="51">
        <f t="shared" si="254"/>
        <v>1348.9628825916541</v>
      </c>
      <c r="P231" s="49" t="str">
        <f t="shared" si="206"/>
        <v>27.9103246607183</v>
      </c>
      <c r="Q231" s="18" t="str">
        <f t="shared" si="207"/>
        <v>1+4.16348902820495i</v>
      </c>
      <c r="R231" s="18">
        <f t="shared" si="219"/>
        <v>4.2818968796531047</v>
      </c>
      <c r="S231" s="18">
        <f t="shared" si="220"/>
        <v>1.3350781576731305</v>
      </c>
      <c r="T231" s="18" t="str">
        <f t="shared" si="208"/>
        <v>1+0.00372934485608542i</v>
      </c>
      <c r="U231" s="18">
        <f t="shared" si="221"/>
        <v>1.0000069539823488</v>
      </c>
      <c r="V231" s="18">
        <f t="shared" si="222"/>
        <v>3.7293275669707114E-3</v>
      </c>
      <c r="W231" s="32" t="str">
        <f t="shared" si="209"/>
        <v>1-0.0491804736913621i</v>
      </c>
      <c r="X231" s="18">
        <f t="shared" si="223"/>
        <v>1.0012086291040978</v>
      </c>
      <c r="Y231" s="18">
        <f t="shared" si="224"/>
        <v>-4.9140879886678222E-2</v>
      </c>
      <c r="Z231" s="32" t="str">
        <f t="shared" si="210"/>
        <v>0.999962402874822+0.0224897216915275i</v>
      </c>
      <c r="AA231" s="18">
        <f t="shared" si="225"/>
        <v>1.0002152742009844</v>
      </c>
      <c r="AB231" s="18">
        <f t="shared" si="226"/>
        <v>2.2486776320986963E-2</v>
      </c>
      <c r="AC231" s="67" t="str">
        <f t="shared" si="227"/>
        <v>1.08984729545051-6.43306969173199i</v>
      </c>
      <c r="AD231" s="65">
        <f t="shared" si="228"/>
        <v>16.291256121098694</v>
      </c>
      <c r="AE231" s="62">
        <f t="shared" si="229"/>
        <v>-80.384631421875909</v>
      </c>
      <c r="AF231" s="50" t="str">
        <f t="shared" si="211"/>
        <v>79.1527877025864</v>
      </c>
      <c r="AG231" s="50" t="str">
        <f t="shared" si="212"/>
        <v>1+4.13096660981769i</v>
      </c>
      <c r="AH231" s="50">
        <f t="shared" si="230"/>
        <v>4.2502805944347548</v>
      </c>
      <c r="AI231" s="50">
        <f t="shared" si="231"/>
        <v>1.3332911383134538</v>
      </c>
      <c r="AJ231" s="50" t="str">
        <f t="shared" si="213"/>
        <v>1+0.00372934485608542i</v>
      </c>
      <c r="AK231" s="50">
        <f t="shared" si="232"/>
        <v>1.0000069539823488</v>
      </c>
      <c r="AL231" s="50">
        <f t="shared" si="233"/>
        <v>3.7293275669707114E-3</v>
      </c>
      <c r="AM231" s="50" t="str">
        <f t="shared" si="214"/>
        <v>1-0.0172061997533102i</v>
      </c>
      <c r="AN231" s="50">
        <f t="shared" si="234"/>
        <v>1.0001480157006515</v>
      </c>
      <c r="AO231" s="50">
        <f t="shared" si="235"/>
        <v>-1.720450207073318E-2</v>
      </c>
      <c r="AP231" s="59" t="str">
        <f t="shared" si="236"/>
        <v>4.13793044295824-18.1603831281872i</v>
      </c>
      <c r="AQ231" s="50">
        <f t="shared" si="237"/>
        <v>25.402318210380098</v>
      </c>
      <c r="AR231" s="62">
        <f t="shared" si="238"/>
        <v>-77.164025714822074</v>
      </c>
      <c r="AS231" s="32" t="str">
        <f t="shared" si="215"/>
        <v>-0.0000166666666666667</v>
      </c>
      <c r="AT231" s="32" t="str">
        <f t="shared" si="216"/>
        <v>0.0000288176647970237i</v>
      </c>
      <c r="AU231" s="32">
        <f t="shared" si="239"/>
        <v>2.88176647970237E-5</v>
      </c>
      <c r="AV231" s="32">
        <f t="shared" si="240"/>
        <v>1.5707963267948966</v>
      </c>
      <c r="AW231" s="32" t="str">
        <f t="shared" si="217"/>
        <v>1+0.029286325781612i</v>
      </c>
      <c r="AX231" s="32">
        <f t="shared" si="241"/>
        <v>1.0004287525245297</v>
      </c>
      <c r="AY231" s="32">
        <f t="shared" si="242"/>
        <v>2.9277957235790544E-2</v>
      </c>
      <c r="AZ231" s="32" t="str">
        <f t="shared" si="218"/>
        <v>1+0.995735076574807i</v>
      </c>
      <c r="BA231" s="32">
        <f t="shared" si="243"/>
        <v>1.4112010284581842</v>
      </c>
      <c r="BB231" s="32">
        <f t="shared" si="244"/>
        <v>0.7832611478271706</v>
      </c>
      <c r="BC231" s="59" t="str">
        <f t="shared" si="245"/>
        <v>-0.558465646904226+0.594704373871541i</v>
      </c>
      <c r="BD231" s="50">
        <f t="shared" si="246"/>
        <v>-1.7681463287815573</v>
      </c>
      <c r="BE231" s="62">
        <f t="shared" si="247"/>
        <v>133.20005464469406</v>
      </c>
      <c r="BF231" s="59" t="str">
        <f t="shared" si="248"/>
        <v>3.21713240821287+4.24078538042956i</v>
      </c>
      <c r="BG231" s="65">
        <f t="shared" si="249"/>
        <v>14.523109792317134</v>
      </c>
      <c r="BH231" s="62">
        <f t="shared" si="250"/>
        <v>52.815423222818119</v>
      </c>
      <c r="BI231" s="59" t="str">
        <f t="shared" si="203"/>
        <v>8.4891672758445+12.6027954449151i</v>
      </c>
      <c r="BJ231" s="65">
        <f t="shared" si="251"/>
        <v>23.634171881598533</v>
      </c>
      <c r="BK231" s="62">
        <f t="shared" si="204"/>
        <v>56.036028929871939</v>
      </c>
      <c r="BL231" s="50">
        <f t="shared" si="252"/>
        <v>14.523109792317134</v>
      </c>
      <c r="BM231" s="62">
        <f t="shared" si="253"/>
        <v>52.815423222818119</v>
      </c>
    </row>
    <row r="232" spans="14:65" x14ac:dyDescent="0.3">
      <c r="N232" s="11">
        <v>14</v>
      </c>
      <c r="O232" s="51">
        <f t="shared" si="254"/>
        <v>1380.3842646028863</v>
      </c>
      <c r="P232" s="49" t="str">
        <f t="shared" si="206"/>
        <v>27.9103246607183</v>
      </c>
      <c r="Q232" s="18" t="str">
        <f t="shared" si="207"/>
        <v>1+4.26046914599993i</v>
      </c>
      <c r="R232" s="18">
        <f t="shared" si="219"/>
        <v>4.3762538025138999</v>
      </c>
      <c r="S232" s="18">
        <f t="shared" si="220"/>
        <v>1.340253581738045</v>
      </c>
      <c r="T232" s="18" t="str">
        <f t="shared" si="208"/>
        <v>1+0.00381621245703049i</v>
      </c>
      <c r="U232" s="18">
        <f t="shared" si="221"/>
        <v>1.000007281712247</v>
      </c>
      <c r="V232" s="18">
        <f t="shared" si="222"/>
        <v>3.8161939314175952E-3</v>
      </c>
      <c r="W232" s="32" t="str">
        <f t="shared" si="209"/>
        <v>1-0.0503260340854189i</v>
      </c>
      <c r="X232" s="18">
        <f t="shared" si="223"/>
        <v>1.0012655540398694</v>
      </c>
      <c r="Y232" s="18">
        <f t="shared" si="224"/>
        <v>-5.0283611454964044E-2</v>
      </c>
      <c r="Z232" s="32" t="str">
        <f t="shared" si="210"/>
        <v>0.999960630976902+0.0230135746052846i</v>
      </c>
      <c r="AA232" s="18">
        <f t="shared" si="225"/>
        <v>1.0002254186531339</v>
      </c>
      <c r="AB232" s="18">
        <f t="shared" si="226"/>
        <v>2.3010418621981828E-2</v>
      </c>
      <c r="AC232" s="67" t="str">
        <f t="shared" si="227"/>
        <v>1.02385511768192-6.3017214032885i</v>
      </c>
      <c r="AD232" s="65">
        <f t="shared" si="228"/>
        <v>16.102338764283154</v>
      </c>
      <c r="AE232" s="62">
        <f t="shared" si="229"/>
        <v>-80.771660491722116</v>
      </c>
      <c r="AF232" s="50" t="str">
        <f t="shared" si="211"/>
        <v>79.1527877025864</v>
      </c>
      <c r="AG232" s="50" t="str">
        <f t="shared" si="212"/>
        <v>1+4.22718918317223i</v>
      </c>
      <c r="AH232" s="50">
        <f t="shared" si="230"/>
        <v>4.3438610003461564</v>
      </c>
      <c r="AI232" s="50">
        <f t="shared" si="231"/>
        <v>1.3385029103519124</v>
      </c>
      <c r="AJ232" s="50" t="str">
        <f t="shared" si="213"/>
        <v>1+0.00381621245703049i</v>
      </c>
      <c r="AK232" s="50">
        <f t="shared" si="232"/>
        <v>1.000007281712247</v>
      </c>
      <c r="AL232" s="50">
        <f t="shared" si="233"/>
        <v>3.8161939314175952E-3</v>
      </c>
      <c r="AM232" s="50" t="str">
        <f t="shared" si="214"/>
        <v>1-0.0176069836313451i</v>
      </c>
      <c r="AN232" s="50">
        <f t="shared" si="234"/>
        <v>1.0001549909252039</v>
      </c>
      <c r="AO232" s="50">
        <f t="shared" si="235"/>
        <v>-1.760516454691443E-2</v>
      </c>
      <c r="AP232" s="59" t="str">
        <f t="shared" si="236"/>
        <v>3.95056930831759-17.7913818305078i</v>
      </c>
      <c r="AQ232" s="50">
        <f t="shared" si="237"/>
        <v>25.213215282242246</v>
      </c>
      <c r="AR232" s="62">
        <f t="shared" si="238"/>
        <v>-77.480617449240057</v>
      </c>
      <c r="AS232" s="32" t="str">
        <f t="shared" si="215"/>
        <v>-0.0000166666666666667</v>
      </c>
      <c r="AT232" s="32" t="str">
        <f t="shared" si="216"/>
        <v>0.0000294889144406902i</v>
      </c>
      <c r="AU232" s="32">
        <f t="shared" si="239"/>
        <v>2.9488914440690199E-5</v>
      </c>
      <c r="AV232" s="32">
        <f t="shared" si="240"/>
        <v>1.5707963267948966</v>
      </c>
      <c r="AW232" s="32" t="str">
        <f t="shared" si="217"/>
        <v>1+0.0299684919419747i</v>
      </c>
      <c r="AX232" s="32">
        <f t="shared" si="241"/>
        <v>1.000448954474578</v>
      </c>
      <c r="AY232" s="32">
        <f t="shared" si="242"/>
        <v>2.9959525100887421E-2</v>
      </c>
      <c r="AZ232" s="32" t="str">
        <f t="shared" si="218"/>
        <v>1+1.01892872602714i</v>
      </c>
      <c r="BA232" s="32">
        <f t="shared" si="243"/>
        <v>1.4276609361901342</v>
      </c>
      <c r="BB232" s="32">
        <f t="shared" si="244"/>
        <v>0.7947735173589231</v>
      </c>
      <c r="BC232" s="59" t="str">
        <f t="shared" si="245"/>
        <v>-0.558443093067484+0.581919834586888i</v>
      </c>
      <c r="BD232" s="50">
        <f t="shared" si="246"/>
        <v>-1.8675978802095337</v>
      </c>
      <c r="BE232" s="62">
        <f t="shared" si="247"/>
        <v>133.82061386893662</v>
      </c>
      <c r="BF232" s="59" t="str">
        <f t="shared" si="248"/>
        <v>3.09533185784303+4.1149543928244i</v>
      </c>
      <c r="BG232" s="65">
        <f t="shared" si="249"/>
        <v>14.234740884073622</v>
      </c>
      <c r="BH232" s="62">
        <f t="shared" si="250"/>
        <v>53.048953377214559</v>
      </c>
      <c r="BI232" s="59" t="str">
        <f t="shared" si="203"/>
        <v>8.14698982796692+12.2343889377936i</v>
      </c>
      <c r="BJ232" s="65">
        <f t="shared" si="251"/>
        <v>23.345617402032701</v>
      </c>
      <c r="BK232" s="62">
        <f t="shared" si="204"/>
        <v>56.339996419696547</v>
      </c>
      <c r="BL232" s="50">
        <f t="shared" si="252"/>
        <v>14.234740884073622</v>
      </c>
      <c r="BM232" s="62">
        <f t="shared" si="253"/>
        <v>53.048953377214559</v>
      </c>
    </row>
    <row r="233" spans="14:65" x14ac:dyDescent="0.3">
      <c r="N233" s="11">
        <v>15</v>
      </c>
      <c r="O233" s="51">
        <f t="shared" si="254"/>
        <v>1412.5375446227545</v>
      </c>
      <c r="P233" s="49" t="str">
        <f t="shared" si="206"/>
        <v>27.9103246607183</v>
      </c>
      <c r="Q233" s="18" t="str">
        <f t="shared" si="207"/>
        <v>1+4.3597082209301i</v>
      </c>
      <c r="R233" s="18">
        <f t="shared" si="219"/>
        <v>4.4729247446883678</v>
      </c>
      <c r="S233" s="18">
        <f t="shared" si="220"/>
        <v>1.3453233776305402</v>
      </c>
      <c r="T233" s="18" t="str">
        <f t="shared" si="208"/>
        <v>1+0.00390510346433382i</v>
      </c>
      <c r="U233" s="18">
        <f t="shared" si="221"/>
        <v>1.0000076248874641</v>
      </c>
      <c r="V233" s="18">
        <f t="shared" si="222"/>
        <v>3.9050836137901365E-3</v>
      </c>
      <c r="W233" s="32" t="str">
        <f t="shared" si="209"/>
        <v>1-0.0514982780088915i</v>
      </c>
      <c r="X233" s="18">
        <f t="shared" si="223"/>
        <v>1.0013251582966849</v>
      </c>
      <c r="Y233" s="18">
        <f t="shared" si="224"/>
        <v>-5.145282458979214E-2</v>
      </c>
      <c r="Z233" s="32" t="str">
        <f t="shared" si="210"/>
        <v>0.999958775572005+0.023549629620918i</v>
      </c>
      <c r="AA233" s="18">
        <f t="shared" si="225"/>
        <v>1.0002360410916744</v>
      </c>
      <c r="AB233" s="18">
        <f t="shared" si="226"/>
        <v>2.354624796662131E-2</v>
      </c>
      <c r="AC233" s="67" t="str">
        <f t="shared" si="227"/>
        <v>0.960529916626893-6.17238927799023i</v>
      </c>
      <c r="AD233" s="65">
        <f t="shared" si="228"/>
        <v>15.912984742056127</v>
      </c>
      <c r="AE233" s="62">
        <f t="shared" si="229"/>
        <v>-81.15473713367669</v>
      </c>
      <c r="AF233" s="50" t="str">
        <f t="shared" si="211"/>
        <v>79.1527877025864</v>
      </c>
      <c r="AG233" s="50" t="str">
        <f t="shared" si="212"/>
        <v>1+4.32565306818514i</v>
      </c>
      <c r="AH233" s="50">
        <f t="shared" si="230"/>
        <v>4.4397381078504532</v>
      </c>
      <c r="AI233" s="50">
        <f t="shared" si="231"/>
        <v>1.3436084961852524</v>
      </c>
      <c r="AJ233" s="50" t="str">
        <f t="shared" si="213"/>
        <v>1+0.00390510346433382i</v>
      </c>
      <c r="AK233" s="50">
        <f t="shared" si="232"/>
        <v>1.0000076248874641</v>
      </c>
      <c r="AL233" s="50">
        <f t="shared" si="233"/>
        <v>3.9050836137901365E-3</v>
      </c>
      <c r="AM233" s="50" t="str">
        <f t="shared" si="214"/>
        <v>1-0.0180171029651574i</v>
      </c>
      <c r="AN233" s="50">
        <f t="shared" si="234"/>
        <v>1.0001622948298228</v>
      </c>
      <c r="AO233" s="50">
        <f t="shared" si="235"/>
        <v>-1.8015153798154208E-2</v>
      </c>
      <c r="AP233" s="59" t="str">
        <f t="shared" si="236"/>
        <v>3.77076503593593-17.4280254476492i</v>
      </c>
      <c r="AQ233" s="50">
        <f t="shared" si="237"/>
        <v>25.023653036809826</v>
      </c>
      <c r="AR233" s="62">
        <f t="shared" si="238"/>
        <v>-77.79154361953178</v>
      </c>
      <c r="AS233" s="32" t="str">
        <f t="shared" si="215"/>
        <v>-0.0000166666666666667</v>
      </c>
      <c r="AT233" s="32" t="str">
        <f t="shared" si="216"/>
        <v>0.0000301757994971249i</v>
      </c>
      <c r="AU233" s="32">
        <f t="shared" si="239"/>
        <v>3.0175799497124901E-5</v>
      </c>
      <c r="AV233" s="32">
        <f t="shared" si="240"/>
        <v>1.5707963267948966</v>
      </c>
      <c r="AW233" s="32" t="str">
        <f t="shared" si="217"/>
        <v>1+0.030666547793445i</v>
      </c>
      <c r="AX233" s="32">
        <f t="shared" si="241"/>
        <v>1.0004701080759824</v>
      </c>
      <c r="AY233" s="32">
        <f t="shared" si="242"/>
        <v>3.065693989393246E-2</v>
      </c>
      <c r="AZ233" s="32" t="str">
        <f t="shared" si="218"/>
        <v>1+1.04266262497713i</v>
      </c>
      <c r="BA233" s="32">
        <f t="shared" si="243"/>
        <v>1.4446955906086927</v>
      </c>
      <c r="BB233" s="32">
        <f t="shared" si="244"/>
        <v>0.80628091843568506</v>
      </c>
      <c r="BC233" s="59" t="str">
        <f t="shared" si="245"/>
        <v>-0.558419478253578+0.569443773235346i</v>
      </c>
      <c r="BD233" s="50">
        <f t="shared" si="246"/>
        <v>-1.9647561176832682</v>
      </c>
      <c r="BE233" s="62">
        <f t="shared" si="247"/>
        <v>134.43998045958793</v>
      </c>
      <c r="BF233" s="59" t="str">
        <f t="shared" si="248"/>
        <v>2.97845002544641+3.99375018022273i</v>
      </c>
      <c r="BG233" s="65">
        <f t="shared" si="249"/>
        <v>13.948228624372858</v>
      </c>
      <c r="BH233" s="62">
        <f t="shared" si="250"/>
        <v>53.285243325911203</v>
      </c>
      <c r="BI233" s="59" t="str">
        <f t="shared" si="203"/>
        <v>7.81861192696682+11.8793875475136i</v>
      </c>
      <c r="BJ233" s="65">
        <f t="shared" si="251"/>
        <v>23.058896919126553</v>
      </c>
      <c r="BK233" s="62">
        <f t="shared" si="204"/>
        <v>56.648436840056114</v>
      </c>
      <c r="BL233" s="50">
        <f t="shared" si="252"/>
        <v>13.948228624372858</v>
      </c>
      <c r="BM233" s="62">
        <f t="shared" si="253"/>
        <v>53.285243325911203</v>
      </c>
    </row>
    <row r="234" spans="14:65" x14ac:dyDescent="0.3">
      <c r="N234" s="11">
        <v>16</v>
      </c>
      <c r="O234" s="51">
        <f t="shared" si="254"/>
        <v>1445.4397707459289</v>
      </c>
      <c r="P234" s="49" t="str">
        <f t="shared" si="206"/>
        <v>27.9103246607183</v>
      </c>
      <c r="Q234" s="18" t="str">
        <f t="shared" si="207"/>
        <v>1+4.46125887086657i</v>
      </c>
      <c r="R234" s="18">
        <f t="shared" si="219"/>
        <v>4.5719613638881134</v>
      </c>
      <c r="S234" s="18">
        <f t="shared" si="220"/>
        <v>1.3502891904938532</v>
      </c>
      <c r="T234" s="18" t="str">
        <f t="shared" si="208"/>
        <v>1+0.0039960650091841i</v>
      </c>
      <c r="U234" s="18">
        <f t="shared" si="221"/>
        <v>1.0000079842359049</v>
      </c>
      <c r="V234" s="18">
        <f t="shared" si="222"/>
        <v>3.996043738952495E-3</v>
      </c>
      <c r="W234" s="32" t="str">
        <f t="shared" si="209"/>
        <v>1-0.0526978270010248i</v>
      </c>
      <c r="X234" s="18">
        <f t="shared" si="223"/>
        <v>1.001387567813097</v>
      </c>
      <c r="Y234" s="18">
        <f t="shared" si="224"/>
        <v>-5.2649126429114408E-2</v>
      </c>
      <c r="Z234" s="32" t="str">
        <f t="shared" si="210"/>
        <v>0.999956832724569+0.0240981709618927i</v>
      </c>
      <c r="AA234" s="18">
        <f t="shared" si="225"/>
        <v>1.0002471640331003</v>
      </c>
      <c r="AB234" s="18">
        <f t="shared" si="226"/>
        <v>2.4094547501982897E-2</v>
      </c>
      <c r="AC234" s="67" t="str">
        <f t="shared" si="227"/>
        <v>0.899776474569938-6.04508442368796i</v>
      </c>
      <c r="AD234" s="65">
        <f t="shared" si="228"/>
        <v>15.72321341644771</v>
      </c>
      <c r="AE234" s="62">
        <f t="shared" si="229"/>
        <v>-81.534003917022602</v>
      </c>
      <c r="AF234" s="50" t="str">
        <f t="shared" si="211"/>
        <v>79.1527877025864</v>
      </c>
      <c r="AG234" s="50" t="str">
        <f t="shared" si="212"/>
        <v>1+4.4264104717116i</v>
      </c>
      <c r="AH234" s="50">
        <f t="shared" si="230"/>
        <v>4.5379631624857986</v>
      </c>
      <c r="AI234" s="50">
        <f t="shared" si="231"/>
        <v>1.3486095376911496</v>
      </c>
      <c r="AJ234" s="50" t="str">
        <f t="shared" si="213"/>
        <v>1+0.0039960650091841i</v>
      </c>
      <c r="AK234" s="50">
        <f t="shared" si="232"/>
        <v>1.0000079842359049</v>
      </c>
      <c r="AL234" s="50">
        <f t="shared" si="233"/>
        <v>3.996043738952495E-3</v>
      </c>
      <c r="AM234" s="50" t="str">
        <f t="shared" si="214"/>
        <v>1-0.0184367752054464i</v>
      </c>
      <c r="AN234" s="50">
        <f t="shared" si="234"/>
        <v>1.0001699428996935</v>
      </c>
      <c r="AO234" s="50">
        <f t="shared" si="235"/>
        <v>-1.8434686654539404E-2</v>
      </c>
      <c r="AP234" s="59" t="str">
        <f t="shared" si="236"/>
        <v>3.59824882369934-17.070348741486i</v>
      </c>
      <c r="AQ234" s="50">
        <f t="shared" si="237"/>
        <v>24.833650307321122</v>
      </c>
      <c r="AR234" s="62">
        <f t="shared" si="238"/>
        <v>-78.096908021751574</v>
      </c>
      <c r="AS234" s="32" t="str">
        <f t="shared" si="215"/>
        <v>-0.0000166666666666667</v>
      </c>
      <c r="AT234" s="32" t="str">
        <f t="shared" si="216"/>
        <v>0.0000308786841618771i</v>
      </c>
      <c r="AU234" s="32">
        <f t="shared" si="239"/>
        <v>3.0878684161877099E-5</v>
      </c>
      <c r="AV234" s="32">
        <f t="shared" si="240"/>
        <v>1.5707963267948966</v>
      </c>
      <c r="AW234" s="32" t="str">
        <f t="shared" si="217"/>
        <v>1+0.0313808634544751i</v>
      </c>
      <c r="AX234" s="32">
        <f t="shared" si="241"/>
        <v>1.0004922581365376</v>
      </c>
      <c r="AY234" s="32">
        <f t="shared" si="242"/>
        <v>3.1370568678217671E-2</v>
      </c>
      <c r="AZ234" s="32" t="str">
        <f t="shared" si="218"/>
        <v>1+1.06694935745215i</v>
      </c>
      <c r="BA234" s="32">
        <f t="shared" si="243"/>
        <v>1.4623203928577195</v>
      </c>
      <c r="BB234" s="32">
        <f t="shared" si="244"/>
        <v>0.817777262996913</v>
      </c>
      <c r="BC234" s="59" t="str">
        <f t="shared" si="245"/>
        <v>-0.558394752648278+0.557269570299365i</v>
      </c>
      <c r="BD234" s="50">
        <f t="shared" si="246"/>
        <v>-2.0596246332810622</v>
      </c>
      <c r="BE234" s="62">
        <f t="shared" si="247"/>
        <v>135.05778456529595</v>
      </c>
      <c r="BF234" s="59" t="str">
        <f t="shared" si="248"/>
        <v>2.86631113725575+3.87696147085226i</v>
      </c>
      <c r="BG234" s="65">
        <f t="shared" si="249"/>
        <v>13.66358878316664</v>
      </c>
      <c r="BH234" s="62">
        <f t="shared" si="250"/>
        <v>53.523780648273345</v>
      </c>
      <c r="BI234" s="59" t="str">
        <f t="shared" si="203"/>
        <v>7.50354264615166+11.537187738935i</v>
      </c>
      <c r="BJ234" s="65">
        <f t="shared" si="251"/>
        <v>22.774025674040033</v>
      </c>
      <c r="BK234" s="62">
        <f t="shared" si="204"/>
        <v>56.960876543544266</v>
      </c>
      <c r="BL234" s="50">
        <f t="shared" si="252"/>
        <v>13.66358878316664</v>
      </c>
      <c r="BM234" s="62">
        <f t="shared" si="253"/>
        <v>53.523780648273345</v>
      </c>
    </row>
    <row r="235" spans="14:65" x14ac:dyDescent="0.3">
      <c r="N235" s="11">
        <v>17</v>
      </c>
      <c r="O235" s="51">
        <f t="shared" si="254"/>
        <v>1479.1083881682086</v>
      </c>
      <c r="P235" s="49" t="str">
        <f t="shared" si="206"/>
        <v>27.9103246607183</v>
      </c>
      <c r="Q235" s="18" t="str">
        <f t="shared" si="207"/>
        <v>1+4.56517493930811i</v>
      </c>
      <c r="R235" s="18">
        <f t="shared" si="219"/>
        <v>4.6734165475042779</v>
      </c>
      <c r="S235" s="18">
        <f t="shared" si="220"/>
        <v>1.355152673198128</v>
      </c>
      <c r="T235" s="18" t="str">
        <f t="shared" si="208"/>
        <v>1+0.00408914532059642i</v>
      </c>
      <c r="U235" s="18">
        <f t="shared" si="221"/>
        <v>1.0000083605197774</v>
      </c>
      <c r="V235" s="18">
        <f t="shared" si="222"/>
        <v>4.0891225291429202E-3</v>
      </c>
      <c r="W235" s="32" t="str">
        <f t="shared" si="209"/>
        <v>1-0.0539253170785722i</v>
      </c>
      <c r="X235" s="18">
        <f t="shared" si="223"/>
        <v>1.0014529144308406</v>
      </c>
      <c r="Y235" s="18">
        <f t="shared" si="224"/>
        <v>-5.3873137563645153E-2</v>
      </c>
      <c r="Z235" s="32" t="str">
        <f t="shared" si="210"/>
        <v>0.999954798313555+0.0246594894720883i</v>
      </c>
      <c r="AA235" s="18">
        <f t="shared" si="225"/>
        <v>1.0002588110540824</v>
      </c>
      <c r="AB235" s="18">
        <f t="shared" si="226"/>
        <v>2.4655606918645295E-2</v>
      </c>
      <c r="AC235" s="67" t="str">
        <f t="shared" si="227"/>
        <v>0.841501918413594-5.91981458574745i</v>
      </c>
      <c r="AD235" s="65">
        <f t="shared" si="228"/>
        <v>15.533043528122343</v>
      </c>
      <c r="AE235" s="62">
        <f t="shared" si="229"/>
        <v>-81.909604936588792</v>
      </c>
      <c r="AF235" s="50" t="str">
        <f t="shared" si="211"/>
        <v>79.1527877025864</v>
      </c>
      <c r="AG235" s="50" t="str">
        <f t="shared" si="212"/>
        <v>1+4.52951481666063i</v>
      </c>
      <c r="AH235" s="50">
        <f t="shared" si="230"/>
        <v>4.6385886295669918</v>
      </c>
      <c r="AI235" s="50">
        <f t="shared" si="231"/>
        <v>1.3535076854133417</v>
      </c>
      <c r="AJ235" s="50" t="str">
        <f t="shared" si="213"/>
        <v>1+0.00408914532059642i</v>
      </c>
      <c r="AK235" s="50">
        <f t="shared" si="232"/>
        <v>1.0000083605197774</v>
      </c>
      <c r="AL235" s="50">
        <f t="shared" si="233"/>
        <v>4.0891225291429202E-3</v>
      </c>
      <c r="AM235" s="50" t="str">
        <f t="shared" si="214"/>
        <v>1-0.0188662228679888i</v>
      </c>
      <c r="AN235" s="50">
        <f t="shared" si="234"/>
        <v>1.000177951349311</v>
      </c>
      <c r="AO235" s="50">
        <f t="shared" si="235"/>
        <v>-1.8863984966876173E-2</v>
      </c>
      <c r="AP235" s="59" t="str">
        <f t="shared" si="236"/>
        <v>3.43275838726427-16.718376859103i</v>
      </c>
      <c r="AQ235" s="50">
        <f t="shared" si="237"/>
        <v>24.643225264826924</v>
      </c>
      <c r="AR235" s="62">
        <f t="shared" si="238"/>
        <v>-78.396815173273723</v>
      </c>
      <c r="AS235" s="32" t="str">
        <f t="shared" si="215"/>
        <v>-0.0000166666666666667</v>
      </c>
      <c r="AT235" s="32" t="str">
        <f t="shared" si="216"/>
        <v>0.0000315979411136995i</v>
      </c>
      <c r="AU235" s="32">
        <f t="shared" si="239"/>
        <v>3.1597941113699499E-5</v>
      </c>
      <c r="AV235" s="32">
        <f t="shared" si="240"/>
        <v>1.5707963267948966</v>
      </c>
      <c r="AW235" s="32" t="str">
        <f t="shared" si="217"/>
        <v>1+0.0321118176646836i</v>
      </c>
      <c r="AX235" s="32">
        <f t="shared" si="241"/>
        <v>1.0005154515717036</v>
      </c>
      <c r="AY235" s="32">
        <f t="shared" si="242"/>
        <v>3.2100786920092349E-2</v>
      </c>
      <c r="AZ235" s="32" t="str">
        <f t="shared" si="218"/>
        <v>1+1.09180180059924i</v>
      </c>
      <c r="BA235" s="32">
        <f t="shared" si="243"/>
        <v>1.4805509689949019</v>
      </c>
      <c r="BB235" s="32">
        <f t="shared" si="244"/>
        <v>0.82925649220604603</v>
      </c>
      <c r="BC235" s="59" t="str">
        <f t="shared" si="245"/>
        <v>-0.558368864107808+0.545390765986761i</v>
      </c>
      <c r="BD235" s="50">
        <f t="shared" si="246"/>
        <v>-2.152209460229856</v>
      </c>
      <c r="BE235" s="62">
        <f t="shared" si="247"/>
        <v>135.67365752765957</v>
      </c>
      <c r="BF235" s="59" t="str">
        <f t="shared" si="248"/>
        <v>2.75874374109126+3.76438752183556i</v>
      </c>
      <c r="BG235" s="65">
        <f t="shared" si="249"/>
        <v>13.38083406789249</v>
      </c>
      <c r="BH235" s="62">
        <f t="shared" si="250"/>
        <v>53.764052591070836</v>
      </c>
      <c r="BI235" s="59" t="str">
        <f t="shared" si="203"/>
        <v>7.20130295978822+11.2072158228211i</v>
      </c>
      <c r="BJ235" s="65">
        <f t="shared" si="251"/>
        <v>22.491015804597041</v>
      </c>
      <c r="BK235" s="62">
        <f t="shared" si="204"/>
        <v>57.276842354385771</v>
      </c>
      <c r="BL235" s="50">
        <f t="shared" si="252"/>
        <v>13.38083406789249</v>
      </c>
      <c r="BM235" s="62">
        <f t="shared" si="253"/>
        <v>53.764052591070836</v>
      </c>
    </row>
    <row r="236" spans="14:65" x14ac:dyDescent="0.3">
      <c r="N236" s="11">
        <v>18</v>
      </c>
      <c r="O236" s="51">
        <f t="shared" si="254"/>
        <v>1513.5612484362093</v>
      </c>
      <c r="P236" s="49" t="str">
        <f t="shared" si="206"/>
        <v>27.9103246607183</v>
      </c>
      <c r="Q236" s="18" t="str">
        <f t="shared" si="207"/>
        <v>1+4.6715115239297i</v>
      </c>
      <c r="R236" s="18">
        <f t="shared" si="219"/>
        <v>4.7773444420732307</v>
      </c>
      <c r="S236" s="18">
        <f t="shared" si="220"/>
        <v>1.3599154837007776</v>
      </c>
      <c r="T236" s="18" t="str">
        <f t="shared" si="208"/>
        <v>1+0.00418439375098395i</v>
      </c>
      <c r="U236" s="18">
        <f t="shared" si="221"/>
        <v>1.0000087545372107</v>
      </c>
      <c r="V236" s="18">
        <f t="shared" si="222"/>
        <v>4.1843693295130777E-3</v>
      </c>
      <c r="W236" s="32" t="str">
        <f t="shared" si="209"/>
        <v>1-0.0551813990730205i</v>
      </c>
      <c r="X236" s="18">
        <f t="shared" si="223"/>
        <v>1.0015213361699569</v>
      </c>
      <c r="Y236" s="18">
        <f t="shared" si="224"/>
        <v>-5.5125492301431545E-2</v>
      </c>
      <c r="Z236" s="32" t="str">
        <f t="shared" si="210"/>
        <v>0.999952668023703+0.025233882770009i</v>
      </c>
      <c r="AA236" s="18">
        <f t="shared" si="225"/>
        <v>1.0002710068413323</v>
      </c>
      <c r="AB236" s="18">
        <f t="shared" si="226"/>
        <v>2.5229722599406139E-2</v>
      </c>
      <c r="AC236" s="67" t="str">
        <f t="shared" si="227"/>
        <v>0.78561575701188-5.79658436162206i</v>
      </c>
      <c r="AD236" s="65">
        <f t="shared" si="228"/>
        <v>15.342493214960848</v>
      </c>
      <c r="AE236" s="62">
        <f t="shared" si="229"/>
        <v>-82.281685683726096</v>
      </c>
      <c r="AF236" s="50" t="str">
        <f t="shared" si="211"/>
        <v>79.1527877025864</v>
      </c>
      <c r="AG236" s="50" t="str">
        <f t="shared" si="212"/>
        <v>1+4.63502077032067i</v>
      </c>
      <c r="AH236" s="50">
        <f t="shared" si="230"/>
        <v>4.7416682234530088</v>
      </c>
      <c r="AI236" s="50">
        <f t="shared" si="231"/>
        <v>1.3583045958623023</v>
      </c>
      <c r="AJ236" s="50" t="str">
        <f t="shared" si="213"/>
        <v>1+0.00418439375098395i</v>
      </c>
      <c r="AK236" s="50">
        <f t="shared" si="232"/>
        <v>1.0000087545372107</v>
      </c>
      <c r="AL236" s="50">
        <f t="shared" si="233"/>
        <v>4.1843693295130777E-3</v>
      </c>
      <c r="AM236" s="50" t="str">
        <f t="shared" si="214"/>
        <v>1-0.0193056736516199i</v>
      </c>
      <c r="AN236" s="50">
        <f t="shared" si="234"/>
        <v>1.0001863371568034</v>
      </c>
      <c r="AO236" s="50">
        <f t="shared" si="235"/>
        <v>-1.9303275721502037E-2</v>
      </c>
      <c r="AP236" s="59" t="str">
        <f t="shared" si="236"/>
        <v>3.27403807557468-16.3721259408758i</v>
      </c>
      <c r="AQ236" s="50">
        <f t="shared" si="237"/>
        <v>24.452395435069157</v>
      </c>
      <c r="AR236" s="62">
        <f t="shared" si="238"/>
        <v>-78.691370163247214</v>
      </c>
      <c r="AS236" s="32" t="str">
        <f t="shared" si="215"/>
        <v>-0.0000166666666666667</v>
      </c>
      <c r="AT236" s="32" t="str">
        <f t="shared" si="216"/>
        <v>0.0000323339517121487i</v>
      </c>
      <c r="AU236" s="32">
        <f t="shared" si="239"/>
        <v>3.2333951712148702E-5</v>
      </c>
      <c r="AV236" s="32">
        <f t="shared" si="240"/>
        <v>1.5707963267948966</v>
      </c>
      <c r="AW236" s="32" t="str">
        <f t="shared" si="217"/>
        <v>1+0.032859797985668i</v>
      </c>
      <c r="AX236" s="32">
        <f t="shared" si="241"/>
        <v>1.000539737503543</v>
      </c>
      <c r="AY236" s="32">
        <f t="shared" si="242"/>
        <v>3.2847978674224565E-2</v>
      </c>
      <c r="AZ236" s="32" t="str">
        <f t="shared" si="218"/>
        <v>1+1.11723313151271i</v>
      </c>
      <c r="BA236" s="32">
        <f t="shared" si="243"/>
        <v>1.4994031713150724</v>
      </c>
      <c r="BB236" s="32">
        <f t="shared" si="244"/>
        <v>0.84071259233207851</v>
      </c>
      <c r="BC236" s="59" t="str">
        <f t="shared" si="245"/>
        <v>-0.558341758050765+0.533801056782574i</v>
      </c>
      <c r="BD236" s="50">
        <f t="shared" si="246"/>
        <v>-2.2425190500267753</v>
      </c>
      <c r="BE236" s="62">
        <f t="shared" si="247"/>
        <v>136.28723278056194</v>
      </c>
      <c r="BF236" s="59" t="str">
        <f t="shared" si="248"/>
        <v>2.6555807750408+3.65583762447562i</v>
      </c>
      <c r="BG236" s="65">
        <f t="shared" si="249"/>
        <v>13.09997416493408</v>
      </c>
      <c r="BH236" s="62">
        <f t="shared" si="250"/>
        <v>54.00554709683589</v>
      </c>
      <c r="BI236" s="59" t="str">
        <f t="shared" si="203"/>
        <v>6.91142595397539+10.8889265655453i</v>
      </c>
      <c r="BJ236" s="65">
        <f t="shared" si="251"/>
        <v>22.209876385042392</v>
      </c>
      <c r="BK236" s="62">
        <f t="shared" si="204"/>
        <v>57.595862617314765</v>
      </c>
      <c r="BL236" s="50">
        <f t="shared" si="252"/>
        <v>13.09997416493408</v>
      </c>
      <c r="BM236" s="62">
        <f t="shared" si="253"/>
        <v>54.00554709683589</v>
      </c>
    </row>
    <row r="237" spans="14:65" x14ac:dyDescent="0.3">
      <c r="N237" s="11">
        <v>19</v>
      </c>
      <c r="O237" s="51">
        <f t="shared" si="254"/>
        <v>1548.8166189124822</v>
      </c>
      <c r="P237" s="49" t="str">
        <f t="shared" si="206"/>
        <v>27.9103246607183</v>
      </c>
      <c r="Q237" s="18" t="str">
        <f t="shared" si="207"/>
        <v>1+4.78032500579605i</v>
      </c>
      <c r="R237" s="18">
        <f t="shared" si="219"/>
        <v>4.8838004833366204</v>
      </c>
      <c r="S237" s="18">
        <f t="shared" si="220"/>
        <v>1.3645792825779155</v>
      </c>
      <c r="T237" s="18" t="str">
        <f t="shared" si="208"/>
        <v>1+0.00428186080232525i</v>
      </c>
      <c r="U237" s="18">
        <f t="shared" si="221"/>
        <v>1.0000091671239471</v>
      </c>
      <c r="V237" s="18">
        <f t="shared" si="222"/>
        <v>4.2818346342607038E-3</v>
      </c>
      <c r="W237" s="32" t="str">
        <f t="shared" si="209"/>
        <v>1-0.0564667389756696i</v>
      </c>
      <c r="X237" s="18">
        <f t="shared" si="223"/>
        <v>1.001592977516589</v>
      </c>
      <c r="Y237" s="18">
        <f t="shared" si="224"/>
        <v>-5.6406838935159444E-2</v>
      </c>
      <c r="Z237" s="32" t="str">
        <f t="shared" si="210"/>
        <v>0.999950437336384+0.0258216554065843i</v>
      </c>
      <c r="AA237" s="18">
        <f t="shared" si="225"/>
        <v>1.0002837772438191</v>
      </c>
      <c r="AB237" s="18">
        <f t="shared" si="226"/>
        <v>2.5817197771198407E-2</v>
      </c>
      <c r="AC237" s="67" t="str">
        <f t="shared" si="227"/>
        <v>0.732029907502782-5.67539540765557i</v>
      </c>
      <c r="AD237" s="65">
        <f t="shared" si="228"/>
        <v>15.151580030951591</v>
      </c>
      <c r="AE237" s="62">
        <f t="shared" si="229"/>
        <v>-82.65039292739128</v>
      </c>
      <c r="AF237" s="50" t="str">
        <f t="shared" si="211"/>
        <v>79.1527877025864</v>
      </c>
      <c r="AG237" s="50" t="str">
        <f t="shared" si="212"/>
        <v>1+4.74298427334488i</v>
      </c>
      <c r="AH237" s="50">
        <f t="shared" si="230"/>
        <v>4.8472569374025207</v>
      </c>
      <c r="AI237" s="50">
        <f t="shared" si="231"/>
        <v>1.3630019289891195</v>
      </c>
      <c r="AJ237" s="50" t="str">
        <f t="shared" si="213"/>
        <v>1+0.00428186080232525i</v>
      </c>
      <c r="AK237" s="50">
        <f t="shared" si="232"/>
        <v>1.0000091671239471</v>
      </c>
      <c r="AL237" s="50">
        <f t="shared" si="233"/>
        <v>4.2818346342607038E-3</v>
      </c>
      <c r="AM237" s="50" t="str">
        <f t="shared" si="214"/>
        <v>1-0.0197553605589618i</v>
      </c>
      <c r="AN237" s="50">
        <f t="shared" si="234"/>
        <v>1.0001951180998709</v>
      </c>
      <c r="AO237" s="50">
        <f t="shared" si="235"/>
        <v>-1.9752791157618767E-2</v>
      </c>
      <c r="AP237" s="59" t="str">
        <f t="shared" si="236"/>
        <v>3.12183895463609-16.0316037070075i</v>
      </c>
      <c r="AQ237" s="50">
        <f t="shared" si="237"/>
        <v>24.261177715625642</v>
      </c>
      <c r="AR237" s="62">
        <f t="shared" si="238"/>
        <v>-78.980678513085309</v>
      </c>
      <c r="AS237" s="32" t="str">
        <f t="shared" si="215"/>
        <v>-0.0000166666666666667</v>
      </c>
      <c r="AT237" s="32" t="str">
        <f t="shared" si="216"/>
        <v>0.000033087106199786i</v>
      </c>
      <c r="AU237" s="32">
        <f t="shared" si="239"/>
        <v>3.3087106199786002E-5</v>
      </c>
      <c r="AV237" s="32">
        <f t="shared" si="240"/>
        <v>1.5707963267948966</v>
      </c>
      <c r="AW237" s="32" t="str">
        <f t="shared" si="217"/>
        <v>1+0.0336252010064953i</v>
      </c>
      <c r="AX237" s="32">
        <f t="shared" si="241"/>
        <v>1.0005651673642888</v>
      </c>
      <c r="AY237" s="32">
        <f t="shared" si="242"/>
        <v>3.3612536772434337E-2</v>
      </c>
      <c r="AZ237" s="32" t="str">
        <f t="shared" si="218"/>
        <v>1+1.14325683422084i</v>
      </c>
      <c r="BA237" s="32">
        <f t="shared" si="243"/>
        <v>1.5188930801714311</v>
      </c>
      <c r="BB237" s="32">
        <f t="shared" si="244"/>
        <v>0.85213961034209618</v>
      </c>
      <c r="BC237" s="59" t="str">
        <f t="shared" si="245"/>
        <v>-0.558313377345166+0.522494292082221i</v>
      </c>
      <c r="BD237" s="50">
        <f t="shared" si="246"/>
        <v>-2.3305642396309647</v>
      </c>
      <c r="BE237" s="62">
        <f t="shared" si="247"/>
        <v>136.89814673273582</v>
      </c>
      <c r="BF237" s="59" t="str">
        <f t="shared" si="248"/>
        <v>2.55665961583414+3.55113062612111i</v>
      </c>
      <c r="BG237" s="65">
        <f t="shared" si="249"/>
        <v>12.821015791320637</v>
      </c>
      <c r="BH237" s="62">
        <f t="shared" si="250"/>
        <v>54.247753805344551</v>
      </c>
      <c r="BI237" s="59" t="str">
        <f t="shared" si="203"/>
        <v>6.63345697954501+10.5818018445159i</v>
      </c>
      <c r="BJ237" s="65">
        <f t="shared" si="251"/>
        <v>21.930613475994658</v>
      </c>
      <c r="BK237" s="62">
        <f t="shared" si="204"/>
        <v>57.917468219650495</v>
      </c>
      <c r="BL237" s="50">
        <f t="shared" si="252"/>
        <v>12.821015791320637</v>
      </c>
      <c r="BM237" s="62">
        <f t="shared" si="253"/>
        <v>54.247753805344551</v>
      </c>
    </row>
    <row r="238" spans="14:65" x14ac:dyDescent="0.3">
      <c r="N238" s="11">
        <v>20</v>
      </c>
      <c r="O238" s="51">
        <f t="shared" si="254"/>
        <v>1584.8931924611156</v>
      </c>
      <c r="P238" s="49" t="str">
        <f t="shared" si="206"/>
        <v>27.9103246607183</v>
      </c>
      <c r="Q238" s="18" t="str">
        <f t="shared" si="207"/>
        <v>1+4.89167307925556i</v>
      </c>
      <c r="R238" s="18">
        <f t="shared" si="219"/>
        <v>4.9928414269144961</v>
      </c>
      <c r="S238" s="18">
        <f t="shared" si="220"/>
        <v>1.3691457307204793</v>
      </c>
      <c r="T238" s="18" t="str">
        <f t="shared" si="208"/>
        <v>1+0.00438159815294108i</v>
      </c>
      <c r="U238" s="18">
        <f t="shared" si="221"/>
        <v>1.000009599155115</v>
      </c>
      <c r="V238" s="18">
        <f t="shared" si="222"/>
        <v>4.3815701133692753E-3</v>
      </c>
      <c r="W238" s="32" t="str">
        <f t="shared" si="209"/>
        <v>1-0.0577820182907493i</v>
      </c>
      <c r="X238" s="18">
        <f t="shared" si="223"/>
        <v>1.0016679897240166</v>
      </c>
      <c r="Y238" s="18">
        <f t="shared" si="224"/>
        <v>-5.7717840012020349E-2</v>
      </c>
      <c r="Z238" s="32" t="str">
        <f t="shared" si="210"/>
        <v>0.99994810152001+0.0264231190266462i</v>
      </c>
      <c r="AA238" s="18">
        <f t="shared" si="225"/>
        <v>1.0002971493274229</v>
      </c>
      <c r="AB238" s="18">
        <f t="shared" si="226"/>
        <v>2.6418342660263945E-2</v>
      </c>
      <c r="AC238" s="67" t="str">
        <f t="shared" si="227"/>
        <v>0.68065871159843-5.55624663795159i</v>
      </c>
      <c r="AD238" s="65">
        <f t="shared" si="228"/>
        <v>14.960320965320417</v>
      </c>
      <c r="AE238" s="62">
        <f t="shared" si="229"/>
        <v>-83.015874604965504</v>
      </c>
      <c r="AF238" s="50" t="str">
        <f t="shared" si="211"/>
        <v>79.1527877025864</v>
      </c>
      <c r="AG238" s="50" t="str">
        <f t="shared" si="212"/>
        <v>1+4.85346256941165i</v>
      </c>
      <c r="AH238" s="50">
        <f t="shared" si="230"/>
        <v>4.9554110740361326</v>
      </c>
      <c r="AI238" s="50">
        <f t="shared" si="231"/>
        <v>1.3676013458262539</v>
      </c>
      <c r="AJ238" s="50" t="str">
        <f t="shared" si="213"/>
        <v>1+0.00438159815294108i</v>
      </c>
      <c r="AK238" s="50">
        <f t="shared" si="232"/>
        <v>1.000009599155115</v>
      </c>
      <c r="AL238" s="50">
        <f t="shared" si="233"/>
        <v>4.3815701133692753E-3</v>
      </c>
      <c r="AM238" s="50" t="str">
        <f t="shared" si="214"/>
        <v>1-0.0202155220199653i</v>
      </c>
      <c r="AN238" s="50">
        <f t="shared" si="234"/>
        <v>1.000204312793411</v>
      </c>
      <c r="AO238" s="50">
        <f t="shared" si="235"/>
        <v>-2.0212768887196572E-2</v>
      </c>
      <c r="AP238" s="59" t="str">
        <f t="shared" si="236"/>
        <v>2.97591886227267-15.696810021992i</v>
      </c>
      <c r="AQ238" s="50">
        <f t="shared" si="237"/>
        <v>24.069588393242793</v>
      </c>
      <c r="AR238" s="62">
        <f t="shared" si="238"/>
        <v>-79.264846046628676</v>
      </c>
      <c r="AS238" s="32" t="str">
        <f t="shared" si="215"/>
        <v>-0.0000166666666666667</v>
      </c>
      <c r="AT238" s="32" t="str">
        <f t="shared" si="216"/>
        <v>0.0000338578039090901i</v>
      </c>
      <c r="AU238" s="32">
        <f t="shared" si="239"/>
        <v>3.3857803909090099E-5</v>
      </c>
      <c r="AV238" s="32">
        <f t="shared" si="240"/>
        <v>1.5707963267948966</v>
      </c>
      <c r="AW238" s="32" t="str">
        <f t="shared" si="217"/>
        <v>1+0.0344084325539784i</v>
      </c>
      <c r="AX238" s="32">
        <f t="shared" si="241"/>
        <v>1.0005917950047469</v>
      </c>
      <c r="AY238" s="32">
        <f t="shared" si="242"/>
        <v>3.439486301612793E-2</v>
      </c>
      <c r="AZ238" s="32" t="str">
        <f t="shared" si="218"/>
        <v>1+1.16988670683527i</v>
      </c>
      <c r="BA238" s="32">
        <f t="shared" si="243"/>
        <v>1.539037006322419</v>
      </c>
      <c r="BB238" s="32">
        <f t="shared" si="244"/>
        <v>0.86353166910718493</v>
      </c>
      <c r="BC238" s="59" t="str">
        <f t="shared" si="245"/>
        <v>-0.558283662190326+0.511464470903909i</v>
      </c>
      <c r="BD238" s="50">
        <f t="shared" si="246"/>
        <v>-2.4163582090285134</v>
      </c>
      <c r="BE238" s="62">
        <f t="shared" si="247"/>
        <v>137.50603962797447</v>
      </c>
      <c r="BF238" s="59" t="str">
        <f t="shared" si="248"/>
        <v>2.46182210867861+3.45009446886213i</v>
      </c>
      <c r="BG238" s="65">
        <f t="shared" si="249"/>
        <v>12.543962756291902</v>
      </c>
      <c r="BH238" s="62">
        <f t="shared" si="250"/>
        <v>54.490165023009027</v>
      </c>
      <c r="BI238" s="59" t="str">
        <f t="shared" si="203"/>
        <v>6.36695375196646+10.2853493501288i</v>
      </c>
      <c r="BJ238" s="65">
        <f t="shared" si="251"/>
        <v>21.653230184214305</v>
      </c>
      <c r="BK238" s="62">
        <f t="shared" si="204"/>
        <v>58.241193581345897</v>
      </c>
      <c r="BL238" s="50">
        <f t="shared" si="252"/>
        <v>12.543962756291902</v>
      </c>
      <c r="BM238" s="62">
        <f t="shared" si="253"/>
        <v>54.490165023009027</v>
      </c>
    </row>
    <row r="239" spans="14:65" x14ac:dyDescent="0.3">
      <c r="N239" s="11">
        <v>21</v>
      </c>
      <c r="O239" s="51">
        <f t="shared" si="254"/>
        <v>1621.8100973589308</v>
      </c>
      <c r="P239" s="49" t="str">
        <f t="shared" si="206"/>
        <v>27.9103246607183</v>
      </c>
      <c r="Q239" s="18" t="str">
        <f t="shared" si="207"/>
        <v>1+5.00561478253061i</v>
      </c>
      <c r="R239" s="18">
        <f t="shared" si="219"/>
        <v>5.1045253796106218</v>
      </c>
      <c r="S239" s="18">
        <f t="shared" si="220"/>
        <v>1.3736164871885634</v>
      </c>
      <c r="T239" s="18" t="str">
        <f t="shared" si="208"/>
        <v>1+0.00448365868489489i</v>
      </c>
      <c r="U239" s="18">
        <f t="shared" si="221"/>
        <v>1.0000100515470847</v>
      </c>
      <c r="V239" s="18">
        <f t="shared" si="222"/>
        <v>4.4836286399687003E-3</v>
      </c>
      <c r="W239" s="32" t="str">
        <f t="shared" si="209"/>
        <v>1-0.0591279343967619i</v>
      </c>
      <c r="X239" s="18">
        <f t="shared" si="223"/>
        <v>1.0017465311275242</v>
      </c>
      <c r="Y239" s="18">
        <f t="shared" si="224"/>
        <v>-5.9059172605946862E-2</v>
      </c>
      <c r="Z239" s="32" t="str">
        <f t="shared" si="210"/>
        <v>0.999945655620002+0.0270385925341672i</v>
      </c>
      <c r="AA239" s="18">
        <f t="shared" si="225"/>
        <v>1.0003111514321654</v>
      </c>
      <c r="AB239" s="18">
        <f t="shared" si="226"/>
        <v>2.7033474650637965E-2</v>
      </c>
      <c r="AC239" s="67" t="str">
        <f t="shared" si="227"/>
        <v>0.631418942744488-5.43913441520975i</v>
      </c>
      <c r="AD239" s="65">
        <f t="shared" si="228"/>
        <v>14.76873246183499</v>
      </c>
      <c r="AE239" s="62">
        <f t="shared" si="229"/>
        <v>-83.378279722427266</v>
      </c>
      <c r="AF239" s="50" t="str">
        <f t="shared" si="211"/>
        <v>79.1527877025864</v>
      </c>
      <c r="AG239" s="50" t="str">
        <f t="shared" si="212"/>
        <v>1+4.96651423557586i</v>
      </c>
      <c r="AH239" s="50">
        <f t="shared" si="230"/>
        <v>5.0661882764241666</v>
      </c>
      <c r="AI239" s="50">
        <f t="shared" si="231"/>
        <v>1.3721045062887198</v>
      </c>
      <c r="AJ239" s="50" t="str">
        <f t="shared" si="213"/>
        <v>1+0.00448365868489489i</v>
      </c>
      <c r="AK239" s="50">
        <f t="shared" si="232"/>
        <v>1.0000100515470847</v>
      </c>
      <c r="AL239" s="50">
        <f t="shared" si="233"/>
        <v>4.4836286399687003E-3</v>
      </c>
      <c r="AM239" s="50" t="str">
        <f t="shared" si="214"/>
        <v>1-0.0206864020183277i</v>
      </c>
      <c r="AN239" s="50">
        <f t="shared" si="234"/>
        <v>1.0002139407289143</v>
      </c>
      <c r="AO239" s="50">
        <f t="shared" si="235"/>
        <v>-2.0683452017494542E-2</v>
      </c>
      <c r="AP239" s="59" t="str">
        <f t="shared" si="236"/>
        <v>2.83604243646488-15.3677374366708i</v>
      </c>
      <c r="AQ239" s="50">
        <f t="shared" si="237"/>
        <v>23.877643161289516</v>
      </c>
      <c r="AR239" s="62">
        <f t="shared" si="238"/>
        <v>-79.543978769614782</v>
      </c>
      <c r="AS239" s="32" t="str">
        <f t="shared" si="215"/>
        <v>-0.0000166666666666667</v>
      </c>
      <c r="AT239" s="32" t="str">
        <f t="shared" si="216"/>
        <v>0.0000346464534741878i</v>
      </c>
      <c r="AU239" s="32">
        <f t="shared" si="239"/>
        <v>3.46464534741878E-5</v>
      </c>
      <c r="AV239" s="32">
        <f t="shared" si="240"/>
        <v>1.5707963267948966</v>
      </c>
      <c r="AW239" s="32" t="str">
        <f t="shared" si="217"/>
        <v>1+0.035209907907851i</v>
      </c>
      <c r="AX239" s="32">
        <f t="shared" si="241"/>
        <v>1.0006196768077666</v>
      </c>
      <c r="AY239" s="32">
        <f t="shared" si="242"/>
        <v>3.5195368372361799E-2</v>
      </c>
      <c r="AZ239" s="32" t="str">
        <f t="shared" si="218"/>
        <v>1+1.19713686886693i</v>
      </c>
      <c r="BA239" s="32">
        <f t="shared" si="243"/>
        <v>1.5598514938289854</v>
      </c>
      <c r="BB239" s="32">
        <f t="shared" si="244"/>
        <v>0.87488298212875837</v>
      </c>
      <c r="BC239" s="59" t="str">
        <f t="shared" si="245"/>
        <v>-0.558252549993369+0.500705738678568i</v>
      </c>
      <c r="BD239" s="50">
        <f t="shared" si="246"/>
        <v>-2.4999164295533722</v>
      </c>
      <c r="BE239" s="62">
        <f t="shared" si="247"/>
        <v>138.11055637765267</v>
      </c>
      <c r="BF239" s="59" t="str">
        <f t="shared" si="248"/>
        <v>2.37091458023839+3.35256574519005i</v>
      </c>
      <c r="BG239" s="65">
        <f t="shared" si="249"/>
        <v>12.26881603228161</v>
      </c>
      <c r="BH239" s="62">
        <f t="shared" si="250"/>
        <v>54.732276655225384</v>
      </c>
      <c r="BI239" s="59" t="str">
        <f t="shared" si="203"/>
        <v>6.11148640300061+9.99910133472395i</v>
      </c>
      <c r="BJ239" s="65">
        <f t="shared" si="251"/>
        <v>21.377726731736146</v>
      </c>
      <c r="BK239" s="62">
        <f t="shared" si="204"/>
        <v>58.56657760803791</v>
      </c>
      <c r="BL239" s="50">
        <f t="shared" si="252"/>
        <v>12.26881603228161</v>
      </c>
      <c r="BM239" s="62">
        <f t="shared" si="253"/>
        <v>54.732276655225384</v>
      </c>
    </row>
    <row r="240" spans="14:65" x14ac:dyDescent="0.3">
      <c r="N240" s="11">
        <v>22</v>
      </c>
      <c r="O240" s="51">
        <f t="shared" si="254"/>
        <v>1659.5869074375626</v>
      </c>
      <c r="P240" s="49" t="str">
        <f t="shared" si="206"/>
        <v>27.9103246607183</v>
      </c>
      <c r="Q240" s="18" t="str">
        <f t="shared" si="207"/>
        <v>1+5.12221052902054i</v>
      </c>
      <c r="R240" s="18">
        <f t="shared" si="219"/>
        <v>5.2189118313695317</v>
      </c>
      <c r="S240" s="18">
        <f t="shared" si="220"/>
        <v>1.3779932072174275</v>
      </c>
      <c r="T240" s="18" t="str">
        <f t="shared" si="208"/>
        <v>1+0.0045880965120317i</v>
      </c>
      <c r="U240" s="18">
        <f t="shared" si="221"/>
        <v>1.0000105252594114</v>
      </c>
      <c r="V240" s="18">
        <f t="shared" si="222"/>
        <v>4.5880643183315636E-3</v>
      </c>
      <c r="W240" s="32" t="str">
        <f t="shared" si="209"/>
        <v>1-0.0605052009162428i</v>
      </c>
      <c r="X240" s="18">
        <f t="shared" si="223"/>
        <v>1.001828767473721</v>
      </c>
      <c r="Y240" s="18">
        <f t="shared" si="224"/>
        <v>-6.0431528592001418E-2</v>
      </c>
      <c r="Z240" s="32" t="str">
        <f t="shared" si="210"/>
        <v>0.999943094448278+0.0276684022613481i</v>
      </c>
      <c r="AA240" s="18">
        <f t="shared" si="225"/>
        <v>1.0003258132321156</v>
      </c>
      <c r="AB240" s="18">
        <f t="shared" si="226"/>
        <v>2.7662918446001997E-2</v>
      </c>
      <c r="AC240" s="67" t="str">
        <f t="shared" si="227"/>
        <v>0.584229805012382-5.32405273348668i</v>
      </c>
      <c r="AD240" s="65">
        <f t="shared" si="228"/>
        <v>14.576830438226047</v>
      </c>
      <c r="AE240" s="62">
        <f t="shared" si="229"/>
        <v>-83.737758263496275</v>
      </c>
      <c r="AF240" s="50" t="str">
        <f t="shared" si="211"/>
        <v>79.1527877025864</v>
      </c>
      <c r="AG240" s="50" t="str">
        <f t="shared" si="212"/>
        <v>1+5.0821992133274i</v>
      </c>
      <c r="AH240" s="50">
        <f t="shared" si="230"/>
        <v>5.1796475598196494</v>
      </c>
      <c r="AI240" s="50">
        <f t="shared" si="231"/>
        <v>1.3765130671291768</v>
      </c>
      <c r="AJ240" s="50" t="str">
        <f t="shared" si="213"/>
        <v>1+0.0045880965120317i</v>
      </c>
      <c r="AK240" s="50">
        <f t="shared" si="232"/>
        <v>1.0000105252594114</v>
      </c>
      <c r="AL240" s="50">
        <f t="shared" si="233"/>
        <v>4.5880643183315636E-3</v>
      </c>
      <c r="AM240" s="50" t="str">
        <f t="shared" si="214"/>
        <v>1-0.0211682502208572i</v>
      </c>
      <c r="AN240" s="50">
        <f t="shared" si="234"/>
        <v>1.0002240223157075</v>
      </c>
      <c r="AO240" s="50">
        <f t="shared" si="235"/>
        <v>-2.1165089276249539E-2</v>
      </c>
      <c r="AP240" s="59" t="str">
        <f t="shared" si="236"/>
        <v>2.70198111973021-15.0443717077093i</v>
      </c>
      <c r="AQ240" s="50">
        <f t="shared" si="237"/>
        <v>23.685357137267516</v>
      </c>
      <c r="AR240" s="62">
        <f t="shared" si="238"/>
        <v>-79.818182758081747</v>
      </c>
      <c r="AS240" s="32" t="str">
        <f t="shared" si="215"/>
        <v>-0.0000166666666666667</v>
      </c>
      <c r="AT240" s="32" t="str">
        <f t="shared" si="216"/>
        <v>0.0000354534730475176i</v>
      </c>
      <c r="AU240" s="32">
        <f t="shared" si="239"/>
        <v>3.5453473047517601E-5</v>
      </c>
      <c r="AV240" s="32">
        <f t="shared" si="240"/>
        <v>1.5707963267948966</v>
      </c>
      <c r="AW240" s="32" t="str">
        <f t="shared" si="217"/>
        <v>1+0.0360300520209547i</v>
      </c>
      <c r="AX240" s="32">
        <f t="shared" si="241"/>
        <v>1.0006488718070055</v>
      </c>
      <c r="AY240" s="32">
        <f t="shared" si="242"/>
        <v>3.6014473173560331E-2</v>
      </c>
      <c r="AZ240" s="32" t="str">
        <f t="shared" si="218"/>
        <v>1+1.22502176871246i</v>
      </c>
      <c r="BA240" s="32">
        <f t="shared" si="243"/>
        <v>1.5813533235236847</v>
      </c>
      <c r="BB240" s="32">
        <f t="shared" si="244"/>
        <v>0.88618786769794022</v>
      </c>
      <c r="BC240" s="59" t="str">
        <f t="shared" si="245"/>
        <v>-0.558219975240185+0.490212384115376i</v>
      </c>
      <c r="BD240" s="50">
        <f t="shared" si="246"/>
        <v>-2.5812566034256044</v>
      </c>
      <c r="BE240" s="62">
        <f t="shared" si="247"/>
        <v>138.71134736055768</v>
      </c>
      <c r="BF240" s="59" t="str">
        <f t="shared" si="248"/>
        <v>2.2837878363499+3.25838927065075i</v>
      </c>
      <c r="BG240" s="65">
        <f t="shared" si="249"/>
        <v>11.995573834800435</v>
      </c>
      <c r="BH240" s="62">
        <f t="shared" si="250"/>
        <v>54.973589097061364</v>
      </c>
      <c r="BI240" s="59" t="str">
        <f t="shared" si="203"/>
        <v>5.86663748859884+9.7226134087193i</v>
      </c>
      <c r="BJ240" s="65">
        <f t="shared" si="251"/>
        <v>21.104100533841901</v>
      </c>
      <c r="BK240" s="62">
        <f t="shared" si="204"/>
        <v>58.893164602475927</v>
      </c>
      <c r="BL240" s="50">
        <f t="shared" si="252"/>
        <v>11.995573834800435</v>
      </c>
      <c r="BM240" s="62">
        <f t="shared" si="253"/>
        <v>54.973589097061364</v>
      </c>
    </row>
    <row r="241" spans="14:65" x14ac:dyDescent="0.3">
      <c r="N241" s="11">
        <v>23</v>
      </c>
      <c r="O241" s="51">
        <f t="shared" si="254"/>
        <v>1698.2436524617447</v>
      </c>
      <c r="P241" s="49" t="str">
        <f t="shared" si="206"/>
        <v>27.9103246607183</v>
      </c>
      <c r="Q241" s="18" t="str">
        <f t="shared" si="207"/>
        <v>1+5.2415221393334i</v>
      </c>
      <c r="R241" s="18">
        <f t="shared" si="219"/>
        <v>5.336061687904496</v>
      </c>
      <c r="S241" s="18">
        <f t="shared" si="220"/>
        <v>1.3822775403686038</v>
      </c>
      <c r="T241" s="18" t="str">
        <f t="shared" si="208"/>
        <v>1+0.00469496700866979i</v>
      </c>
      <c r="U241" s="18">
        <f t="shared" si="221"/>
        <v>1.0000110212968718</v>
      </c>
      <c r="V241" s="18">
        <f t="shared" si="222"/>
        <v>4.6949325125191206E-3</v>
      </c>
      <c r="W241" s="32" t="str">
        <f t="shared" si="209"/>
        <v>1-0.0619145480941301i</v>
      </c>
      <c r="X241" s="18">
        <f t="shared" si="223"/>
        <v>1.0019148722649547</v>
      </c>
      <c r="Y241" s="18">
        <f t="shared" si="224"/>
        <v>-6.1835614922674711E-2</v>
      </c>
      <c r="Z241" s="32" t="str">
        <f t="shared" si="210"/>
        <v>0.999940412572249+0.0283128821416424i</v>
      </c>
      <c r="AA241" s="18">
        <f t="shared" si="225"/>
        <v>1.0003411657981123</v>
      </c>
      <c r="AB241" s="18">
        <f t="shared" si="226"/>
        <v>2.8307006234957535E-2</v>
      </c>
      <c r="AC241" s="67" t="str">
        <f t="shared" si="227"/>
        <v>0.539012924540041-5.21099339289058i</v>
      </c>
      <c r="AD241" s="65">
        <f t="shared" si="228"/>
        <v>14.384630305675032</v>
      </c>
      <c r="AE241" s="62">
        <f t="shared" si="229"/>
        <v>-84.094461107358171</v>
      </c>
      <c r="AF241" s="50" t="str">
        <f t="shared" si="211"/>
        <v>79.1527877025864</v>
      </c>
      <c r="AG241" s="50" t="str">
        <f t="shared" si="212"/>
        <v>1+5.20057884037268i</v>
      </c>
      <c r="AH241" s="50">
        <f t="shared" si="230"/>
        <v>5.2958493440554042</v>
      </c>
      <c r="AI241" s="50">
        <f t="shared" si="231"/>
        <v>1.3808286800403504</v>
      </c>
      <c r="AJ241" s="50" t="str">
        <f t="shared" si="213"/>
        <v>1+0.00469496700866979i</v>
      </c>
      <c r="AK241" s="50">
        <f t="shared" si="232"/>
        <v>1.0000110212968718</v>
      </c>
      <c r="AL241" s="50">
        <f t="shared" si="233"/>
        <v>4.6949325125191206E-3</v>
      </c>
      <c r="AM241" s="50" t="str">
        <f t="shared" si="214"/>
        <v>1-0.0216613221098486i</v>
      </c>
      <c r="AN241" s="50">
        <f t="shared" si="234"/>
        <v>1.0002345789241374</v>
      </c>
      <c r="AO241" s="50">
        <f t="shared" si="235"/>
        <v>-2.1657935139578414E-2</v>
      </c>
      <c r="AP241" s="59" t="str">
        <f t="shared" si="236"/>
        <v>2.57351314187631-14.7266922944733i</v>
      </c>
      <c r="AQ241" s="50">
        <f t="shared" si="237"/>
        <v>23.492744880323464</v>
      </c>
      <c r="AR241" s="62">
        <f t="shared" si="238"/>
        <v>-80.08756405533228</v>
      </c>
      <c r="AS241" s="32" t="str">
        <f t="shared" si="215"/>
        <v>-0.0000166666666666667</v>
      </c>
      <c r="AT241" s="32" t="str">
        <f t="shared" si="216"/>
        <v>0.0000362792905215393i</v>
      </c>
      <c r="AU241" s="32">
        <f t="shared" si="239"/>
        <v>3.6279290521539303E-5</v>
      </c>
      <c r="AV241" s="32">
        <f t="shared" si="240"/>
        <v>1.5707963267948966</v>
      </c>
      <c r="AW241" s="32" t="str">
        <f t="shared" si="217"/>
        <v>1+0.0368692997445539i</v>
      </c>
      <c r="AX241" s="32">
        <f t="shared" si="241"/>
        <v>1.0006794418112395</v>
      </c>
      <c r="AY241" s="32">
        <f t="shared" si="242"/>
        <v>3.6852607320906526E-2</v>
      </c>
      <c r="AZ241" s="32" t="str">
        <f t="shared" si="218"/>
        <v>1+1.25355619131483i</v>
      </c>
      <c r="BA241" s="32">
        <f t="shared" si="243"/>
        <v>1.6035595170693673</v>
      </c>
      <c r="BB241" s="32">
        <f t="shared" si="244"/>
        <v>0.89744076240703052</v>
      </c>
      <c r="BC241" s="59" t="str">
        <f t="shared" si="245"/>
        <v>-0.558185869360446+0.479978836141128i</v>
      </c>
      <c r="BD241" s="50">
        <f t="shared" si="246"/>
        <v>-2.6603985950391937</v>
      </c>
      <c r="BE241" s="62">
        <f t="shared" si="247"/>
        <v>139.30806918538482</v>
      </c>
      <c r="BF241" s="59" t="str">
        <f t="shared" si="248"/>
        <v>2.20029714597783+3.16741767342792i</v>
      </c>
      <c r="BG241" s="65">
        <f t="shared" si="249"/>
        <v>11.724231710635834</v>
      </c>
      <c r="BH241" s="62">
        <f t="shared" si="250"/>
        <v>55.213608078026624</v>
      </c>
      <c r="BI241" s="59" t="str">
        <f t="shared" si="203"/>
        <v>5.63200195730105+9.45546338382605i</v>
      </c>
      <c r="BJ241" s="65">
        <f t="shared" si="251"/>
        <v>20.83234628528427</v>
      </c>
      <c r="BK241" s="62">
        <f t="shared" si="204"/>
        <v>59.22050513005258</v>
      </c>
      <c r="BL241" s="50">
        <f t="shared" si="252"/>
        <v>11.724231710635834</v>
      </c>
      <c r="BM241" s="62">
        <f t="shared" si="253"/>
        <v>55.213608078026624</v>
      </c>
    </row>
    <row r="242" spans="14:65" x14ac:dyDescent="0.3">
      <c r="N242" s="11">
        <v>24</v>
      </c>
      <c r="O242" s="51">
        <f t="shared" si="254"/>
        <v>1737.8008287493772</v>
      </c>
      <c r="P242" s="49" t="str">
        <f t="shared" si="206"/>
        <v>27.9103246607183</v>
      </c>
      <c r="Q242" s="18" t="str">
        <f t="shared" si="207"/>
        <v>1+5.36361287406431i</v>
      </c>
      <c r="R242" s="18">
        <f t="shared" si="219"/>
        <v>5.456037304017304</v>
      </c>
      <c r="S242" s="18">
        <f t="shared" si="220"/>
        <v>1.3864711288196152</v>
      </c>
      <c r="T242" s="18" t="str">
        <f t="shared" si="208"/>
        <v>1+0.00480432683896115i</v>
      </c>
      <c r="U242" s="18">
        <f t="shared" si="221"/>
        <v>1.0000115407115937</v>
      </c>
      <c r="V242" s="18">
        <f t="shared" si="222"/>
        <v>4.8042898756927906E-3</v>
      </c>
      <c r="W242" s="32" t="str">
        <f t="shared" si="209"/>
        <v>1-0.0633567231849533i</v>
      </c>
      <c r="X242" s="18">
        <f t="shared" si="223"/>
        <v>1.0020050271194925</v>
      </c>
      <c r="Y242" s="18">
        <f t="shared" si="224"/>
        <v>-6.3272153905839068E-2</v>
      </c>
      <c r="Z242" s="32" t="str">
        <f t="shared" si="210"/>
        <v>0.999937604303297+0.0289723738868137i</v>
      </c>
      <c r="AA242" s="18">
        <f t="shared" si="225"/>
        <v>1.0003572416634241</v>
      </c>
      <c r="AB242" s="18">
        <f t="shared" si="226"/>
        <v>2.8966077859780174E-2</v>
      </c>
      <c r="AC242" s="67" t="str">
        <f t="shared" si="227"/>
        <v>0.49569233428772-5.09994616626092i</v>
      </c>
      <c r="AD242" s="65">
        <f t="shared" si="228"/>
        <v>14.192146988320619</v>
      </c>
      <c r="AE242" s="62">
        <f t="shared" si="229"/>
        <v>-84.448539954587929</v>
      </c>
      <c r="AF242" s="50" t="str">
        <f t="shared" si="211"/>
        <v>79.1527877025864</v>
      </c>
      <c r="AG242" s="50" t="str">
        <f t="shared" si="212"/>
        <v>1+5.32171588315695i</v>
      </c>
      <c r="AH242" s="50">
        <f t="shared" si="230"/>
        <v>5.4148554866261165</v>
      </c>
      <c r="AI242" s="50">
        <f t="shared" si="231"/>
        <v>1.3850529898982782</v>
      </c>
      <c r="AJ242" s="50" t="str">
        <f t="shared" si="213"/>
        <v>1+0.00480432683896115i</v>
      </c>
      <c r="AK242" s="50">
        <f t="shared" si="232"/>
        <v>1.0000115407115937</v>
      </c>
      <c r="AL242" s="50">
        <f t="shared" si="233"/>
        <v>4.8042898756927906E-3</v>
      </c>
      <c r="AM242" s="50" t="str">
        <f t="shared" si="214"/>
        <v>1-0.0221658791185443i</v>
      </c>
      <c r="AN242" s="50">
        <f t="shared" si="234"/>
        <v>1.0002456329307807</v>
      </c>
      <c r="AO242" s="50">
        <f t="shared" si="235"/>
        <v>-2.2162249962646312E-2</v>
      </c>
      <c r="AP242" s="59" t="str">
        <f t="shared" si="236"/>
        <v>2.45042348331833-14.4146728334091i</v>
      </c>
      <c r="AQ242" s="50">
        <f t="shared" si="237"/>
        <v>23.299820408710193</v>
      </c>
      <c r="AR242" s="62">
        <f t="shared" si="238"/>
        <v>-80.352228577086123</v>
      </c>
      <c r="AS242" s="32" t="str">
        <f t="shared" si="215"/>
        <v>-0.0000166666666666667</v>
      </c>
      <c r="AT242" s="32" t="str">
        <f t="shared" si="216"/>
        <v>0.0000371243437556088i</v>
      </c>
      <c r="AU242" s="32">
        <f t="shared" si="239"/>
        <v>3.7124343755608802E-5</v>
      </c>
      <c r="AV242" s="32">
        <f t="shared" si="240"/>
        <v>1.5707963267948966</v>
      </c>
      <c r="AW242" s="32" t="str">
        <f t="shared" si="217"/>
        <v>1+0.0377280960589007i</v>
      </c>
      <c r="AX242" s="32">
        <f t="shared" si="241"/>
        <v>1.0007114515344719</v>
      </c>
      <c r="AY242" s="32">
        <f t="shared" si="242"/>
        <v>3.7710210491425186E-2</v>
      </c>
      <c r="AZ242" s="32" t="str">
        <f t="shared" si="218"/>
        <v>1+1.28275526600263i</v>
      </c>
      <c r="BA242" s="32">
        <f t="shared" si="243"/>
        <v>1.62648734162227</v>
      </c>
      <c r="BB242" s="32">
        <f t="shared" si="244"/>
        <v>0.90863623393969528</v>
      </c>
      <c r="BC242" s="59" t="str">
        <f t="shared" si="245"/>
        <v>-0.558150160586655+0.469999660911646i</v>
      </c>
      <c r="BD242" s="50">
        <f t="shared" si="246"/>
        <v>-2.7373643545916071</v>
      </c>
      <c r="BE242" s="62">
        <f t="shared" si="247"/>
        <v>139.90038541169758</v>
      </c>
      <c r="BF242" s="59" t="str">
        <f t="shared" si="248"/>
        <v>2.12030221282602+3.07951100071356i</v>
      </c>
      <c r="BG242" s="65">
        <f t="shared" si="249"/>
        <v>11.454782633729019</v>
      </c>
      <c r="BH242" s="62">
        <f t="shared" si="250"/>
        <v>55.451845457109648</v>
      </c>
      <c r="BI242" s="59" t="str">
        <f t="shared" ref="BI242:BI305" si="255">IMPRODUCT(AP242,BC242)</f>
        <v>5.40718708313516+9.19725016302093i</v>
      </c>
      <c r="BJ242" s="65">
        <f t="shared" si="251"/>
        <v>20.562456054118584</v>
      </c>
      <c r="BK242" s="62">
        <f t="shared" ref="BK242:BK305" si="256">(180/PI())*IMARGUMENT(BI242)</f>
        <v>59.548156834611461</v>
      </c>
      <c r="BL242" s="50">
        <f t="shared" si="252"/>
        <v>11.454782633729019</v>
      </c>
      <c r="BM242" s="62">
        <f t="shared" si="253"/>
        <v>55.451845457109648</v>
      </c>
    </row>
    <row r="243" spans="14:65" x14ac:dyDescent="0.3">
      <c r="N243" s="11">
        <v>25</v>
      </c>
      <c r="O243" s="51">
        <f t="shared" si="254"/>
        <v>1778.2794100389244</v>
      </c>
      <c r="P243" s="49" t="str">
        <f t="shared" si="206"/>
        <v>27.9103246607183</v>
      </c>
      <c r="Q243" s="18" t="str">
        <f t="shared" si="207"/>
        <v>1+5.48854746733687i</v>
      </c>
      <c r="R243" s="18">
        <f t="shared" si="219"/>
        <v>5.578902517629249</v>
      </c>
      <c r="S243" s="18">
        <f t="shared" si="220"/>
        <v>1.3905756057857876</v>
      </c>
      <c r="T243" s="18" t="str">
        <f t="shared" si="208"/>
        <v>1+0.00491623398693531i</v>
      </c>
      <c r="U243" s="18">
        <f t="shared" si="221"/>
        <v>1.0000120846052882</v>
      </c>
      <c r="V243" s="18">
        <f t="shared" si="222"/>
        <v>4.9161943801055282E-3</v>
      </c>
      <c r="W243" s="32" t="str">
        <f t="shared" si="209"/>
        <v>1-0.0648324908490346i</v>
      </c>
      <c r="X243" s="18">
        <f t="shared" si="223"/>
        <v>1.0020994221481669</v>
      </c>
      <c r="Y243" s="18">
        <f t="shared" si="224"/>
        <v>-6.4741883484054477E-2</v>
      </c>
      <c r="Z243" s="32" t="str">
        <f t="shared" si="210"/>
        <v>0.999934663684707+0.0296472271681145i</v>
      </c>
      <c r="AA243" s="18">
        <f t="shared" si="225"/>
        <v>1.0003740748924903</v>
      </c>
      <c r="AB243" s="18">
        <f t="shared" si="226"/>
        <v>2.9640480988703418E-2</v>
      </c>
      <c r="AC243" s="67" t="str">
        <f t="shared" si="227"/>
        <v>0.454194452828788-4.99089895792537i</v>
      </c>
      <c r="AD243" s="65">
        <f t="shared" si="228"/>
        <v>13.999394942745811</v>
      </c>
      <c r="AE243" s="62">
        <f t="shared" si="229"/>
        <v>-84.8001472608819</v>
      </c>
      <c r="AF243" s="50" t="str">
        <f t="shared" si="211"/>
        <v>79.1527877025864</v>
      </c>
      <c r="AG243" s="50" t="str">
        <f t="shared" si="212"/>
        <v>1+5.44567457014371i</v>
      </c>
      <c r="AH243" s="50">
        <f t="shared" si="230"/>
        <v>5.5367293164746529</v>
      </c>
      <c r="AI243" s="50">
        <f t="shared" si="231"/>
        <v>1.3891876331398503</v>
      </c>
      <c r="AJ243" s="50" t="str">
        <f t="shared" si="213"/>
        <v>1+0.00491623398693531i</v>
      </c>
      <c r="AK243" s="50">
        <f t="shared" si="232"/>
        <v>1.0000120846052882</v>
      </c>
      <c r="AL243" s="50">
        <f t="shared" si="233"/>
        <v>4.9161943801055282E-3</v>
      </c>
      <c r="AM243" s="50" t="str">
        <f t="shared" si="214"/>
        <v>1-0.0226821887697488i</v>
      </c>
      <c r="AN243" s="50">
        <f t="shared" si="234"/>
        <v>1.0002572077657759</v>
      </c>
      <c r="AO243" s="50">
        <f t="shared" si="235"/>
        <v>-2.2678300113146511E-2</v>
      </c>
      <c r="AP243" s="59" t="str">
        <f t="shared" si="236"/>
        <v>2.33250382102011-14.10828159015i</v>
      </c>
      <c r="AQ243" s="50">
        <f t="shared" si="237"/>
        <v>23.106597217153215</v>
      </c>
      <c r="AR243" s="62">
        <f t="shared" si="238"/>
        <v>-80.612282024449911</v>
      </c>
      <c r="AS243" s="32" t="str">
        <f t="shared" si="215"/>
        <v>-0.0000166666666666667</v>
      </c>
      <c r="AT243" s="32" t="str">
        <f t="shared" si="216"/>
        <v>0.0000379890808081363i</v>
      </c>
      <c r="AU243" s="32">
        <f t="shared" si="239"/>
        <v>3.7989080808136297E-5</v>
      </c>
      <c r="AV243" s="32">
        <f t="shared" si="240"/>
        <v>1.5707963267948966</v>
      </c>
      <c r="AW243" s="32" t="str">
        <f t="shared" si="217"/>
        <v>1+0.0386068963091684i</v>
      </c>
      <c r="AX243" s="32">
        <f t="shared" si="241"/>
        <v>1.0007449687321075</v>
      </c>
      <c r="AY243" s="32">
        <f t="shared" si="242"/>
        <v>3.8587732348766786E-2</v>
      </c>
      <c r="AZ243" s="32" t="str">
        <f t="shared" si="218"/>
        <v>1+1.31263447451173i</v>
      </c>
      <c r="BA243" s="32">
        <f t="shared" si="243"/>
        <v>1.6501543151101614</v>
      </c>
      <c r="BB243" s="32">
        <f t="shared" si="244"/>
        <v>0.91976899307418702</v>
      </c>
      <c r="BC243" s="59" t="str">
        <f t="shared" si="245"/>
        <v>-0.558112773806713+0.460269558893508i</v>
      </c>
      <c r="BD243" s="50">
        <f t="shared" si="246"/>
        <v>-2.8121778347051798</v>
      </c>
      <c r="BE243" s="62">
        <f t="shared" si="247"/>
        <v>140.4879672255835</v>
      </c>
      <c r="BF243" s="59" t="str">
        <f t="shared" si="248"/>
        <v>2.04366713593048+2.99453634165215i</v>
      </c>
      <c r="BG243" s="65">
        <f t="shared" si="249"/>
        <v>11.187217108040636</v>
      </c>
      <c r="BH243" s="62">
        <f t="shared" si="250"/>
        <v>55.687819964701681</v>
      </c>
      <c r="BI243" s="59" t="str">
        <f t="shared" si="255"/>
        <v>5.19181236677945+8.94759267674315i</v>
      </c>
      <c r="BJ243" s="65">
        <f t="shared" si="251"/>
        <v>20.294419382448034</v>
      </c>
      <c r="BK243" s="62">
        <f t="shared" si="256"/>
        <v>59.875685201133621</v>
      </c>
      <c r="BL243" s="50">
        <f t="shared" si="252"/>
        <v>11.187217108040636</v>
      </c>
      <c r="BM243" s="62">
        <f t="shared" si="253"/>
        <v>55.687819964701681</v>
      </c>
    </row>
    <row r="244" spans="14:65" x14ac:dyDescent="0.3">
      <c r="N244" s="11">
        <v>26</v>
      </c>
      <c r="O244" s="51">
        <f t="shared" si="254"/>
        <v>1819.7008586099832</v>
      </c>
      <c r="P244" s="49" t="str">
        <f t="shared" si="206"/>
        <v>27.9103246607183</v>
      </c>
      <c r="Q244" s="18" t="str">
        <f t="shared" si="207"/>
        <v>1+5.61639216112606i</v>
      </c>
      <c r="R244" s="18">
        <f t="shared" si="219"/>
        <v>5.7047226845446444</v>
      </c>
      <c r="S244" s="18">
        <f t="shared" si="220"/>
        <v>1.3945925940678094</v>
      </c>
      <c r="T244" s="18" t="str">
        <f t="shared" si="208"/>
        <v>1+0.00503074778724334i</v>
      </c>
      <c r="U244" s="18">
        <f t="shared" si="221"/>
        <v>1.0000126541315859</v>
      </c>
      <c r="V244" s="18">
        <f t="shared" si="222"/>
        <v>5.0307053477896138E-3</v>
      </c>
      <c r="W244" s="32" t="str">
        <f t="shared" si="209"/>
        <v>1-0.0663426335579227i</v>
      </c>
      <c r="X244" s="18">
        <f t="shared" si="223"/>
        <v>1.0021982563482141</v>
      </c>
      <c r="Y244" s="18">
        <f t="shared" si="224"/>
        <v>-6.6245557514917786E-2</v>
      </c>
      <c r="Z244" s="32" t="str">
        <f t="shared" si="210"/>
        <v>0.999931584479033+0.0303377998016869i</v>
      </c>
      <c r="AA244" s="18">
        <f t="shared" si="225"/>
        <v>1.0003917011528818</v>
      </c>
      <c r="AB244" s="18">
        <f t="shared" si="226"/>
        <v>3.0330571291790443E-2</v>
      </c>
      <c r="AC244" s="67" t="str">
        <f t="shared" si="227"/>
        <v>0.414448057847455-4.88383795465681i</v>
      </c>
      <c r="AD244" s="65">
        <f t="shared" si="228"/>
        <v>13.806388177408502</v>
      </c>
      <c r="AE244" s="62">
        <f t="shared" si="229"/>
        <v>-85.149436178220682</v>
      </c>
      <c r="AF244" s="50" t="str">
        <f t="shared" si="211"/>
        <v>79.1527877025864</v>
      </c>
      <c r="AG244" s="50" t="str">
        <f t="shared" si="212"/>
        <v>1+5.57252062586953i</v>
      </c>
      <c r="AH244" s="50">
        <f t="shared" si="230"/>
        <v>5.6615356685038511</v>
      </c>
      <c r="AI244" s="50">
        <f t="shared" si="231"/>
        <v>1.3932342362682579</v>
      </c>
      <c r="AJ244" s="50" t="str">
        <f t="shared" si="213"/>
        <v>1+0.00503074778724334i</v>
      </c>
      <c r="AK244" s="50">
        <f t="shared" si="232"/>
        <v>1.0000126541315859</v>
      </c>
      <c r="AL244" s="50">
        <f t="shared" si="233"/>
        <v>5.0307053477896138E-3</v>
      </c>
      <c r="AM244" s="50" t="str">
        <f t="shared" si="214"/>
        <v>1-0.023210524817673i</v>
      </c>
      <c r="AN244" s="50">
        <f t="shared" si="234"/>
        <v>1.0002693279623802</v>
      </c>
      <c r="AO244" s="50">
        <f t="shared" si="235"/>
        <v>-2.3206358107643779E-2</v>
      </c>
      <c r="AP244" s="59" t="str">
        <f t="shared" si="236"/>
        <v>2.21955245898499-13.8074818896633i</v>
      </c>
      <c r="AQ244" s="50">
        <f t="shared" si="237"/>
        <v>22.913088294080652</v>
      </c>
      <c r="AR244" s="62">
        <f t="shared" si="238"/>
        <v>-80.86782980433874</v>
      </c>
      <c r="AS244" s="32" t="str">
        <f t="shared" si="215"/>
        <v>-0.0000166666666666667</v>
      </c>
      <c r="AT244" s="32" t="str">
        <f t="shared" si="216"/>
        <v>0.0000388739601741531i</v>
      </c>
      <c r="AU244" s="32">
        <f t="shared" si="239"/>
        <v>3.8873960174153103E-5</v>
      </c>
      <c r="AV244" s="32">
        <f t="shared" si="240"/>
        <v>1.5707963267948966</v>
      </c>
      <c r="AW244" s="32" t="str">
        <f t="shared" si="217"/>
        <v>1+0.0395061664468815i</v>
      </c>
      <c r="AX244" s="32">
        <f t="shared" si="241"/>
        <v>1.0007800643434743</v>
      </c>
      <c r="AY244" s="32">
        <f t="shared" si="242"/>
        <v>3.9485632757702317E-2</v>
      </c>
      <c r="AZ244" s="32" t="str">
        <f t="shared" si="218"/>
        <v>1+1.34320965919397i</v>
      </c>
      <c r="BA244" s="32">
        <f t="shared" si="243"/>
        <v>1.6745782121334256</v>
      </c>
      <c r="BB244" s="32">
        <f t="shared" si="244"/>
        <v>0.93083390484281181</v>
      </c>
      <c r="BC244" s="59" t="str">
        <f t="shared" si="245"/>
        <v>-0.558073630409951+0.450783362014359i</v>
      </c>
      <c r="BD244" s="50">
        <f t="shared" si="246"/>
        <v>-2.8848649007317122</v>
      </c>
      <c r="BE244" s="62">
        <f t="shared" si="247"/>
        <v>141.07049406675532</v>
      </c>
      <c r="BF244" s="59" t="str">
        <f t="shared" si="248"/>
        <v>1.97026036047425+2.91236746658603i</v>
      </c>
      <c r="BG244" s="65">
        <f t="shared" si="249"/>
        <v>10.92152327667679</v>
      </c>
      <c r="BH244" s="62">
        <f t="shared" si="250"/>
        <v>55.921057888534556</v>
      </c>
      <c r="BI244" s="59" t="str">
        <f t="shared" si="255"/>
        <v>4.98550940850371+8.70612886461254i</v>
      </c>
      <c r="BJ244" s="65">
        <f t="shared" si="251"/>
        <v>20.028223393348942</v>
      </c>
      <c r="BK244" s="62">
        <f t="shared" si="256"/>
        <v>60.202664262416597</v>
      </c>
      <c r="BL244" s="50">
        <f t="shared" si="252"/>
        <v>10.92152327667679</v>
      </c>
      <c r="BM244" s="62">
        <f t="shared" si="253"/>
        <v>55.921057888534556</v>
      </c>
    </row>
    <row r="245" spans="14:65" x14ac:dyDescent="0.3">
      <c r="N245" s="11">
        <v>27</v>
      </c>
      <c r="O245" s="51">
        <f t="shared" si="254"/>
        <v>1862.0871366628687</v>
      </c>
      <c r="P245" s="49" t="str">
        <f t="shared" si="206"/>
        <v>27.9103246607183</v>
      </c>
      <c r="Q245" s="18" t="str">
        <f t="shared" si="207"/>
        <v>1+5.74721474038085i</v>
      </c>
      <c r="R245" s="18">
        <f t="shared" si="219"/>
        <v>5.8335647139678599</v>
      </c>
      <c r="S245" s="18">
        <f t="shared" si="220"/>
        <v>1.3985237047187609</v>
      </c>
      <c r="T245" s="18" t="str">
        <f t="shared" si="208"/>
        <v>1+0.00514792895661801i</v>
      </c>
      <c r="U245" s="18">
        <f t="shared" si="221"/>
        <v>1.0000132504984833</v>
      </c>
      <c r="V245" s="18">
        <f t="shared" si="222"/>
        <v>5.1478834819565821E-3</v>
      </c>
      <c r="W245" s="32" t="str">
        <f t="shared" si="209"/>
        <v>1-0.0678879520092722i</v>
      </c>
      <c r="X245" s="18">
        <f t="shared" si="223"/>
        <v>1.0023017380150616</v>
      </c>
      <c r="Y245" s="18">
        <f t="shared" si="224"/>
        <v>-6.7783946052102792E-2</v>
      </c>
      <c r="Z245" s="32" t="str">
        <f t="shared" si="210"/>
        <v>0.999928360154865+0.0310444579382826i</v>
      </c>
      <c r="AA245" s="18">
        <f t="shared" si="225"/>
        <v>1.000410157790633</v>
      </c>
      <c r="AB245" s="18">
        <f t="shared" si="226"/>
        <v>3.1036712620446355E-2</v>
      </c>
      <c r="AC245" s="67" t="str">
        <f t="shared" si="227"/>
        <v>0.37638425497026-4.77874776898277i</v>
      </c>
      <c r="AD245" s="65">
        <f t="shared" si="228"/>
        <v>13.613140271985571</v>
      </c>
      <c r="AE245" s="62">
        <f t="shared" si="229"/>
        <v>-85.496560503083884</v>
      </c>
      <c r="AF245" s="50" t="str">
        <f t="shared" si="211"/>
        <v>79.1527877025864</v>
      </c>
      <c r="AG245" s="50" t="str">
        <f t="shared" si="212"/>
        <v>1+5.70232130579225i</v>
      </c>
      <c r="AH245" s="50">
        <f t="shared" si="230"/>
        <v>5.7893409188345641</v>
      </c>
      <c r="AI245" s="50">
        <f t="shared" si="231"/>
        <v>1.3971944144800299</v>
      </c>
      <c r="AJ245" s="50" t="str">
        <f t="shared" si="213"/>
        <v>1+0.00514792895661801i</v>
      </c>
      <c r="AK245" s="50">
        <f t="shared" si="232"/>
        <v>1.0000132504984833</v>
      </c>
      <c r="AL245" s="50">
        <f t="shared" si="233"/>
        <v>5.1478834819565821E-3</v>
      </c>
      <c r="AM245" s="50" t="str">
        <f t="shared" si="214"/>
        <v>1-0.0237511673930833i</v>
      </c>
      <c r="AN245" s="50">
        <f t="shared" si="234"/>
        <v>1.00028201920885</v>
      </c>
      <c r="AO245" s="50">
        <f t="shared" si="235"/>
        <v>-2.3746702750830115E-2</v>
      </c>
      <c r="AP245" s="59" t="str">
        <f t="shared" si="236"/>
        <v>2.11137424509339-13.5122325248392i</v>
      </c>
      <c r="AQ245" s="50">
        <f t="shared" si="237"/>
        <v>22.719306138681578</v>
      </c>
      <c r="AR245" s="62">
        <f t="shared" si="238"/>
        <v>-81.118976956990991</v>
      </c>
      <c r="AS245" s="32" t="str">
        <f t="shared" si="215"/>
        <v>-0.0000166666666666667</v>
      </c>
      <c r="AT245" s="32" t="str">
        <f t="shared" si="216"/>
        <v>0.000039779451028412i</v>
      </c>
      <c r="AU245" s="32">
        <f t="shared" si="239"/>
        <v>3.9779451028411999E-5</v>
      </c>
      <c r="AV245" s="32">
        <f t="shared" si="240"/>
        <v>1.5707963267948966</v>
      </c>
      <c r="AW245" s="32" t="str">
        <f t="shared" si="217"/>
        <v>1+0.0404263832769708i</v>
      </c>
      <c r="AX245" s="32">
        <f t="shared" si="241"/>
        <v>1.0008168126409831</v>
      </c>
      <c r="AY245" s="32">
        <f t="shared" si="242"/>
        <v>4.0404382002331429E-2</v>
      </c>
      <c r="AZ245" s="32" t="str">
        <f t="shared" si="218"/>
        <v>1+1.37449703141701i</v>
      </c>
      <c r="BA245" s="32">
        <f t="shared" si="243"/>
        <v>1.6997770704931201</v>
      </c>
      <c r="BB245" s="32">
        <f t="shared" si="244"/>
        <v>0.94182599879956275</v>
      </c>
      <c r="BC245" s="59" t="str">
        <f t="shared" si="245"/>
        <v>-0.558032648126224+0.441536030880126i</v>
      </c>
      <c r="BD245" s="50">
        <f t="shared" si="246"/>
        <v>-2.9554532354700642</v>
      </c>
      <c r="BE245" s="62">
        <f t="shared" si="247"/>
        <v>141.64765420434034</v>
      </c>
      <c r="BF245" s="59" t="str">
        <f t="shared" si="248"/>
        <v>1.89995461997984+2.83288448227808i</v>
      </c>
      <c r="BG245" s="65">
        <f t="shared" si="249"/>
        <v>10.657687036515505</v>
      </c>
      <c r="BH245" s="62">
        <f t="shared" si="250"/>
        <v>56.151093701256407</v>
      </c>
      <c r="BI245" s="59" t="str">
        <f t="shared" si="255"/>
        <v>4.78792175617187+8.47251470181437i</v>
      </c>
      <c r="BJ245" s="65">
        <f t="shared" si="251"/>
        <v>19.763852903211514</v>
      </c>
      <c r="BK245" s="62">
        <f t="shared" si="256"/>
        <v>60.528677247349343</v>
      </c>
      <c r="BL245" s="50">
        <f t="shared" si="252"/>
        <v>10.657687036515505</v>
      </c>
      <c r="BM245" s="62">
        <f t="shared" si="253"/>
        <v>56.151093701256407</v>
      </c>
    </row>
    <row r="246" spans="14:65" x14ac:dyDescent="0.3">
      <c r="N246" s="11">
        <v>28</v>
      </c>
      <c r="O246" s="51">
        <f t="shared" si="254"/>
        <v>1905.4607179632501</v>
      </c>
      <c r="P246" s="49" t="str">
        <f t="shared" si="206"/>
        <v>27.9103246607183</v>
      </c>
      <c r="Q246" s="18" t="str">
        <f t="shared" si="207"/>
        <v>1+5.88108456896442i</v>
      </c>
      <c r="R246" s="18">
        <f t="shared" si="219"/>
        <v>5.9654971047944878</v>
      </c>
      <c r="S246" s="18">
        <f t="shared" si="220"/>
        <v>1.4023705358244545</v>
      </c>
      <c r="T246" s="18" t="str">
        <f t="shared" si="208"/>
        <v>1+0.00526783962606643i</v>
      </c>
      <c r="U246" s="18">
        <f t="shared" si="221"/>
        <v>1.0000138749709055</v>
      </c>
      <c r="V246" s="18">
        <f t="shared" si="222"/>
        <v>5.267790899125325E-3</v>
      </c>
      <c r="W246" s="32" t="str">
        <f t="shared" si="209"/>
        <v>1-0.069469265551381i</v>
      </c>
      <c r="X246" s="18">
        <f t="shared" si="223"/>
        <v>1.0024100851728539</v>
      </c>
      <c r="Y246" s="18">
        <f t="shared" si="224"/>
        <v>-6.9357835626700878E-2</v>
      </c>
      <c r="Z246" s="32" t="str">
        <f t="shared" si="210"/>
        <v>0.999924983872981+0.0317675762573995i</v>
      </c>
      <c r="AA246" s="18">
        <f t="shared" si="225"/>
        <v>1.0004294839091115</v>
      </c>
      <c r="AB246" s="18">
        <f t="shared" si="226"/>
        <v>3.175927719061962E-2</v>
      </c>
      <c r="AC246" s="67" t="str">
        <f t="shared" si="227"/>
        <v>0.339936442513656-4.67561157502315i</v>
      </c>
      <c r="AD246" s="65">
        <f t="shared" si="228"/>
        <v>13.419664396604823</v>
      </c>
      <c r="AE246" s="62">
        <f t="shared" si="229"/>
        <v>-85.841674631344418</v>
      </c>
      <c r="AF246" s="50" t="str">
        <f t="shared" si="211"/>
        <v>79.1527877025864</v>
      </c>
      <c r="AG246" s="50" t="str">
        <f t="shared" si="212"/>
        <v>1+5.83514543195049i</v>
      </c>
      <c r="AH246" s="50">
        <f t="shared" si="230"/>
        <v>5.9202130208306416</v>
      </c>
      <c r="AI246" s="50">
        <f t="shared" si="231"/>
        <v>1.4010697704074579</v>
      </c>
      <c r="AJ246" s="50" t="str">
        <f t="shared" si="213"/>
        <v>1+0.00526783962606643i</v>
      </c>
      <c r="AK246" s="50">
        <f t="shared" si="232"/>
        <v>1.0000138749709055</v>
      </c>
      <c r="AL246" s="50">
        <f t="shared" si="233"/>
        <v>5.267790899125325E-3</v>
      </c>
      <c r="AM246" s="50" t="str">
        <f t="shared" si="214"/>
        <v>1-0.0243044031518295i</v>
      </c>
      <c r="AN246" s="50">
        <f t="shared" si="234"/>
        <v>1.0002953084027568</v>
      </c>
      <c r="AO246" s="50">
        <f t="shared" si="235"/>
        <v>-2.4299619277738969E-2</v>
      </c>
      <c r="AP246" s="59" t="str">
        <f t="shared" si="236"/>
        <v>2.00778047595896-13.2224881439928i</v>
      </c>
      <c r="AQ246" s="50">
        <f t="shared" si="237"/>
        <v>22.525262777762208</v>
      </c>
      <c r="AR246" s="62">
        <f t="shared" si="238"/>
        <v>-81.365828090222436</v>
      </c>
      <c r="AS246" s="32" t="str">
        <f t="shared" si="215"/>
        <v>-0.0000166666666666667</v>
      </c>
      <c r="AT246" s="32" t="str">
        <f t="shared" si="216"/>
        <v>0.0000407060334741495i</v>
      </c>
      <c r="AU246" s="32">
        <f t="shared" si="239"/>
        <v>4.0706033474149498E-5</v>
      </c>
      <c r="AV246" s="32">
        <f t="shared" si="240"/>
        <v>1.5707963267948966</v>
      </c>
      <c r="AW246" s="32" t="str">
        <f t="shared" si="217"/>
        <v>1+0.0413680347105804i</v>
      </c>
      <c r="AX246" s="32">
        <f t="shared" si="241"/>
        <v>1.0008552913862303</v>
      </c>
      <c r="AY246" s="32">
        <f t="shared" si="242"/>
        <v>4.1344461007995714E-2</v>
      </c>
      <c r="AZ246" s="32" t="str">
        <f t="shared" si="218"/>
        <v>1+1.40651318015973i</v>
      </c>
      <c r="BA246" s="32">
        <f t="shared" si="243"/>
        <v>1.7257691983469392</v>
      </c>
      <c r="BB246" s="32">
        <f t="shared" si="244"/>
        <v>0.95274047835712106</v>
      </c>
      <c r="BC246" s="59" t="str">
        <f t="shared" si="245"/>
        <v>-0.557989740857753+0.432522652057436i</v>
      </c>
      <c r="BD246" s="50">
        <f t="shared" si="246"/>
        <v>-3.0239722390522301</v>
      </c>
      <c r="BE246" s="62">
        <f t="shared" si="247"/>
        <v>142.21914525913678</v>
      </c>
      <c r="BF246" s="59" t="str">
        <f t="shared" si="248"/>
        <v>1.83262687095316+2.75597350274565i</v>
      </c>
      <c r="BG246" s="65">
        <f t="shared" si="249"/>
        <v>10.39569215755259</v>
      </c>
      <c r="BH246" s="62">
        <f t="shared" si="250"/>
        <v>56.377470627792277</v>
      </c>
      <c r="BI246" s="59" t="str">
        <f t="shared" si="255"/>
        <v>4.59870473135817+8.24642326917216i</v>
      </c>
      <c r="BJ246" s="65">
        <f t="shared" si="251"/>
        <v>19.501290538709974</v>
      </c>
      <c r="BK246" s="62">
        <f t="shared" si="256"/>
        <v>60.853317168914366</v>
      </c>
      <c r="BL246" s="50">
        <f t="shared" si="252"/>
        <v>10.39569215755259</v>
      </c>
      <c r="BM246" s="62">
        <f t="shared" si="253"/>
        <v>56.377470627792277</v>
      </c>
    </row>
    <row r="247" spans="14:65" x14ac:dyDescent="0.3">
      <c r="N247" s="11">
        <v>29</v>
      </c>
      <c r="O247" s="51">
        <f t="shared" si="254"/>
        <v>1949.8445997580463</v>
      </c>
      <c r="P247" s="49" t="str">
        <f t="shared" si="206"/>
        <v>27.9103246607183</v>
      </c>
      <c r="Q247" s="18" t="str">
        <f t="shared" si="207"/>
        <v>1+6.01807262643174i</v>
      </c>
      <c r="R247" s="18">
        <f t="shared" si="219"/>
        <v>6.1005899826989696</v>
      </c>
      <c r="S247" s="18">
        <f t="shared" si="220"/>
        <v>1.4061346713911254</v>
      </c>
      <c r="T247" s="18" t="str">
        <f t="shared" si="208"/>
        <v>1+0.00539054337381261i</v>
      </c>
      <c r="U247" s="18">
        <f t="shared" si="221"/>
        <v>1.0000145288733884</v>
      </c>
      <c r="V247" s="18">
        <f t="shared" si="222"/>
        <v>5.3904911619954993E-3</v>
      </c>
      <c r="W247" s="32" t="str">
        <f t="shared" si="209"/>
        <v>1-0.0710874126176185i</v>
      </c>
      <c r="X247" s="18">
        <f t="shared" si="223"/>
        <v>1.0025235260245355</v>
      </c>
      <c r="Y247" s="18">
        <f t="shared" si="224"/>
        <v>-7.0968029528451174E-2</v>
      </c>
      <c r="Z247" s="32" t="str">
        <f t="shared" si="210"/>
        <v>0.999921448471835+0.0325075381659412i</v>
      </c>
      <c r="AA247" s="18">
        <f t="shared" si="225"/>
        <v>1.000449720451569</v>
      </c>
      <c r="AB247" s="18">
        <f t="shared" si="226"/>
        <v>3.2498645769747883E-2</v>
      </c>
      <c r="AC247" s="67" t="str">
        <f t="shared" si="227"/>
        <v>0.305040272686901-4.57441123705064i</v>
      </c>
      <c r="AD247" s="65">
        <f t="shared" si="228"/>
        <v>13.225973330941601</v>
      </c>
      <c r="AE247" s="62">
        <f t="shared" si="229"/>
        <v>-86.18493351947879</v>
      </c>
      <c r="AF247" s="50" t="str">
        <f t="shared" si="211"/>
        <v>79.1527877025864</v>
      </c>
      <c r="AG247" s="50" t="str">
        <f t="shared" si="212"/>
        <v>1+5.97106342945396i</v>
      </c>
      <c r="AH247" s="50">
        <f t="shared" si="230"/>
        <v>6.0542215419129226</v>
      </c>
      <c r="AI247" s="50">
        <f t="shared" si="231"/>
        <v>1.4048618929703918</v>
      </c>
      <c r="AJ247" s="50" t="str">
        <f t="shared" si="213"/>
        <v>1+0.00539054337381261i</v>
      </c>
      <c r="AK247" s="50">
        <f t="shared" si="232"/>
        <v>1.0000145288733884</v>
      </c>
      <c r="AL247" s="50">
        <f t="shared" si="233"/>
        <v>5.3904911619954993E-3</v>
      </c>
      <c r="AM247" s="50" t="str">
        <f t="shared" si="214"/>
        <v>1-0.0248705254268332i</v>
      </c>
      <c r="AN247" s="50">
        <f t="shared" si="234"/>
        <v>1.0003092237078526</v>
      </c>
      <c r="AO247" s="50">
        <f t="shared" si="235"/>
        <v>-2.4865399498969709E-2</v>
      </c>
      <c r="AP247" s="59" t="str">
        <f t="shared" si="236"/>
        <v>1.9085887913528-12.9381996178054i</v>
      </c>
      <c r="AQ247" s="50">
        <f t="shared" si="237"/>
        <v>22.330969782371405</v>
      </c>
      <c r="AR247" s="62">
        <f t="shared" si="238"/>
        <v>-81.60848732007581</v>
      </c>
      <c r="AS247" s="32" t="str">
        <f t="shared" si="215"/>
        <v>-0.0000166666666666667</v>
      </c>
      <c r="AT247" s="32" t="str">
        <f t="shared" si="216"/>
        <v>0.0000416541987976429i</v>
      </c>
      <c r="AU247" s="32">
        <f t="shared" si="239"/>
        <v>4.1654198797642903E-5</v>
      </c>
      <c r="AV247" s="32">
        <f t="shared" si="240"/>
        <v>1.5707963267948966</v>
      </c>
      <c r="AW247" s="32" t="str">
        <f t="shared" si="217"/>
        <v>1+0.0423316200237637i</v>
      </c>
      <c r="AX247" s="32">
        <f t="shared" si="241"/>
        <v>1.0008955819933647</v>
      </c>
      <c r="AY247" s="32">
        <f t="shared" si="242"/>
        <v>4.2306361566889945E-2</v>
      </c>
      <c r="AZ247" s="32" t="str">
        <f t="shared" si="218"/>
        <v>1+1.43927508080797i</v>
      </c>
      <c r="BA247" s="32">
        <f t="shared" si="243"/>
        <v>1.752573181991208</v>
      </c>
      <c r="BB247" s="32">
        <f t="shared" si="244"/>
        <v>0.96357272916383629</v>
      </c>
      <c r="BC247" s="59" t="str">
        <f t="shared" si="245"/>
        <v>-0.557944818503531+0.423738435419631i</v>
      </c>
      <c r="BD247" s="50">
        <f t="shared" si="246"/>
        <v>-3.0904529247680115</v>
      </c>
      <c r="BE247" s="62">
        <f t="shared" si="247"/>
        <v>142.78467467065295</v>
      </c>
      <c r="BF247" s="59" t="str">
        <f t="shared" si="248"/>
        <v>1.76815822097326+2.68152633530506i</v>
      </c>
      <c r="BG247" s="65">
        <f t="shared" si="249"/>
        <v>10.135520406173601</v>
      </c>
      <c r="BH247" s="62">
        <f t="shared" si="250"/>
        <v>56.599741151174143</v>
      </c>
      <c r="BI247" s="59" t="str">
        <f t="shared" si="255"/>
        <v>4.41752523640652+8.02754386582617i</v>
      </c>
      <c r="BJ247" s="65">
        <f t="shared" si="251"/>
        <v>19.240516857603392</v>
      </c>
      <c r="BK247" s="62">
        <f t="shared" si="256"/>
        <v>61.176187350577131</v>
      </c>
      <c r="BL247" s="50">
        <f t="shared" si="252"/>
        <v>10.135520406173601</v>
      </c>
      <c r="BM247" s="62">
        <f t="shared" si="253"/>
        <v>56.599741151174143</v>
      </c>
    </row>
    <row r="248" spans="14:65" x14ac:dyDescent="0.3">
      <c r="N248" s="11">
        <v>30</v>
      </c>
      <c r="O248" s="51">
        <f t="shared" si="254"/>
        <v>1995.2623149688804</v>
      </c>
      <c r="P248" s="49" t="str">
        <f t="shared" si="206"/>
        <v>27.9103246607183</v>
      </c>
      <c r="Q248" s="18" t="str">
        <f t="shared" si="207"/>
        <v>1+6.15825154566424i</v>
      </c>
      <c r="R248" s="18">
        <f t="shared" si="219"/>
        <v>6.2389151380409071</v>
      </c>
      <c r="S248" s="18">
        <f t="shared" si="220"/>
        <v>1.4098176803346518</v>
      </c>
      <c r="T248" s="18" t="str">
        <f t="shared" si="208"/>
        <v>1+0.00551610525900791i</v>
      </c>
      <c r="U248" s="18">
        <f t="shared" si="221"/>
        <v>1.0000152135928875</v>
      </c>
      <c r="V248" s="18">
        <f t="shared" si="222"/>
        <v>5.5160493130838829E-3</v>
      </c>
      <c r="W248" s="32" t="str">
        <f t="shared" si="209"/>
        <v>1-0.0727432511709796i</v>
      </c>
      <c r="X248" s="18">
        <f t="shared" si="223"/>
        <v>1.0026422994223434</v>
      </c>
      <c r="Y248" s="18">
        <f t="shared" si="224"/>
        <v>-7.2615348086409279E-2</v>
      </c>
      <c r="Z248" s="32" t="str">
        <f t="shared" si="210"/>
        <v>0.999917746452365+0.0332647360015068i</v>
      </c>
      <c r="AA248" s="18">
        <f t="shared" si="225"/>
        <v>1.0004709102875637</v>
      </c>
      <c r="AB248" s="18">
        <f t="shared" si="226"/>
        <v>3.3255207867499886E-2</v>
      </c>
      <c r="AC248" s="67" t="str">
        <f t="shared" si="227"/>
        <v>0.27163360974849-4.47512743098482i</v>
      </c>
      <c r="AD248" s="65">
        <f t="shared" si="228"/>
        <v>13.032079483161922</v>
      </c>
      <c r="AE248" s="62">
        <f t="shared" si="229"/>
        <v>-86.526492651736262</v>
      </c>
      <c r="AF248" s="50" t="str">
        <f t="shared" si="211"/>
        <v>79.1527877025864</v>
      </c>
      <c r="AG248" s="50" t="str">
        <f t="shared" si="212"/>
        <v>1+6.11014736382413i</v>
      </c>
      <c r="AH248" s="50">
        <f t="shared" si="230"/>
        <v>6.191437701184352</v>
      </c>
      <c r="AI248" s="50">
        <f t="shared" si="231"/>
        <v>1.4085723563315278</v>
      </c>
      <c r="AJ248" s="50" t="str">
        <f t="shared" si="213"/>
        <v>1+0.00551610525900791i</v>
      </c>
      <c r="AK248" s="50">
        <f t="shared" si="232"/>
        <v>1.0000152135928875</v>
      </c>
      <c r="AL248" s="50">
        <f t="shared" si="233"/>
        <v>5.5160493130838829E-3</v>
      </c>
      <c r="AM248" s="50" t="str">
        <f t="shared" si="214"/>
        <v>1-0.0254498343836188i</v>
      </c>
      <c r="AN248" s="50">
        <f t="shared" si="234"/>
        <v>1.000323794613601</v>
      </c>
      <c r="AO248" s="50">
        <f t="shared" si="235"/>
        <v>-2.5444341948972379E-2</v>
      </c>
      <c r="AP248" s="59" t="str">
        <f t="shared" si="236"/>
        <v>1.81362305962859-12.6593143862815i</v>
      </c>
      <c r="AQ248" s="50">
        <f t="shared" si="237"/>
        <v>22.136438284172208</v>
      </c>
      <c r="AR248" s="62">
        <f t="shared" si="238"/>
        <v>-81.847058217532108</v>
      </c>
      <c r="AS248" s="32" t="str">
        <f t="shared" si="215"/>
        <v>-0.0000166666666666667</v>
      </c>
      <c r="AT248" s="32" t="str">
        <f t="shared" si="216"/>
        <v>0.0000426244497286974i</v>
      </c>
      <c r="AU248" s="32">
        <f t="shared" si="239"/>
        <v>4.2624449728697402E-5</v>
      </c>
      <c r="AV248" s="32">
        <f t="shared" si="240"/>
        <v>1.5707963267948966</v>
      </c>
      <c r="AW248" s="32" t="str">
        <f t="shared" si="217"/>
        <v>1+0.0433176501222091i</v>
      </c>
      <c r="AX248" s="32">
        <f t="shared" si="241"/>
        <v>1.0009377697000499</v>
      </c>
      <c r="AY248" s="32">
        <f t="shared" si="242"/>
        <v>4.3290586567357396E-2</v>
      </c>
      <c r="AZ248" s="32" t="str">
        <f t="shared" si="218"/>
        <v>1+1.47280010415511i</v>
      </c>
      <c r="BA248" s="32">
        <f t="shared" si="243"/>
        <v>1.7802078942638424</v>
      </c>
      <c r="BB248" s="32">
        <f t="shared" si="244"/>
        <v>0.97431832650042716</v>
      </c>
      <c r="BC248" s="59" t="str">
        <f t="shared" si="245"/>
        <v>-0.557897786775861+0.415178711554713i</v>
      </c>
      <c r="BD248" s="50">
        <f t="shared" si="246"/>
        <v>-3.154927811608403</v>
      </c>
      <c r="BE248" s="62">
        <f t="shared" si="247"/>
        <v>143.34396010776851</v>
      </c>
      <c r="BF248" s="59" t="str">
        <f t="shared" si="248"/>
        <v>1.70643385114681+2.60944018139671i</v>
      </c>
      <c r="BG248" s="65">
        <f t="shared" si="249"/>
        <v>9.8771516715535217</v>
      </c>
      <c r="BH248" s="62">
        <f t="shared" si="250"/>
        <v>56.817467456032261</v>
      </c>
      <c r="BI248" s="59" t="str">
        <f t="shared" si="255"/>
        <v>4.24406154504994+7.81558116334878i</v>
      </c>
      <c r="BJ248" s="65">
        <f t="shared" si="251"/>
        <v>18.981510472563805</v>
      </c>
      <c r="BK248" s="62">
        <f t="shared" si="256"/>
        <v>61.496901890236416</v>
      </c>
      <c r="BL248" s="50">
        <f t="shared" si="252"/>
        <v>9.8771516715535217</v>
      </c>
      <c r="BM248" s="62">
        <f t="shared" si="253"/>
        <v>56.817467456032261</v>
      </c>
    </row>
    <row r="249" spans="14:65" x14ac:dyDescent="0.3">
      <c r="N249" s="11">
        <v>31</v>
      </c>
      <c r="O249" s="51">
        <f t="shared" si="254"/>
        <v>2041.7379446695318</v>
      </c>
      <c r="P249" s="49" t="str">
        <f t="shared" si="206"/>
        <v>27.9103246607183</v>
      </c>
      <c r="Q249" s="18" t="str">
        <f t="shared" si="207"/>
        <v>1+6.30169565138032i</v>
      </c>
      <c r="R249" s="18">
        <f t="shared" si="219"/>
        <v>6.3805460646112122</v>
      </c>
      <c r="S249" s="18">
        <f t="shared" si="220"/>
        <v>1.4134211155656289</v>
      </c>
      <c r="T249" s="18" t="str">
        <f t="shared" si="208"/>
        <v>1+0.00564459185622579i</v>
      </c>
      <c r="U249" s="18">
        <f t="shared" si="221"/>
        <v>1.00001593058172</v>
      </c>
      <c r="V249" s="18">
        <f t="shared" si="222"/>
        <v>5.6445319091397231E-3</v>
      </c>
      <c r="W249" s="32" t="str">
        <f t="shared" si="209"/>
        <v>1-0.0744376591589819i</v>
      </c>
      <c r="X249" s="18">
        <f t="shared" si="223"/>
        <v>1.0027666553595949</v>
      </c>
      <c r="Y249" s="18">
        <f t="shared" si="224"/>
        <v>-7.4300628948539574E-2</v>
      </c>
      <c r="Z249" s="32" t="str">
        <f t="shared" si="210"/>
        <v>0.999913869962093+0.0340395712404111i</v>
      </c>
      <c r="AA249" s="18">
        <f t="shared" si="225"/>
        <v>1.0004930983034317</v>
      </c>
      <c r="AB249" s="18">
        <f t="shared" si="226"/>
        <v>3.4029361930354142E-2</v>
      </c>
      <c r="AC249" s="67" t="str">
        <f t="shared" si="227"/>
        <v>0.23965648557529-4.3777397590436i</v>
      </c>
      <c r="AD249" s="65">
        <f t="shared" si="228"/>
        <v>12.837994908697981</v>
      </c>
      <c r="AE249" s="62">
        <f t="shared" si="229"/>
        <v>-86.866508012913812</v>
      </c>
      <c r="AF249" s="50" t="str">
        <f t="shared" si="211"/>
        <v>79.1527877025864</v>
      </c>
      <c r="AG249" s="50" t="str">
        <f t="shared" si="212"/>
        <v>1+6.25247097920394i</v>
      </c>
      <c r="AH249" s="50">
        <f t="shared" si="230"/>
        <v>6.3319344078873305</v>
      </c>
      <c r="AI249" s="50">
        <f t="shared" si="231"/>
        <v>1.4122027189494524</v>
      </c>
      <c r="AJ249" s="50" t="str">
        <f t="shared" si="213"/>
        <v>1+0.00564459185622579i</v>
      </c>
      <c r="AK249" s="50">
        <f t="shared" si="232"/>
        <v>1.00001593058172</v>
      </c>
      <c r="AL249" s="50">
        <f t="shared" si="233"/>
        <v>5.6445319091397231E-3</v>
      </c>
      <c r="AM249" s="50" t="str">
        <f t="shared" si="214"/>
        <v>1-0.0260426371794628i</v>
      </c>
      <c r="AN249" s="50">
        <f t="shared" si="234"/>
        <v>1.0003390519975019</v>
      </c>
      <c r="AO249" s="50">
        <f t="shared" si="235"/>
        <v>-2.6036752037434174E-2</v>
      </c>
      <c r="AP249" s="59" t="str">
        <f t="shared" si="236"/>
        <v>1.72271325547068-12.3857767863383i</v>
      </c>
      <c r="AQ249" s="50">
        <f t="shared" si="237"/>
        <v>21.941678991541394</v>
      </c>
      <c r="AR249" s="62">
        <f t="shared" si="238"/>
        <v>-82.081643760956197</v>
      </c>
      <c r="AS249" s="32" t="str">
        <f t="shared" si="215"/>
        <v>-0.0000166666666666667</v>
      </c>
      <c r="AT249" s="32" t="str">
        <f t="shared" si="216"/>
        <v>0.0000436173007071994i</v>
      </c>
      <c r="AU249" s="32">
        <f t="shared" si="239"/>
        <v>4.3617300707199402E-5</v>
      </c>
      <c r="AV249" s="32">
        <f t="shared" si="240"/>
        <v>1.5707963267948966</v>
      </c>
      <c r="AW249" s="32" t="str">
        <f t="shared" si="217"/>
        <v>1+0.044326647812126i</v>
      </c>
      <c r="AX249" s="32">
        <f t="shared" si="241"/>
        <v>1.0009819437463696</v>
      </c>
      <c r="AY249" s="32">
        <f t="shared" si="242"/>
        <v>4.4297650226834656E-2</v>
      </c>
      <c r="AZ249" s="32" t="str">
        <f t="shared" si="218"/>
        <v>1+1.50710602561228i</v>
      </c>
      <c r="BA249" s="32">
        <f t="shared" si="243"/>
        <v>1.8086925035607468</v>
      </c>
      <c r="BB249" s="32">
        <f t="shared" si="244"/>
        <v>0.98497304168531841</v>
      </c>
      <c r="BC249" s="59" t="str">
        <f t="shared" si="245"/>
        <v>-0.557848547008773+0.406838929233611i</v>
      </c>
      <c r="BD249" s="50">
        <f t="shared" si="246"/>
        <v>-3.2174308143038162</v>
      </c>
      <c r="BE249" s="62">
        <f t="shared" si="247"/>
        <v>143.8967298223877</v>
      </c>
      <c r="BF249" s="59" t="str">
        <f t="shared" si="248"/>
        <v>1.6473429337733+2.53961735174035i</v>
      </c>
      <c r="BG249" s="65">
        <f t="shared" si="249"/>
        <v>9.6205640943941653</v>
      </c>
      <c r="BH249" s="62">
        <f t="shared" si="250"/>
        <v>57.030221809473886</v>
      </c>
      <c r="BI249" s="59" t="str">
        <f t="shared" si="255"/>
        <v>4.07800307900332+7.61025440006605i</v>
      </c>
      <c r="BJ249" s="65">
        <f t="shared" si="251"/>
        <v>18.72424817723758</v>
      </c>
      <c r="BK249" s="62">
        <f t="shared" si="256"/>
        <v>61.815086061431494</v>
      </c>
      <c r="BL249" s="50">
        <f t="shared" si="252"/>
        <v>9.6205640943941653</v>
      </c>
      <c r="BM249" s="62">
        <f t="shared" si="253"/>
        <v>57.030221809473886</v>
      </c>
    </row>
    <row r="250" spans="14:65" x14ac:dyDescent="0.3">
      <c r="N250" s="11">
        <v>32</v>
      </c>
      <c r="O250" s="51">
        <f t="shared" si="254"/>
        <v>2089.2961308540398</v>
      </c>
      <c r="P250" s="49" t="str">
        <f t="shared" si="206"/>
        <v>27.9103246607183</v>
      </c>
      <c r="Q250" s="18" t="str">
        <f t="shared" si="207"/>
        <v>1+6.44848099954362i</v>
      </c>
      <c r="R250" s="18">
        <f t="shared" si="219"/>
        <v>6.5255579992422934</v>
      </c>
      <c r="S250" s="18">
        <f t="shared" si="220"/>
        <v>1.4169465131648782</v>
      </c>
      <c r="T250" s="18" t="str">
        <f t="shared" si="208"/>
        <v>1+0.0057760712907609i</v>
      </c>
      <c r="U250" s="18">
        <f t="shared" si="221"/>
        <v>1.0000166813606441</v>
      </c>
      <c r="V250" s="18">
        <f t="shared" si="222"/>
        <v>5.7760070563587576E-3</v>
      </c>
      <c r="W250" s="32" t="str">
        <f t="shared" si="209"/>
        <v>1-0.07617153497917i</v>
      </c>
      <c r="X250" s="18">
        <f t="shared" si="223"/>
        <v>1.0028968554846918</v>
      </c>
      <c r="Y250" s="18">
        <f t="shared" si="224"/>
        <v>-7.6024727359714647E-2</v>
      </c>
      <c r="Z250" s="32" t="str">
        <f t="shared" si="210"/>
        <v>0.999909810778463+0.0348324547105544i</v>
      </c>
      <c r="AA250" s="18">
        <f t="shared" si="225"/>
        <v>1.0005163314969847</v>
      </c>
      <c r="AB250" s="18">
        <f t="shared" si="226"/>
        <v>3.4821515540070944E-2</v>
      </c>
      <c r="AC250" s="67" t="str">
        <f t="shared" si="227"/>
        <v>0.20905105306553-4.28222685778425i</v>
      </c>
      <c r="AD250" s="65">
        <f t="shared" si="228"/>
        <v>12.643731328843122</v>
      </c>
      <c r="AE250" s="62">
        <f t="shared" si="229"/>
        <v>-87.205136066398197</v>
      </c>
      <c r="AF250" s="50" t="str">
        <f t="shared" si="211"/>
        <v>79.1527877025864</v>
      </c>
      <c r="AG250" s="50" t="str">
        <f t="shared" si="212"/>
        <v>1+6.39810973745821i</v>
      </c>
      <c r="AH250" s="50">
        <f t="shared" si="230"/>
        <v>6.475786300717278</v>
      </c>
      <c r="AI250" s="50">
        <f t="shared" si="231"/>
        <v>1.4157545227239594</v>
      </c>
      <c r="AJ250" s="50" t="str">
        <f t="shared" si="213"/>
        <v>1+0.0057760712907609i</v>
      </c>
      <c r="AK250" s="50">
        <f t="shared" si="232"/>
        <v>1.0000166813606441</v>
      </c>
      <c r="AL250" s="50">
        <f t="shared" si="233"/>
        <v>5.7760070563587576E-3</v>
      </c>
      <c r="AM250" s="50" t="str">
        <f t="shared" si="214"/>
        <v>1-0.0266492481262547i</v>
      </c>
      <c r="AN250" s="50">
        <f t="shared" si="234"/>
        <v>1.0003550281903395</v>
      </c>
      <c r="AO250" s="50">
        <f t="shared" si="235"/>
        <v>-2.6642942203824117E-2</v>
      </c>
      <c r="AP250" s="59" t="str">
        <f t="shared" si="236"/>
        <v>1.63569533117863-12.1175283606673i</v>
      </c>
      <c r="AQ250" s="50">
        <f t="shared" si="237"/>
        <v>21.746702205377801</v>
      </c>
      <c r="AR250" s="62">
        <f t="shared" si="238"/>
        <v>-82.31234629396404</v>
      </c>
      <c r="AS250" s="32" t="str">
        <f t="shared" si="215"/>
        <v>-0.0000166666666666667</v>
      </c>
      <c r="AT250" s="32" t="str">
        <f t="shared" si="216"/>
        <v>0.0000446332781558795i</v>
      </c>
      <c r="AU250" s="32">
        <f t="shared" si="239"/>
        <v>4.4633278155879499E-5</v>
      </c>
      <c r="AV250" s="32">
        <f t="shared" si="240"/>
        <v>1.5707963267948966</v>
      </c>
      <c r="AW250" s="32" t="str">
        <f t="shared" si="217"/>
        <v>1+0.0453591480774458i</v>
      </c>
      <c r="AX250" s="32">
        <f t="shared" si="241"/>
        <v>1.0010281975620425</v>
      </c>
      <c r="AY250" s="32">
        <f t="shared" si="242"/>
        <v>4.5328078328423817E-2</v>
      </c>
      <c r="AZ250" s="32" t="str">
        <f t="shared" si="218"/>
        <v>1+1.54221103463316i</v>
      </c>
      <c r="BA250" s="32">
        <f t="shared" si="243"/>
        <v>1.8380464834558135</v>
      </c>
      <c r="BB250" s="32">
        <f t="shared" si="244"/>
        <v>0.99553284748635462</v>
      </c>
      <c r="BC250" s="59" t="str">
        <f t="shared" si="245"/>
        <v>-0.557796995957955+0.398714652937194i</v>
      </c>
      <c r="BD250" s="50">
        <f t="shared" si="246"/>
        <v>-3.2779971316235876</v>
      </c>
      <c r="BE250" s="62">
        <f t="shared" si="247"/>
        <v>144.44272294595217</v>
      </c>
      <c r="BF250" s="59" t="str">
        <f t="shared" si="248"/>
        <v>1.59077854599798+2.47196499535171i</v>
      </c>
      <c r="BG250" s="65">
        <f t="shared" si="249"/>
        <v>9.3657341972195471</v>
      </c>
      <c r="BH250" s="62">
        <f t="shared" si="250"/>
        <v>57.237586879554016</v>
      </c>
      <c r="BI250" s="59" t="str">
        <f t="shared" si="255"/>
        <v>3.91905017274618+7.41129661429742i</v>
      </c>
      <c r="BJ250" s="65">
        <f t="shared" si="251"/>
        <v>18.468705073754212</v>
      </c>
      <c r="BK250" s="62">
        <f t="shared" si="256"/>
        <v>62.130376651988129</v>
      </c>
      <c r="BL250" s="50">
        <f t="shared" si="252"/>
        <v>9.3657341972195471</v>
      </c>
      <c r="BM250" s="62">
        <f t="shared" si="253"/>
        <v>57.237586879554016</v>
      </c>
    </row>
    <row r="251" spans="14:65" x14ac:dyDescent="0.3">
      <c r="N251" s="11">
        <v>33</v>
      </c>
      <c r="O251" s="51">
        <f t="shared" si="254"/>
        <v>2137.9620895022344</v>
      </c>
      <c r="P251" s="49" t="str">
        <f t="shared" si="206"/>
        <v>27.9103246607183</v>
      </c>
      <c r="Q251" s="18" t="str">
        <f t="shared" si="207"/>
        <v>1+6.59868541768856i</v>
      </c>
      <c r="R251" s="18">
        <f t="shared" si="219"/>
        <v>6.674027962303998</v>
      </c>
      <c r="S251" s="18">
        <f t="shared" si="220"/>
        <v>1.4203953916440859</v>
      </c>
      <c r="T251" s="18" t="str">
        <f t="shared" si="208"/>
        <v>1+0.00591061327474966i</v>
      </c>
      <c r="U251" s="18">
        <f t="shared" si="221"/>
        <v>1.0000174675220848</v>
      </c>
      <c r="V251" s="18">
        <f t="shared" si="222"/>
        <v>5.9105444464126345E-3</v>
      </c>
      <c r="W251" s="32" t="str">
        <f t="shared" si="209"/>
        <v>1-0.0779457979554528i</v>
      </c>
      <c r="X251" s="18">
        <f t="shared" si="223"/>
        <v>1.003033173638296</v>
      </c>
      <c r="Y251" s="18">
        <f t="shared" si="224"/>
        <v>-7.7788516437515776E-2</v>
      </c>
      <c r="Z251" s="32" t="str">
        <f t="shared" si="210"/>
        <v>0.999905560291402+0.035643806809247i</v>
      </c>
      <c r="AA251" s="18">
        <f t="shared" si="225"/>
        <v>1.0005406590766401</v>
      </c>
      <c r="AB251" s="18">
        <f t="shared" si="226"/>
        <v>3.56320856160941E-2</v>
      </c>
      <c r="AC251" s="67" t="str">
        <f t="shared" si="227"/>
        <v>0.179761537761823-4.18856649977437i</v>
      </c>
      <c r="AD251" s="65">
        <f t="shared" si="228"/>
        <v>12.449300149158919</v>
      </c>
      <c r="AE251" s="62">
        <f t="shared" si="229"/>
        <v>-87.542533737138498</v>
      </c>
      <c r="AF251" s="50" t="str">
        <f t="shared" si="211"/>
        <v>79.1527877025864</v>
      </c>
      <c r="AG251" s="50" t="str">
        <f t="shared" si="212"/>
        <v>1+6.54714085818422i</v>
      </c>
      <c r="AH251" s="50">
        <f t="shared" si="230"/>
        <v>6.6230697880141056</v>
      </c>
      <c r="AI251" s="50">
        <f t="shared" si="231"/>
        <v>1.4192292922282703</v>
      </c>
      <c r="AJ251" s="50" t="str">
        <f t="shared" si="213"/>
        <v>1+0.00591061327474966i</v>
      </c>
      <c r="AK251" s="50">
        <f t="shared" si="232"/>
        <v>1.0000174675220848</v>
      </c>
      <c r="AL251" s="50">
        <f t="shared" si="233"/>
        <v>5.9105444464126345E-3</v>
      </c>
      <c r="AM251" s="50" t="str">
        <f t="shared" si="214"/>
        <v>1-0.0272699888571474i</v>
      </c>
      <c r="AN251" s="50">
        <f t="shared" si="234"/>
        <v>1.0003717570444846</v>
      </c>
      <c r="AO251" s="50">
        <f t="shared" si="235"/>
        <v>-2.7263232075134543E-2</v>
      </c>
      <c r="AP251" s="59" t="str">
        <f t="shared" si="236"/>
        <v>1.55241108260221-11.8545081485363i</v>
      </c>
      <c r="AQ251" s="50">
        <f t="shared" si="237"/>
        <v>21.551517834608017</v>
      </c>
      <c r="AR251" s="62">
        <f t="shared" si="238"/>
        <v>-82.539267488405855</v>
      </c>
      <c r="AS251" s="32" t="str">
        <f t="shared" si="215"/>
        <v>-0.0000166666666666667</v>
      </c>
      <c r="AT251" s="32" t="str">
        <f t="shared" si="216"/>
        <v>0.0000456729207594292i</v>
      </c>
      <c r="AU251" s="32">
        <f t="shared" si="239"/>
        <v>4.5672920759429197E-5</v>
      </c>
      <c r="AV251" s="32">
        <f t="shared" si="240"/>
        <v>1.5707963267948966</v>
      </c>
      <c r="AW251" s="32" t="str">
        <f t="shared" si="217"/>
        <v>1+0.0464156983634752i</v>
      </c>
      <c r="AX251" s="32">
        <f t="shared" si="241"/>
        <v>1.0010766289623232</v>
      </c>
      <c r="AY251" s="32">
        <f t="shared" si="242"/>
        <v>4.6382408461040296E-2</v>
      </c>
      <c r="AZ251" s="32" t="str">
        <f t="shared" si="218"/>
        <v>1+1.57813374435816i</v>
      </c>
      <c r="BA251" s="32">
        <f t="shared" si="243"/>
        <v>1.8682896229123327</v>
      </c>
      <c r="BB251" s="32">
        <f t="shared" si="244"/>
        <v>1.0059939225449506</v>
      </c>
      <c r="BC251" s="59" t="str">
        <f t="shared" si="245"/>
        <v>-0.5577430255918+0.390801560440416i</v>
      </c>
      <c r="BD251" s="50">
        <f t="shared" si="246"/>
        <v>-3.3366631336853998</v>
      </c>
      <c r="BE251" s="62">
        <f t="shared" si="247"/>
        <v>144.98168972916676</v>
      </c>
      <c r="BF251" s="59" t="str">
        <f t="shared" si="248"/>
        <v>1.53663758016396+2.4063948419411i</v>
      </c>
      <c r="BG251" s="65">
        <f t="shared" si="249"/>
        <v>9.1126370154735117</v>
      </c>
      <c r="BH251" s="62">
        <f t="shared" si="250"/>
        <v>57.439155992028269</v>
      </c>
      <c r="BI251" s="59" t="str">
        <f t="shared" si="255"/>
        <v>3.76691382852881+7.21845391519322i</v>
      </c>
      <c r="BJ251" s="65">
        <f t="shared" si="251"/>
        <v>18.214854700922615</v>
      </c>
      <c r="BK251" s="62">
        <f t="shared" si="256"/>
        <v>62.442422240760934</v>
      </c>
      <c r="BL251" s="50">
        <f t="shared" si="252"/>
        <v>9.1126370154735117</v>
      </c>
      <c r="BM251" s="62">
        <f t="shared" si="253"/>
        <v>57.439155992028269</v>
      </c>
    </row>
    <row r="252" spans="14:65" x14ac:dyDescent="0.3">
      <c r="N252" s="11">
        <v>34</v>
      </c>
      <c r="O252" s="51">
        <f t="shared" si="254"/>
        <v>2187.7616239495528</v>
      </c>
      <c r="P252" s="49" t="str">
        <f t="shared" si="206"/>
        <v>27.9103246607183</v>
      </c>
      <c r="Q252" s="18" t="str">
        <f t="shared" si="207"/>
        <v>1+6.75238854618591i</v>
      </c>
      <c r="R252" s="18">
        <f t="shared" si="219"/>
        <v>6.8260347991101451</v>
      </c>
      <c r="S252" s="18">
        <f t="shared" si="220"/>
        <v>1.4237692512865343</v>
      </c>
      <c r="T252" s="18" t="str">
        <f t="shared" si="208"/>
        <v>1+0.00604828914413293i</v>
      </c>
      <c r="U252" s="18">
        <f t="shared" si="221"/>
        <v>1.00001829073351</v>
      </c>
      <c r="V252" s="18">
        <f t="shared" si="222"/>
        <v>6.0482153933139136E-3</v>
      </c>
      <c r="W252" s="32" t="str">
        <f t="shared" si="209"/>
        <v>1-0.0797613888255464i</v>
      </c>
      <c r="X252" s="18">
        <f t="shared" si="223"/>
        <v>1.0031758964146718</v>
      </c>
      <c r="Y252" s="18">
        <f t="shared" si="224"/>
        <v>-7.9592887445220167E-2</v>
      </c>
      <c r="Z252" s="32" t="str">
        <f t="shared" si="210"/>
        <v>0.999901109485057+0.0364740577261115i</v>
      </c>
      <c r="AA252" s="18">
        <f t="shared" si="225"/>
        <v>1.0005661325651871</v>
      </c>
      <c r="AB252" s="18">
        <f t="shared" si="226"/>
        <v>3.6461498621933396E-2</v>
      </c>
      <c r="AC252" s="67" t="str">
        <f t="shared" si="227"/>
        <v>0.151734188046298-4.0967356891363i</v>
      </c>
      <c r="AD252" s="65">
        <f t="shared" si="228"/>
        <v>12.254712477686727</v>
      </c>
      <c r="AE252" s="62">
        <f t="shared" si="229"/>
        <v>-87.878858399226402</v>
      </c>
      <c r="AF252" s="50" t="str">
        <f t="shared" si="211"/>
        <v>79.1527877025864</v>
      </c>
      <c r="AG252" s="50" t="str">
        <f t="shared" si="212"/>
        <v>1+6.69964335965493i</v>
      </c>
      <c r="AH252" s="50">
        <f t="shared" si="230"/>
        <v>6.7738630888561948</v>
      </c>
      <c r="AI252" s="50">
        <f t="shared" si="231"/>
        <v>1.4226285340230505</v>
      </c>
      <c r="AJ252" s="50" t="str">
        <f t="shared" si="213"/>
        <v>1+0.00604828914413293i</v>
      </c>
      <c r="AK252" s="50">
        <f t="shared" si="232"/>
        <v>1.00001829073351</v>
      </c>
      <c r="AL252" s="50">
        <f t="shared" si="233"/>
        <v>6.0482153933139136E-3</v>
      </c>
      <c r="AM252" s="50" t="str">
        <f t="shared" si="214"/>
        <v>1-0.0279051884970932i</v>
      </c>
      <c r="AN252" s="50">
        <f t="shared" si="234"/>
        <v>1.0003892740054035</v>
      </c>
      <c r="AO252" s="50">
        <f t="shared" si="235"/>
        <v>-2.7897948626873326E-2</v>
      </c>
      <c r="AP252" s="59" t="str">
        <f t="shared" si="236"/>
        <v>1.47270801074338-11.5966529592092i</v>
      </c>
      <c r="AQ252" s="50">
        <f t="shared" si="237"/>
        <v>21.356135411376616</v>
      </c>
      <c r="AR252" s="62">
        <f t="shared" si="238"/>
        <v>-82.762508312173949</v>
      </c>
      <c r="AS252" s="32" t="str">
        <f t="shared" si="215"/>
        <v>-0.0000166666666666667</v>
      </c>
      <c r="AT252" s="32" t="str">
        <f t="shared" si="216"/>
        <v>0.000046736779750118i</v>
      </c>
      <c r="AU252" s="32">
        <f t="shared" si="239"/>
        <v>4.6736779750117998E-5</v>
      </c>
      <c r="AV252" s="32">
        <f t="shared" si="240"/>
        <v>1.5707963267948966</v>
      </c>
      <c r="AW252" s="32" t="str">
        <f t="shared" si="217"/>
        <v>1+0.0474968588671615i</v>
      </c>
      <c r="AX252" s="32">
        <f t="shared" si="241"/>
        <v>1.0011273403529879</v>
      </c>
      <c r="AY252" s="32">
        <f t="shared" si="242"/>
        <v>4.7461190263093811E-2</v>
      </c>
      <c r="AZ252" s="32" t="str">
        <f t="shared" si="218"/>
        <v>1+1.61489320148349i</v>
      </c>
      <c r="BA252" s="32">
        <f t="shared" si="243"/>
        <v>1.8994420370723597</v>
      </c>
      <c r="BB252" s="32">
        <f t="shared" si="244"/>
        <v>1.0163526548268333</v>
      </c>
      <c r="BC252" s="59" t="str">
        <f t="shared" si="245"/>
        <v>-0.557686522873375+0.383095440452041i</v>
      </c>
      <c r="BD252" s="50">
        <f t="shared" si="246"/>
        <v>-3.3934662489949274</v>
      </c>
      <c r="BE252" s="62">
        <f t="shared" si="247"/>
        <v>145.5133917257514</v>
      </c>
      <c r="BF252" s="59" t="str">
        <f t="shared" si="248"/>
        <v>1.48482065151271+2.34282295720691i</v>
      </c>
      <c r="BG252" s="65">
        <f t="shared" si="249"/>
        <v>8.8612462286917903</v>
      </c>
      <c r="BH252" s="62">
        <f t="shared" si="250"/>
        <v>57.634533326525009</v>
      </c>
      <c r="BI252" s="59" t="str">
        <f t="shared" si="255"/>
        <v>3.62131546345847+7.0314847898236i</v>
      </c>
      <c r="BJ252" s="65">
        <f t="shared" si="251"/>
        <v>17.962669162381694</v>
      </c>
      <c r="BK252" s="62">
        <f t="shared" si="256"/>
        <v>62.750883413577483</v>
      </c>
      <c r="BL252" s="50">
        <f t="shared" si="252"/>
        <v>8.8612462286917903</v>
      </c>
      <c r="BM252" s="62">
        <f t="shared" si="253"/>
        <v>57.634533326525009</v>
      </c>
    </row>
    <row r="253" spans="14:65" x14ac:dyDescent="0.3">
      <c r="N253" s="11">
        <v>35</v>
      </c>
      <c r="O253" s="51">
        <f t="shared" si="254"/>
        <v>2238.7211385683418</v>
      </c>
      <c r="P253" s="49" t="str">
        <f t="shared" si="206"/>
        <v>27.9103246607183</v>
      </c>
      <c r="Q253" s="18" t="str">
        <f t="shared" si="207"/>
        <v>1+6.90967188046889i</v>
      </c>
      <c r="R253" s="18">
        <f t="shared" si="219"/>
        <v>6.9816592222581662</v>
      </c>
      <c r="S253" s="18">
        <f t="shared" si="220"/>
        <v>1.4270695735630234</v>
      </c>
      <c r="T253" s="18" t="str">
        <f t="shared" si="208"/>
        <v>1+0.00618917189647901i</v>
      </c>
      <c r="U253" s="18">
        <f t="shared" si="221"/>
        <v>1.0000191527409683</v>
      </c>
      <c r="V253" s="18">
        <f t="shared" si="222"/>
        <v>6.1890928711344009E-3</v>
      </c>
      <c r="W253" s="32" t="str">
        <f t="shared" si="209"/>
        <v>1-0.0816192702397623i</v>
      </c>
      <c r="X253" s="18">
        <f t="shared" si="223"/>
        <v>1.0033253237482205</v>
      </c>
      <c r="Y253" s="18">
        <f t="shared" si="224"/>
        <v>-8.1438750061270201E-2</v>
      </c>
      <c r="Z253" s="32" t="str">
        <f t="shared" si="210"/>
        <v>0.999896448918672+0.0373236476711737i</v>
      </c>
      <c r="AA253" s="18">
        <f t="shared" si="225"/>
        <v>1.0005928059084035</v>
      </c>
      <c r="AB253" s="18">
        <f t="shared" si="226"/>
        <v>3.731019077556047E-2</v>
      </c>
      <c r="AC253" s="67" t="str">
        <f t="shared" si="227"/>
        <v>0.124917224228749-4.00671075121261i</v>
      </c>
      <c r="AD253" s="65">
        <f t="shared" si="228"/>
        <v>12.059979142961922</v>
      </c>
      <c r="AE253" s="62">
        <f t="shared" si="229"/>
        <v>-88.214267867764008</v>
      </c>
      <c r="AF253" s="50" t="str">
        <f t="shared" si="211"/>
        <v>79.1527877025864</v>
      </c>
      <c r="AG253" s="50" t="str">
        <f t="shared" si="212"/>
        <v>1+6.85569810071519i</v>
      </c>
      <c r="AH253" s="50">
        <f t="shared" si="230"/>
        <v>6.9282462750792764</v>
      </c>
      <c r="AI253" s="50">
        <f t="shared" si="231"/>
        <v>1.4259537360472512</v>
      </c>
      <c r="AJ253" s="50" t="str">
        <f t="shared" si="213"/>
        <v>1+0.00618917189647901i</v>
      </c>
      <c r="AK253" s="50">
        <f t="shared" si="232"/>
        <v>1.0000191527409683</v>
      </c>
      <c r="AL253" s="50">
        <f t="shared" si="233"/>
        <v>6.1890928711344009E-3</v>
      </c>
      <c r="AM253" s="50" t="str">
        <f t="shared" si="214"/>
        <v>1-0.028555183837349i</v>
      </c>
      <c r="AN253" s="50">
        <f t="shared" si="234"/>
        <v>1.0004076161865145</v>
      </c>
      <c r="AO253" s="50">
        <f t="shared" si="235"/>
        <v>-2.8547426347345316E-2</v>
      </c>
      <c r="AP253" s="59" t="str">
        <f t="shared" si="236"/>
        <v>1.39643917995272-11.3438976286753i</v>
      </c>
      <c r="AQ253" s="50">
        <f t="shared" si="237"/>
        <v>21.16056410591462</v>
      </c>
      <c r="AR253" s="62">
        <f t="shared" si="238"/>
        <v>-82.982169001552208</v>
      </c>
      <c r="AS253" s="32" t="str">
        <f t="shared" si="215"/>
        <v>-0.0000166666666666667</v>
      </c>
      <c r="AT253" s="32" t="str">
        <f t="shared" si="216"/>
        <v>0.0000478254192000649i</v>
      </c>
      <c r="AU253" s="32">
        <f t="shared" si="239"/>
        <v>4.7825419200064903E-5</v>
      </c>
      <c r="AV253" s="32">
        <f t="shared" si="240"/>
        <v>1.5707963267948966</v>
      </c>
      <c r="AW253" s="32" t="str">
        <f t="shared" si="217"/>
        <v>1+0.0486032028341145i</v>
      </c>
      <c r="AX253" s="32">
        <f t="shared" si="241"/>
        <v>1.0011804389448158</v>
      </c>
      <c r="AY253" s="32">
        <f t="shared" si="242"/>
        <v>4.8564985669630759E-2</v>
      </c>
      <c r="AZ253" s="32" t="str">
        <f t="shared" si="218"/>
        <v>1+1.65250889635989i</v>
      </c>
      <c r="BA253" s="32">
        <f t="shared" si="243"/>
        <v>1.9315241786083293</v>
      </c>
      <c r="BB253" s="32">
        <f t="shared" si="244"/>
        <v>1.0266056441205882</v>
      </c>
      <c r="BC253" s="59" t="str">
        <f t="shared" si="245"/>
        <v>-0.55762736953271+0.375592190308379i</v>
      </c>
      <c r="BD253" s="50">
        <f t="shared" si="246"/>
        <v>-3.4484448519080462</v>
      </c>
      <c r="BE253" s="62">
        <f t="shared" si="247"/>
        <v>146.03760192143591</v>
      </c>
      <c r="BF253" s="59" t="str">
        <f t="shared" si="248"/>
        <v>1.43523200382407+2.28116951053244i</v>
      </c>
      <c r="BG253" s="65">
        <f t="shared" si="249"/>
        <v>8.6115342910538875</v>
      </c>
      <c r="BH253" s="62">
        <f t="shared" si="250"/>
        <v>57.823334053671942</v>
      </c>
      <c r="BI253" s="59" t="str">
        <f t="shared" si="255"/>
        <v>3.48198665035873+6.85015944515743i</v>
      </c>
      <c r="BJ253" s="65">
        <f t="shared" si="251"/>
        <v>17.71211925400657</v>
      </c>
      <c r="BK253" s="62">
        <f t="shared" si="256"/>
        <v>63.055432919883714</v>
      </c>
      <c r="BL253" s="50">
        <f t="shared" si="252"/>
        <v>8.6115342910538875</v>
      </c>
      <c r="BM253" s="62">
        <f t="shared" si="253"/>
        <v>57.823334053671942</v>
      </c>
    </row>
    <row r="254" spans="14:65" x14ac:dyDescent="0.3">
      <c r="N254" s="11">
        <v>36</v>
      </c>
      <c r="O254" s="51">
        <f t="shared" si="254"/>
        <v>2290.8676527677749</v>
      </c>
      <c r="P254" s="49" t="str">
        <f t="shared" si="206"/>
        <v>27.9103246607183</v>
      </c>
      <c r="Q254" s="18" t="str">
        <f t="shared" si="207"/>
        <v>1+7.07061881424319i</v>
      </c>
      <c r="R254" s="18">
        <f t="shared" si="219"/>
        <v>7.1409838549271187</v>
      </c>
      <c r="S254" s="18">
        <f t="shared" si="220"/>
        <v>1.4302978206183297</v>
      </c>
      <c r="T254" s="18" t="str">
        <f t="shared" si="208"/>
        <v>1+0.00633333622968795i</v>
      </c>
      <c r="U254" s="18">
        <f t="shared" si="221"/>
        <v>1.0000200553727903</v>
      </c>
      <c r="V254" s="18">
        <f t="shared" si="222"/>
        <v>6.3332515525973167E-3</v>
      </c>
      <c r="W254" s="32" t="str">
        <f t="shared" si="209"/>
        <v>1-0.0835204272714178i</v>
      </c>
      <c r="X254" s="18">
        <f t="shared" si="223"/>
        <v>1.003481769526283</v>
      </c>
      <c r="Y254" s="18">
        <f t="shared" si="224"/>
        <v>-8.3327032644495008E-2</v>
      </c>
      <c r="Z254" s="32" t="str">
        <f t="shared" si="210"/>
        <v>0.99989156870656+0.0381930271082679i</v>
      </c>
      <c r="AA254" s="18">
        <f t="shared" si="225"/>
        <v>1.0006207355887435</v>
      </c>
      <c r="AB254" s="18">
        <f t="shared" si="226"/>
        <v>3.8178608263861026E-2</v>
      </c>
      <c r="AC254" s="67" t="str">
        <f t="shared" si="227"/>
        <v>0.0992607868185271-3.91846741659944i</v>
      </c>
      <c r="AD254" s="65">
        <f t="shared" si="228"/>
        <v>11.865110711828164</v>
      </c>
      <c r="AE254" s="62">
        <f t="shared" si="229"/>
        <v>-88.548920394712397</v>
      </c>
      <c r="AF254" s="50" t="str">
        <f t="shared" si="211"/>
        <v>79.1527877025864</v>
      </c>
      <c r="AG254" s="50" t="str">
        <f t="shared" si="212"/>
        <v>1+7.01538782365432i</v>
      </c>
      <c r="AH254" s="50">
        <f t="shared" si="230"/>
        <v>7.0863013142454854</v>
      </c>
      <c r="AI254" s="50">
        <f t="shared" si="231"/>
        <v>1.4292063670810622</v>
      </c>
      <c r="AJ254" s="50" t="str">
        <f t="shared" si="213"/>
        <v>1+0.00633333622968795i</v>
      </c>
      <c r="AK254" s="50">
        <f t="shared" si="232"/>
        <v>1.0000200553727903</v>
      </c>
      <c r="AL254" s="50">
        <f t="shared" si="233"/>
        <v>6.3332515525973167E-3</v>
      </c>
      <c r="AM254" s="50" t="str">
        <f t="shared" si="214"/>
        <v>1-0.0292203195140479i</v>
      </c>
      <c r="AN254" s="50">
        <f t="shared" si="234"/>
        <v>1.0004268224475508</v>
      </c>
      <c r="AO254" s="50">
        <f t="shared" si="235"/>
        <v>-2.9212007405271898E-2</v>
      </c>
      <c r="AP254" s="59" t="str">
        <f t="shared" si="236"/>
        <v>1.32346307356132-11.0961752603778i</v>
      </c>
      <c r="AQ254" s="50">
        <f t="shared" si="237"/>
        <v>20.964812741078063</v>
      </c>
      <c r="AR254" s="62">
        <f t="shared" si="238"/>
        <v>-83.198349037838426</v>
      </c>
      <c r="AS254" s="32" t="str">
        <f t="shared" si="215"/>
        <v>-0.0000166666666666667</v>
      </c>
      <c r="AT254" s="32" t="str">
        <f t="shared" si="216"/>
        <v>0.0000489394163203158i</v>
      </c>
      <c r="AU254" s="32">
        <f t="shared" si="239"/>
        <v>4.89394163203158E-5</v>
      </c>
      <c r="AV254" s="32">
        <f t="shared" si="240"/>
        <v>1.5707963267948966</v>
      </c>
      <c r="AW254" s="32" t="str">
        <f t="shared" si="217"/>
        <v>1+0.0497353168625494i</v>
      </c>
      <c r="AX254" s="32">
        <f t="shared" si="241"/>
        <v>1.0012360369780036</v>
      </c>
      <c r="AY254" s="32">
        <f t="shared" si="242"/>
        <v>4.9694369162871295E-2</v>
      </c>
      <c r="AZ254" s="32" t="str">
        <f t="shared" si="218"/>
        <v>1+1.69100077332668i</v>
      </c>
      <c r="BA254" s="32">
        <f t="shared" si="243"/>
        <v>1.9645568496206545</v>
      </c>
      <c r="BB254" s="32">
        <f t="shared" si="244"/>
        <v>1.0367497036121367</v>
      </c>
      <c r="BC254" s="59" t="str">
        <f t="shared" si="245"/>
        <v>-0.557565441829225+0.368287813719489i</v>
      </c>
      <c r="BD254" s="50">
        <f t="shared" si="246"/>
        <v>-3.5016381511656016</v>
      </c>
      <c r="BE254" s="62">
        <f t="shared" si="247"/>
        <v>146.55410480981683</v>
      </c>
      <c r="BF254" s="59" t="str">
        <f t="shared" si="248"/>
        <v>1.38777941353167+2.22135855459516i</v>
      </c>
      <c r="BG254" s="65">
        <f t="shared" si="249"/>
        <v>8.3634725606625544</v>
      </c>
      <c r="BH254" s="62">
        <f t="shared" si="250"/>
        <v>58.005184415104502</v>
      </c>
      <c r="BI254" s="59" t="str">
        <f t="shared" si="255"/>
        <v>3.34866885393794+6.67425918356744i</v>
      </c>
      <c r="BJ254" s="65">
        <f t="shared" si="251"/>
        <v>17.463174589912466</v>
      </c>
      <c r="BK254" s="62">
        <f t="shared" si="256"/>
        <v>63.355755771978444</v>
      </c>
      <c r="BL254" s="50">
        <f t="shared" si="252"/>
        <v>8.3634725606625544</v>
      </c>
      <c r="BM254" s="62">
        <f t="shared" si="253"/>
        <v>58.005184415104502</v>
      </c>
    </row>
    <row r="255" spans="14:65" x14ac:dyDescent="0.3">
      <c r="N255" s="11">
        <v>37</v>
      </c>
      <c r="O255" s="51">
        <f t="shared" si="254"/>
        <v>2344.2288153199238</v>
      </c>
      <c r="P255" s="49" t="str">
        <f t="shared" si="206"/>
        <v>27.9103246607183</v>
      </c>
      <c r="Q255" s="18" t="str">
        <f t="shared" si="207"/>
        <v>1+7.23531468370352i</v>
      </c>
      <c r="R255" s="18">
        <f t="shared" si="219"/>
        <v>7.3040932751585093</v>
      </c>
      <c r="S255" s="18">
        <f t="shared" si="220"/>
        <v>1.4334554348237301</v>
      </c>
      <c r="T255" s="18" t="str">
        <f t="shared" si="208"/>
        <v>1+0.0064808585815975i</v>
      </c>
      <c r="U255" s="18">
        <f t="shared" si="221"/>
        <v>1.000021000543466</v>
      </c>
      <c r="V255" s="18">
        <f t="shared" si="222"/>
        <v>6.4807678485630828E-3</v>
      </c>
      <c r="W255" s="32" t="str">
        <f t="shared" si="209"/>
        <v>1-0.0854658679391363i</v>
      </c>
      <c r="X255" s="18">
        <f t="shared" si="223"/>
        <v>1.003645562229311</v>
      </c>
      <c r="Y255" s="18">
        <f t="shared" si="224"/>
        <v>-8.5258682494280744E-2</v>
      </c>
      <c r="Z255" s="32" t="str">
        <f t="shared" si="210"/>
        <v>0.999886458497137+0.0390826569938794i</v>
      </c>
      <c r="AA255" s="18">
        <f t="shared" si="225"/>
        <v>1.0006499807443401</v>
      </c>
      <c r="AB255" s="18">
        <f t="shared" si="226"/>
        <v>3.9067207461176617E-2</v>
      </c>
      <c r="AC255" s="67" t="str">
        <f t="shared" si="227"/>
        <v>0.0747168842432661-3.83198089979452i</v>
      </c>
      <c r="AD255" s="65">
        <f t="shared" si="228"/>
        <v>11.670117507052799</v>
      </c>
      <c r="AE255" s="62">
        <f t="shared" si="229"/>
        <v>-88.882974668418854</v>
      </c>
      <c r="AF255" s="50" t="str">
        <f t="shared" si="211"/>
        <v>79.1527877025864</v>
      </c>
      <c r="AG255" s="50" t="str">
        <f t="shared" si="212"/>
        <v>1+7.17879719807721i</v>
      </c>
      <c r="AH255" s="50">
        <f t="shared" si="230"/>
        <v>7.2481121135866262</v>
      </c>
      <c r="AI255" s="50">
        <f t="shared" si="231"/>
        <v>1.4323878762764239</v>
      </c>
      <c r="AJ255" s="50" t="str">
        <f t="shared" si="213"/>
        <v>1+0.0064808585815975i</v>
      </c>
      <c r="AK255" s="50">
        <f t="shared" si="232"/>
        <v>1.000021000543466</v>
      </c>
      <c r="AL255" s="50">
        <f t="shared" si="233"/>
        <v>6.4807678485630828E-3</v>
      </c>
      <c r="AM255" s="50" t="str">
        <f t="shared" si="214"/>
        <v>1-0.0299009481909298i</v>
      </c>
      <c r="AN255" s="50">
        <f t="shared" si="234"/>
        <v>1.000446933476592</v>
      </c>
      <c r="AO255" s="50">
        <f t="shared" si="235"/>
        <v>-2.9892041820789507E-2</v>
      </c>
      <c r="AP255" s="59" t="str">
        <f t="shared" si="236"/>
        <v>1.25364344771044-10.8534174506346i</v>
      </c>
      <c r="AQ255" s="50">
        <f t="shared" si="237"/>
        <v>20.768889806553883</v>
      </c>
      <c r="AR255" s="62">
        <f t="shared" si="238"/>
        <v>-83.411147127979291</v>
      </c>
      <c r="AS255" s="32" t="str">
        <f t="shared" si="215"/>
        <v>-0.0000166666666666667</v>
      </c>
      <c r="AT255" s="32" t="str">
        <f t="shared" si="216"/>
        <v>0.0000500793617668895i</v>
      </c>
      <c r="AU255" s="32">
        <f t="shared" si="239"/>
        <v>5.0079361766889502E-5</v>
      </c>
      <c r="AV255" s="32">
        <f t="shared" si="240"/>
        <v>1.5707963267948966</v>
      </c>
      <c r="AW255" s="32" t="str">
        <f t="shared" si="217"/>
        <v>1+0.0508938012143097i</v>
      </c>
      <c r="AX255" s="32">
        <f t="shared" si="241"/>
        <v>1.0012942519569568</v>
      </c>
      <c r="AY255" s="32">
        <f t="shared" si="242"/>
        <v>5.0849928026052746E-2</v>
      </c>
      <c r="AZ255" s="32" t="str">
        <f t="shared" si="218"/>
        <v>1+1.73038924128653i</v>
      </c>
      <c r="BA255" s="32">
        <f t="shared" si="243"/>
        <v>1.9985612140638009</v>
      </c>
      <c r="BB255" s="32">
        <f t="shared" si="244"/>
        <v>1.0467818605691335</v>
      </c>
      <c r="BC255" s="59" t="str">
        <f t="shared" si="245"/>
        <v>-0.55750061030377+0.361178418566262i</v>
      </c>
      <c r="BD255" s="50">
        <f t="shared" si="246"/>
        <v>-3.5530860801119282</v>
      </c>
      <c r="BE255" s="62">
        <f t="shared" si="247"/>
        <v>147.06269641702639</v>
      </c>
      <c r="BF255" s="59" t="str">
        <f t="shared" si="248"/>
        <v>1.34237409279829+2.16331781639902i</v>
      </c>
      <c r="BG255" s="65">
        <f t="shared" si="249"/>
        <v>8.1170314269408834</v>
      </c>
      <c r="BH255" s="62">
        <f t="shared" si="250"/>
        <v>58.179721748607584</v>
      </c>
      <c r="BI255" s="59" t="str">
        <f t="shared" si="255"/>
        <v>3.22111316365778+6.50357581050039i</v>
      </c>
      <c r="BJ255" s="65">
        <f t="shared" si="251"/>
        <v>17.215803726441955</v>
      </c>
      <c r="BK255" s="62">
        <f t="shared" si="256"/>
        <v>63.651549289047132</v>
      </c>
      <c r="BL255" s="50">
        <f t="shared" si="252"/>
        <v>8.1170314269408834</v>
      </c>
      <c r="BM255" s="62">
        <f t="shared" si="253"/>
        <v>58.179721748607584</v>
      </c>
    </row>
    <row r="256" spans="14:65" x14ac:dyDescent="0.3">
      <c r="N256" s="11">
        <v>38</v>
      </c>
      <c r="O256" s="51">
        <f t="shared" si="254"/>
        <v>2398.8329190194918</v>
      </c>
      <c r="P256" s="49" t="str">
        <f t="shared" si="206"/>
        <v>27.9103246607183</v>
      </c>
      <c r="Q256" s="18" t="str">
        <f t="shared" si="207"/>
        <v>1+7.40384681277983i</v>
      </c>
      <c r="R256" s="18">
        <f t="shared" si="219"/>
        <v>7.4710740611447584</v>
      </c>
      <c r="S256" s="18">
        <f t="shared" si="220"/>
        <v>1.4365438383913078</v>
      </c>
      <c r="T256" s="18" t="str">
        <f t="shared" si="208"/>
        <v>1+0.00663181717051129i</v>
      </c>
      <c r="U256" s="18">
        <f t="shared" si="221"/>
        <v>1.0000219902577059</v>
      </c>
      <c r="V256" s="18">
        <f t="shared" si="222"/>
        <v>6.6317199484287543E-3</v>
      </c>
      <c r="W256" s="32" t="str">
        <f t="shared" si="209"/>
        <v>1-0.0874566237413103i</v>
      </c>
      <c r="X256" s="18">
        <f t="shared" si="223"/>
        <v>1.0038170455995601</v>
      </c>
      <c r="Y256" s="18">
        <f t="shared" si="224"/>
        <v>-8.7234666104821848E-2</v>
      </c>
      <c r="Z256" s="32" t="str">
        <f t="shared" si="210"/>
        <v>0.999881107450963+0.0399930090215491i</v>
      </c>
      <c r="AA256" s="18">
        <f t="shared" si="225"/>
        <v>1.0006806032935593</v>
      </c>
      <c r="AB256" s="18">
        <f t="shared" si="226"/>
        <v>3.997645515196583E-2</v>
      </c>
      <c r="AC256" s="67" t="str">
        <f t="shared" si="227"/>
        <v>0.0512393402515271-3.74722597270447i</v>
      </c>
      <c r="AD256" s="65">
        <f t="shared" si="228"/>
        <v>11.475009624746413</v>
      </c>
      <c r="AE256" s="62">
        <f t="shared" si="229"/>
        <v>-89.21658981652854</v>
      </c>
      <c r="AF256" s="50" t="str">
        <f t="shared" si="211"/>
        <v>79.1527877025864</v>
      </c>
      <c r="AG256" s="50" t="str">
        <f t="shared" si="212"/>
        <v>1+7.3460128657971i</v>
      </c>
      <c r="AH256" s="50">
        <f t="shared" si="230"/>
        <v>7.4137645649465105</v>
      </c>
      <c r="AI256" s="50">
        <f t="shared" si="231"/>
        <v>1.4354996927507588</v>
      </c>
      <c r="AJ256" s="50" t="str">
        <f t="shared" si="213"/>
        <v>1+0.00663181717051129i</v>
      </c>
      <c r="AK256" s="50">
        <f t="shared" si="232"/>
        <v>1.0000219902577059</v>
      </c>
      <c r="AL256" s="50">
        <f t="shared" si="233"/>
        <v>6.6317199484287543E-3</v>
      </c>
      <c r="AM256" s="50" t="str">
        <f t="shared" si="214"/>
        <v>1-0.0305974307463283i</v>
      </c>
      <c r="AN256" s="50">
        <f t="shared" si="234"/>
        <v>1.0004679918759403</v>
      </c>
      <c r="AO256" s="50">
        <f t="shared" si="235"/>
        <v>-3.0587887639869013E-2</v>
      </c>
      <c r="AP256" s="59" t="str">
        <f t="shared" si="236"/>
        <v>1.18684918406586-10.6155544994374i</v>
      </c>
      <c r="AQ256" s="50">
        <f t="shared" si="237"/>
        <v>20.572803472730609</v>
      </c>
      <c r="AR256" s="62">
        <f t="shared" si="238"/>
        <v>-83.620661188972036</v>
      </c>
      <c r="AS256" s="32" t="str">
        <f t="shared" si="215"/>
        <v>-0.0000166666666666667</v>
      </c>
      <c r="AT256" s="32" t="str">
        <f t="shared" si="216"/>
        <v>0.0000512458599539508i</v>
      </c>
      <c r="AU256" s="32">
        <f t="shared" si="239"/>
        <v>5.1245859953950797E-5</v>
      </c>
      <c r="AV256" s="32">
        <f t="shared" si="240"/>
        <v>1.5707963267948966</v>
      </c>
      <c r="AW256" s="32" t="str">
        <f t="shared" si="217"/>
        <v>1+0.0520792701331327i</v>
      </c>
      <c r="AX256" s="32">
        <f t="shared" si="241"/>
        <v>1.0013552068959346</v>
      </c>
      <c r="AY256" s="32">
        <f t="shared" si="242"/>
        <v>5.2032262600477754E-2</v>
      </c>
      <c r="AZ256" s="32" t="str">
        <f t="shared" si="218"/>
        <v>1+1.77069518452651i</v>
      </c>
      <c r="BA256" s="32">
        <f t="shared" si="243"/>
        <v>2.0335588106827327</v>
      </c>
      <c r="BB256" s="32">
        <f t="shared" si="244"/>
        <v>1.0566993561745228</v>
      </c>
      <c r="BC256" s="59" t="str">
        <f t="shared" si="245"/>
        <v>-0.557432739519951+0.354260214746897i</v>
      </c>
      <c r="BD256" s="50">
        <f t="shared" si="246"/>
        <v>-3.6028291891590909</v>
      </c>
      <c r="BE256" s="62">
        <f t="shared" si="247"/>
        <v>147.56318427746777</v>
      </c>
      <c r="BF256" s="59" t="str">
        <f t="shared" si="248"/>
        <v>1.29893059198783+2.10697849924596i</v>
      </c>
      <c r="BG256" s="65">
        <f t="shared" si="249"/>
        <v>7.872180435587314</v>
      </c>
      <c r="BH256" s="62">
        <f t="shared" si="250"/>
        <v>58.346594460939258</v>
      </c>
      <c r="BI256" s="59" t="str">
        <f t="shared" si="255"/>
        <v>3.09908002455723+6.33791107296408i</v>
      </c>
      <c r="BJ256" s="65">
        <f t="shared" si="251"/>
        <v>16.969974283571517</v>
      </c>
      <c r="BK256" s="62">
        <f t="shared" si="256"/>
        <v>63.942523088495733</v>
      </c>
      <c r="BL256" s="50">
        <f t="shared" si="252"/>
        <v>7.872180435587314</v>
      </c>
      <c r="BM256" s="62">
        <f t="shared" si="253"/>
        <v>58.346594460939258</v>
      </c>
    </row>
    <row r="257" spans="14:65" x14ac:dyDescent="0.3">
      <c r="N257" s="11">
        <v>39</v>
      </c>
      <c r="O257" s="51">
        <f t="shared" si="254"/>
        <v>2454.7089156850338</v>
      </c>
      <c r="P257" s="49" t="str">
        <f t="shared" si="206"/>
        <v>27.9103246607183</v>
      </c>
      <c r="Q257" s="18" t="str">
        <f t="shared" si="207"/>
        <v>1+7.57630455943778i</v>
      </c>
      <c r="R257" s="18">
        <f t="shared" si="219"/>
        <v>7.6420148375515264</v>
      </c>
      <c r="S257" s="18">
        <f t="shared" si="220"/>
        <v>1.4395644330459838</v>
      </c>
      <c r="T257" s="18" t="str">
        <f t="shared" si="208"/>
        <v>1+0.00678629203667136i</v>
      </c>
      <c r="U257" s="18">
        <f t="shared" si="221"/>
        <v>1.000023026614691</v>
      </c>
      <c r="V257" s="18">
        <f t="shared" si="222"/>
        <v>6.7861878614625809E-3</v>
      </c>
      <c r="W257" s="32" t="str">
        <f t="shared" si="209"/>
        <v>1-0.0894937502030173i</v>
      </c>
      <c r="X257" s="18">
        <f t="shared" si="223"/>
        <v>1.0039965793394916</v>
      </c>
      <c r="Y257" s="18">
        <f t="shared" si="224"/>
        <v>-8.9255969412529293E-2</v>
      </c>
      <c r="Z257" s="32" t="str">
        <f t="shared" si="210"/>
        <v>0.999875504217753+0.0409245658719721i</v>
      </c>
      <c r="AA257" s="18">
        <f t="shared" si="225"/>
        <v>1.0007126680653717</v>
      </c>
      <c r="AB257" s="18">
        <f t="shared" si="226"/>
        <v>4.090682875761463E-2</v>
      </c>
      <c r="AC257" s="67" t="str">
        <f t="shared" si="227"/>
        <v>0.0287837412119873-3.66417703325212i</v>
      </c>
      <c r="AD257" s="65">
        <f t="shared" si="228"/>
        <v>11.279796951590049</v>
      </c>
      <c r="AE257" s="62">
        <f t="shared" si="229"/>
        <v>-89.549925411995716</v>
      </c>
      <c r="AF257" s="50" t="str">
        <f t="shared" si="211"/>
        <v>79.1527877025864</v>
      </c>
      <c r="AG257" s="50" t="str">
        <f t="shared" si="212"/>
        <v>1+7.51712348677441i</v>
      </c>
      <c r="AH257" s="50">
        <f t="shared" si="230"/>
        <v>7.5833465907484054</v>
      </c>
      <c r="AI257" s="50">
        <f t="shared" si="231"/>
        <v>1.4385432252397885</v>
      </c>
      <c r="AJ257" s="50" t="str">
        <f t="shared" si="213"/>
        <v>1+0.00678629203667136i</v>
      </c>
      <c r="AK257" s="50">
        <f t="shared" si="232"/>
        <v>1.000023026614691</v>
      </c>
      <c r="AL257" s="50">
        <f t="shared" si="233"/>
        <v>6.7861878614625809E-3</v>
      </c>
      <c r="AM257" s="50" t="str">
        <f t="shared" si="214"/>
        <v>1-0.0313101364645133i</v>
      </c>
      <c r="AN257" s="50">
        <f t="shared" si="234"/>
        <v>1.0004900422520089</v>
      </c>
      <c r="AO257" s="50">
        <f t="shared" si="235"/>
        <v>-3.1299911112196113E-2</v>
      </c>
      <c r="AP257" s="59" t="str">
        <f t="shared" si="236"/>
        <v>1.12295414203463-10.3825156073074i</v>
      </c>
      <c r="AQ257" s="50">
        <f t="shared" si="237"/>
        <v>20.376561604233608</v>
      </c>
      <c r="AR257" s="62">
        <f t="shared" si="238"/>
        <v>-83.826988335796017</v>
      </c>
      <c r="AS257" s="32" t="str">
        <f t="shared" si="215"/>
        <v>-0.0000166666666666667</v>
      </c>
      <c r="AT257" s="32" t="str">
        <f t="shared" si="216"/>
        <v>0.0000524395293742788i</v>
      </c>
      <c r="AU257" s="32">
        <f t="shared" si="239"/>
        <v>5.2439529374278798E-5</v>
      </c>
      <c r="AV257" s="32">
        <f t="shared" si="240"/>
        <v>1.5707963267948966</v>
      </c>
      <c r="AW257" s="32" t="str">
        <f t="shared" si="217"/>
        <v>1+0.0532923521703309i</v>
      </c>
      <c r="AX257" s="32">
        <f t="shared" si="241"/>
        <v>1.0014190305760353</v>
      </c>
      <c r="AY257" s="32">
        <f t="shared" si="242"/>
        <v>5.3241986545657781E-2</v>
      </c>
      <c r="AZ257" s="32" t="str">
        <f t="shared" si="218"/>
        <v>1+1.81193997379125i</v>
      </c>
      <c r="BA257" s="32">
        <f t="shared" si="243"/>
        <v>2.0695715664413821</v>
      </c>
      <c r="BB257" s="32">
        <f t="shared" si="244"/>
        <v>1.0664996445530306</v>
      </c>
      <c r="BC257" s="59" t="str">
        <f t="shared" si="245"/>
        <v>-0.557361687794294+0.347529512071174i</v>
      </c>
      <c r="BD257" s="50">
        <f t="shared" si="246"/>
        <v>-3.6509085410114572</v>
      </c>
      <c r="BE257" s="62">
        <f t="shared" si="247"/>
        <v>148.05538736313258</v>
      </c>
      <c r="BF257" s="59" t="str">
        <f t="shared" si="248"/>
        <v>1.25736670192556+2.05227509516948i</v>
      </c>
      <c r="BG257" s="65">
        <f t="shared" si="249"/>
        <v>7.6288884105785968</v>
      </c>
      <c r="BH257" s="62">
        <f t="shared" si="250"/>
        <v>58.505461951136994</v>
      </c>
      <c r="BI257" s="59" t="str">
        <f t="shared" si="255"/>
        <v>2.98233896715888+6.17707612749905i</v>
      </c>
      <c r="BJ257" s="65">
        <f t="shared" si="251"/>
        <v>16.725653063222154</v>
      </c>
      <c r="BK257" s="62">
        <f t="shared" si="256"/>
        <v>64.228399027336522</v>
      </c>
      <c r="BL257" s="50">
        <f t="shared" si="252"/>
        <v>7.6288884105785968</v>
      </c>
      <c r="BM257" s="62">
        <f t="shared" si="253"/>
        <v>58.505461951136994</v>
      </c>
    </row>
    <row r="258" spans="14:65" x14ac:dyDescent="0.3">
      <c r="N258" s="11">
        <v>40</v>
      </c>
      <c r="O258" s="51">
        <f t="shared" si="254"/>
        <v>2511.8864315095811</v>
      </c>
      <c r="P258" s="49" t="str">
        <f t="shared" si="206"/>
        <v>27.9103246607183</v>
      </c>
      <c r="Q258" s="18" t="str">
        <f t="shared" si="207"/>
        <v>1+7.75277936305744i</v>
      </c>
      <c r="R258" s="18">
        <f t="shared" si="219"/>
        <v>7.8170063228994078</v>
      </c>
      <c r="S258" s="18">
        <f t="shared" si="220"/>
        <v>1.4425185997513748</v>
      </c>
      <c r="T258" s="18" t="str">
        <f t="shared" si="208"/>
        <v>1+0.00694436508469652i</v>
      </c>
      <c r="U258" s="18">
        <f t="shared" si="221"/>
        <v>1.000024111812525</v>
      </c>
      <c r="V258" s="18">
        <f t="shared" si="222"/>
        <v>6.9442534590945472E-3</v>
      </c>
      <c r="W258" s="32" t="str">
        <f t="shared" si="209"/>
        <v>1-0.0915783274356722i</v>
      </c>
      <c r="X258" s="18">
        <f t="shared" si="223"/>
        <v>1.0041845398411167</v>
      </c>
      <c r="Y258" s="18">
        <f t="shared" si="224"/>
        <v>-9.1323598035588746E-2</v>
      </c>
      <c r="Z258" s="32" t="str">
        <f t="shared" si="210"/>
        <v>0.999869636912297+0.0418778214689213i</v>
      </c>
      <c r="AA258" s="18">
        <f t="shared" si="225"/>
        <v>1.0007462429357961</v>
      </c>
      <c r="AB258" s="18">
        <f t="shared" si="226"/>
        <v>4.1858816567417592E-2</v>
      </c>
      <c r="AC258" s="67" t="str">
        <f t="shared" si="227"/>
        <v>0.00730738349948305-3.5828081693207i</v>
      </c>
      <c r="AD258" s="65">
        <f t="shared" si="228"/>
        <v>11.084489181876018</v>
      </c>
      <c r="AE258" s="62">
        <f t="shared" si="229"/>
        <v>-89.883141481913526</v>
      </c>
      <c r="AF258" s="50" t="str">
        <f t="shared" si="211"/>
        <v>79.1527877025864</v>
      </c>
      <c r="AG258" s="50" t="str">
        <f t="shared" si="212"/>
        <v>1+7.69221978612536i</v>
      </c>
      <c r="AH258" s="50">
        <f t="shared" si="230"/>
        <v>7.7569481910129108</v>
      </c>
      <c r="AI258" s="50">
        <f t="shared" si="231"/>
        <v>1.4415198618054843</v>
      </c>
      <c r="AJ258" s="50" t="str">
        <f t="shared" si="213"/>
        <v>1+0.00694436508469652i</v>
      </c>
      <c r="AK258" s="50">
        <f t="shared" si="232"/>
        <v>1.000024111812525</v>
      </c>
      <c r="AL258" s="50">
        <f t="shared" si="233"/>
        <v>6.9442534590945472E-3</v>
      </c>
      <c r="AM258" s="50" t="str">
        <f t="shared" si="214"/>
        <v>1-0.0320394432314907i</v>
      </c>
      <c r="AN258" s="50">
        <f t="shared" si="234"/>
        <v>1.0005131313094215</v>
      </c>
      <c r="AO258" s="50">
        <f t="shared" si="235"/>
        <v>-3.2028486872550561E-2</v>
      </c>
      <c r="AP258" s="59" t="str">
        <f t="shared" si="236"/>
        <v>1.06183701103719-10.1542290588735i</v>
      </c>
      <c r="AQ258" s="50">
        <f t="shared" si="237"/>
        <v>20.180171773125231</v>
      </c>
      <c r="AR258" s="62">
        <f t="shared" si="238"/>
        <v>-84.030224872647992</v>
      </c>
      <c r="AS258" s="32" t="str">
        <f t="shared" si="215"/>
        <v>-0.0000166666666666667</v>
      </c>
      <c r="AT258" s="32" t="str">
        <f t="shared" si="216"/>
        <v>0.0000536610029272002i</v>
      </c>
      <c r="AU258" s="32">
        <f t="shared" si="239"/>
        <v>5.3661002927200203E-5</v>
      </c>
      <c r="AV258" s="32">
        <f t="shared" si="240"/>
        <v>1.5707963267948966</v>
      </c>
      <c r="AW258" s="32" t="str">
        <f t="shared" si="217"/>
        <v>1+0.0545336905180579i</v>
      </c>
      <c r="AX258" s="32">
        <f t="shared" si="241"/>
        <v>1.001485857814038</v>
      </c>
      <c r="AY258" s="32">
        <f t="shared" si="242"/>
        <v>5.4479727102418656E-2</v>
      </c>
      <c r="AZ258" s="32" t="str">
        <f t="shared" si="218"/>
        <v>1+1.85414547761397i</v>
      </c>
      <c r="BA258" s="32">
        <f t="shared" si="243"/>
        <v>2.1066218104245333</v>
      </c>
      <c r="BB258" s="32">
        <f t="shared" si="244"/>
        <v>1.076180391038043</v>
      </c>
      <c r="BC258" s="59" t="str">
        <f t="shared" si="245"/>
        <v>-0.557287306914799+0.340982718200999i</v>
      </c>
      <c r="BD258" s="50">
        <f t="shared" si="246"/>
        <v>-3.6973656091132758</v>
      </c>
      <c r="BE258" s="62">
        <f t="shared" si="247"/>
        <v>148.53913596922533</v>
      </c>
      <c r="BF258" s="59" t="str">
        <f t="shared" si="248"/>
        <v>1.2176033562967+1.99914520736166i</v>
      </c>
      <c r="BG258" s="65">
        <f t="shared" si="249"/>
        <v>7.3871235727627305</v>
      </c>
      <c r="BH258" s="62">
        <f t="shared" si="250"/>
        <v>58.655994487311688</v>
      </c>
      <c r="BI258" s="59" t="str">
        <f t="shared" si="255"/>
        <v>2.87066833746688+6.02089103632549i</v>
      </c>
      <c r="BJ258" s="65">
        <f t="shared" si="251"/>
        <v>16.482806164011954</v>
      </c>
      <c r="BK258" s="62">
        <f t="shared" si="256"/>
        <v>64.508911096577364</v>
      </c>
      <c r="BL258" s="50">
        <f t="shared" si="252"/>
        <v>7.3871235727627305</v>
      </c>
      <c r="BM258" s="62">
        <f t="shared" si="253"/>
        <v>58.655994487311688</v>
      </c>
    </row>
    <row r="259" spans="14:65" x14ac:dyDescent="0.3">
      <c r="N259" s="11">
        <v>41</v>
      </c>
      <c r="O259" s="51">
        <f t="shared" si="254"/>
        <v>2570.3957827688669</v>
      </c>
      <c r="P259" s="49" t="str">
        <f t="shared" si="206"/>
        <v>27.9103246607183</v>
      </c>
      <c r="Q259" s="18" t="str">
        <f t="shared" si="207"/>
        <v>1+7.9333647929155i</v>
      </c>
      <c r="R259" s="18">
        <f t="shared" si="219"/>
        <v>7.996141378031731</v>
      </c>
      <c r="S259" s="18">
        <f t="shared" si="220"/>
        <v>1.4454076984857978</v>
      </c>
      <c r="T259" s="18" t="str">
        <f t="shared" si="208"/>
        <v>1+0.00710612012700908i</v>
      </c>
      <c r="U259" s="18">
        <f t="shared" si="221"/>
        <v>1.0000252481528951</v>
      </c>
      <c r="V259" s="18">
        <f t="shared" si="222"/>
        <v>7.1060005181847038E-3</v>
      </c>
      <c r="W259" s="32" t="str">
        <f t="shared" si="209"/>
        <v>1-0.0937114607097155i</v>
      </c>
      <c r="X259" s="18">
        <f t="shared" si="223"/>
        <v>1.0043813209475516</v>
      </c>
      <c r="Y259" s="18">
        <f t="shared" si="224"/>
        <v>-9.3438577504594375E-2</v>
      </c>
      <c r="Z259" s="32" t="str">
        <f t="shared" si="210"/>
        <v>0.999863493089255+0.0428532812411316i</v>
      </c>
      <c r="AA259" s="18">
        <f t="shared" si="225"/>
        <v>1.0007813989707135</v>
      </c>
      <c r="AB259" s="18">
        <f t="shared" si="226"/>
        <v>4.2832917973748663E-2</v>
      </c>
      <c r="AC259" s="67" t="str">
        <f t="shared" si="227"/>
        <v>-0.0132307788628104-3.5030932182667i</v>
      </c>
      <c r="AD259" s="65">
        <f t="shared" si="228"/>
        <v>10.889095834369723</v>
      </c>
      <c r="AE259" s="62">
        <f t="shared" si="229"/>
        <v>-90.21639851888942</v>
      </c>
      <c r="AF259" s="50" t="str">
        <f t="shared" si="211"/>
        <v>79.1527877025864</v>
      </c>
      <c r="AG259" s="50" t="str">
        <f t="shared" si="212"/>
        <v>1+7.87139460222542i</v>
      </c>
      <c r="AH259" s="50">
        <f t="shared" si="230"/>
        <v>7.9346614914527693</v>
      </c>
      <c r="AI259" s="50">
        <f t="shared" si="231"/>
        <v>1.4444309695953943</v>
      </c>
      <c r="AJ259" s="50" t="str">
        <f t="shared" si="213"/>
        <v>1+0.00710612012700908i</v>
      </c>
      <c r="AK259" s="50">
        <f t="shared" si="232"/>
        <v>1.0000252481528951</v>
      </c>
      <c r="AL259" s="50">
        <f t="shared" si="233"/>
        <v>7.1060005181847038E-3</v>
      </c>
      <c r="AM259" s="50" t="str">
        <f t="shared" si="214"/>
        <v>1-0.0327857377353614i</v>
      </c>
      <c r="AN259" s="50">
        <f t="shared" si="234"/>
        <v>1.0005373079495097</v>
      </c>
      <c r="AO259" s="50">
        <f t="shared" si="235"/>
        <v>-3.2773998125718531E-2</v>
      </c>
      <c r="AP259" s="59" t="str">
        <f t="shared" si="236"/>
        <v>1.00338116332749-9.93062239382818i</v>
      </c>
      <c r="AQ259" s="50">
        <f t="shared" si="237"/>
        <v>19.983641271773994</v>
      </c>
      <c r="AR259" s="62">
        <f t="shared" si="238"/>
        <v>-84.23046628726901</v>
      </c>
      <c r="AS259" s="32" t="str">
        <f t="shared" si="215"/>
        <v>-0.0000166666666666667</v>
      </c>
      <c r="AT259" s="32" t="str">
        <f t="shared" si="216"/>
        <v>0.000054910928254161i</v>
      </c>
      <c r="AU259" s="32">
        <f t="shared" si="239"/>
        <v>5.4910928254160997E-5</v>
      </c>
      <c r="AV259" s="32">
        <f t="shared" si="240"/>
        <v>1.5707963267948966</v>
      </c>
      <c r="AW259" s="32" t="str">
        <f t="shared" si="217"/>
        <v>1+0.0558039433503359i</v>
      </c>
      <c r="AX259" s="32">
        <f t="shared" si="241"/>
        <v>1.0015558297436282</v>
      </c>
      <c r="AY259" s="32">
        <f t="shared" si="242"/>
        <v>5.5746125358822479E-2</v>
      </c>
      <c r="AZ259" s="32" t="str">
        <f t="shared" si="218"/>
        <v>1+1.89733407391142i</v>
      </c>
      <c r="BA259" s="32">
        <f t="shared" si="243"/>
        <v>2.1447322881948008</v>
      </c>
      <c r="BB259" s="32">
        <f t="shared" si="244"/>
        <v>1.0857394697293528</v>
      </c>
      <c r="BC259" s="59" t="str">
        <f t="shared" si="245"/>
        <v>-0.557209441847463+0.334616336635672i</v>
      </c>
      <c r="BD259" s="50">
        <f t="shared" si="246"/>
        <v>-3.7422421797292085</v>
      </c>
      <c r="BE259" s="62">
        <f t="shared" si="247"/>
        <v>149.0142715589962</v>
      </c>
      <c r="BF259" s="59" t="str">
        <f t="shared" si="248"/>
        <v>1.17956453449502+1.94752938213611i</v>
      </c>
      <c r="BG259" s="65">
        <f t="shared" si="249"/>
        <v>7.1468536546405073</v>
      </c>
      <c r="BH259" s="62">
        <f t="shared" si="250"/>
        <v>58.797873040106829</v>
      </c>
      <c r="BI259" s="59" t="str">
        <f t="shared" si="255"/>
        <v>2.76385502795698+5.8691842903848i</v>
      </c>
      <c r="BJ259" s="65">
        <f t="shared" si="251"/>
        <v>16.24139909204478</v>
      </c>
      <c r="BK259" s="62">
        <f t="shared" si="256"/>
        <v>64.783805271727203</v>
      </c>
      <c r="BL259" s="50">
        <f t="shared" si="252"/>
        <v>7.1468536546405073</v>
      </c>
      <c r="BM259" s="62">
        <f t="shared" si="253"/>
        <v>58.797873040106829</v>
      </c>
    </row>
    <row r="260" spans="14:65" x14ac:dyDescent="0.3">
      <c r="N260" s="11">
        <v>42</v>
      </c>
      <c r="O260" s="51">
        <f t="shared" si="254"/>
        <v>2630.2679918953822</v>
      </c>
      <c r="P260" s="49" t="str">
        <f t="shared" si="206"/>
        <v>27.9103246607183</v>
      </c>
      <c r="Q260" s="18" t="str">
        <f t="shared" si="207"/>
        <v>1+8.11815659779728i</v>
      </c>
      <c r="R260" s="18">
        <f t="shared" si="219"/>
        <v>8.17951505569612</v>
      </c>
      <c r="S260" s="18">
        <f t="shared" si="220"/>
        <v>1.4482330680649214</v>
      </c>
      <c r="T260" s="18" t="str">
        <f t="shared" si="208"/>
        <v>1+0.0072716429282736i</v>
      </c>
      <c r="U260" s="18">
        <f t="shared" si="221"/>
        <v>1.0000264380459529</v>
      </c>
      <c r="V260" s="18">
        <f t="shared" si="222"/>
        <v>7.2715147652922026E-3</v>
      </c>
      <c r="W260" s="32" t="str">
        <f t="shared" si="209"/>
        <v>1-0.095894281040645i</v>
      </c>
      <c r="X260" s="18">
        <f t="shared" si="223"/>
        <v>1.0045873347481056</v>
      </c>
      <c r="Y260" s="18">
        <f t="shared" si="224"/>
        <v>-9.5601953483106517E-2</v>
      </c>
      <c r="Z260" s="32" t="str">
        <f t="shared" si="210"/>
        <v>0.999857059716752+0.0438514623902862i</v>
      </c>
      <c r="AA260" s="18">
        <f t="shared" si="225"/>
        <v>1.0008182105753247</v>
      </c>
      <c r="AB260" s="18">
        <f t="shared" si="226"/>
        <v>4.3829643711438111E-2</v>
      </c>
      <c r="AC260" s="67" t="str">
        <f t="shared" si="227"/>
        <v>-0.0328701861551356-3.42500582222664i</v>
      </c>
      <c r="AD260" s="65">
        <f t="shared" si="228"/>
        <v>10.69362626899923</v>
      </c>
      <c r="AE260" s="62">
        <f t="shared" si="229"/>
        <v>-90.549857494699694</v>
      </c>
      <c r="AF260" s="50" t="str">
        <f t="shared" si="211"/>
        <v>79.1527877025864</v>
      </c>
      <c r="AG260" s="50" t="str">
        <f t="shared" si="212"/>
        <v>1+8.05474293593381i</v>
      </c>
      <c r="AH260" s="50">
        <f t="shared" si="230"/>
        <v>8.1165807926722202</v>
      </c>
      <c r="AI260" s="50">
        <f t="shared" si="231"/>
        <v>1.4472778946497931</v>
      </c>
      <c r="AJ260" s="50" t="str">
        <f t="shared" si="213"/>
        <v>1+0.0072716429282736i</v>
      </c>
      <c r="AK260" s="50">
        <f t="shared" si="232"/>
        <v>1.0000264380459529</v>
      </c>
      <c r="AL260" s="50">
        <f t="shared" si="233"/>
        <v>7.2715147652922026E-3</v>
      </c>
      <c r="AM260" s="50" t="str">
        <f t="shared" si="214"/>
        <v>1-0.03354941567135i</v>
      </c>
      <c r="AN260" s="50">
        <f t="shared" si="234"/>
        <v>1.0005626233734144</v>
      </c>
      <c r="AO260" s="50">
        <f t="shared" si="235"/>
        <v>-3.3536836834975763E-2</v>
      </c>
      <c r="AP260" s="59" t="str">
        <f t="shared" si="236"/>
        <v>0.947474507798386-9.71162256589595i</v>
      </c>
      <c r="AQ260" s="50">
        <f t="shared" si="237"/>
        <v>19.78697712539438</v>
      </c>
      <c r="AR260" s="62">
        <f t="shared" si="238"/>
        <v>-84.427807248157208</v>
      </c>
      <c r="AS260" s="32" t="str">
        <f t="shared" si="215"/>
        <v>-0.0000166666666666667</v>
      </c>
      <c r="AT260" s="32" t="str">
        <f t="shared" si="216"/>
        <v>0.0000561899680821142i</v>
      </c>
      <c r="AU260" s="32">
        <f t="shared" si="239"/>
        <v>5.6189968082114201E-5</v>
      </c>
      <c r="AV260" s="32">
        <f t="shared" si="240"/>
        <v>1.5707963267948966</v>
      </c>
      <c r="AW260" s="32" t="str">
        <f t="shared" si="217"/>
        <v>1+0.0571037841720308i</v>
      </c>
      <c r="AX260" s="32">
        <f t="shared" si="241"/>
        <v>1.001629094109574</v>
      </c>
      <c r="AY260" s="32">
        <f t="shared" si="242"/>
        <v>5.7041836518746884E-2</v>
      </c>
      <c r="AZ260" s="32" t="str">
        <f t="shared" si="218"/>
        <v>1+1.94152866184905i</v>
      </c>
      <c r="BA260" s="32">
        <f t="shared" si="243"/>
        <v>2.183926176586874</v>
      </c>
      <c r="BB260" s="32">
        <f t="shared" si="244"/>
        <v>1.0951749603945302</v>
      </c>
      <c r="BC260" s="59" t="str">
        <f t="shared" si="245"/>
        <v>-0.557127930430371+0.328426964740316i</v>
      </c>
      <c r="BD260" s="50">
        <f t="shared" si="246"/>
        <v>-3.7855802580144502</v>
      </c>
      <c r="BE260" s="62">
        <f t="shared" si="247"/>
        <v>149.4806465708142</v>
      </c>
      <c r="BF260" s="59" t="str">
        <f t="shared" si="248"/>
        <v>1.14317716519728+1.89737094997972i</v>
      </c>
      <c r="BG260" s="65">
        <f t="shared" si="249"/>
        <v>6.9080460109847888</v>
      </c>
      <c r="BH260" s="62">
        <f t="shared" si="250"/>
        <v>58.930789076114465</v>
      </c>
      <c r="BI260" s="59" t="str">
        <f t="shared" si="255"/>
        <v>2.66169421035552+5.72179235802355i</v>
      </c>
      <c r="BJ260" s="65">
        <f t="shared" si="251"/>
        <v>16.001396867379931</v>
      </c>
      <c r="BK260" s="62">
        <f t="shared" si="256"/>
        <v>65.052839322656965</v>
      </c>
      <c r="BL260" s="50">
        <f t="shared" si="252"/>
        <v>6.9080460109847888</v>
      </c>
      <c r="BM260" s="62">
        <f t="shared" si="253"/>
        <v>58.930789076114465</v>
      </c>
    </row>
    <row r="261" spans="14:65" x14ac:dyDescent="0.3">
      <c r="N261" s="11">
        <v>43</v>
      </c>
      <c r="O261" s="51">
        <f t="shared" si="254"/>
        <v>2691.5348039269184</v>
      </c>
      <c r="P261" s="49" t="str">
        <f t="shared" si="206"/>
        <v>27.9103246607183</v>
      </c>
      <c r="Q261" s="18" t="str">
        <f t="shared" si="207"/>
        <v>1+8.30725275676374i</v>
      </c>
      <c r="R261" s="18">
        <f t="shared" si="219"/>
        <v>8.3672246512663175</v>
      </c>
      <c r="S261" s="18">
        <f t="shared" si="220"/>
        <v>1.4509960260077215</v>
      </c>
      <c r="T261" s="18" t="str">
        <f t="shared" si="208"/>
        <v>1+0.00744102125087029i</v>
      </c>
      <c r="U261" s="18">
        <f t="shared" si="221"/>
        <v>1.0000276840154256</v>
      </c>
      <c r="V261" s="18">
        <f t="shared" si="222"/>
        <v>7.4408839219668307E-3</v>
      </c>
      <c r="W261" s="32" t="str">
        <f t="shared" si="209"/>
        <v>1-0.0981279457886933i</v>
      </c>
      <c r="X261" s="18">
        <f t="shared" si="223"/>
        <v>1.0048030124082574</v>
      </c>
      <c r="Y261" s="18">
        <f t="shared" si="224"/>
        <v>-9.7814791976884863E-2</v>
      </c>
      <c r="Z261" s="32" t="str">
        <f t="shared" si="210"/>
        <v>0.999850323148745+0.044872894165243i</v>
      </c>
      <c r="AA261" s="18">
        <f t="shared" si="225"/>
        <v>1.0008567556505852</v>
      </c>
      <c r="AB261" s="18">
        <f t="shared" si="226"/>
        <v>4.4849516101359094E-2</v>
      </c>
      <c r="AC261" s="67" t="str">
        <f t="shared" si="227"/>
        <v>-0.0516487243745893-3.34851947943784i</v>
      </c>
      <c r="AD261" s="65">
        <f t="shared" si="228"/>
        <v>10.498089703383142</v>
      </c>
      <c r="AE261" s="62">
        <f t="shared" si="229"/>
        <v>-90.883679875959132</v>
      </c>
      <c r="AF261" s="50" t="str">
        <f t="shared" si="211"/>
        <v>79.1527877025864</v>
      </c>
      <c r="AG261" s="50" t="str">
        <f t="shared" si="212"/>
        <v>1+8.24236200096399i</v>
      </c>
      <c r="AH261" s="50">
        <f t="shared" si="230"/>
        <v>8.3028026204971965</v>
      </c>
      <c r="AI261" s="50">
        <f t="shared" si="231"/>
        <v>1.4500619617532495</v>
      </c>
      <c r="AJ261" s="50" t="str">
        <f t="shared" si="213"/>
        <v>1+0.00744102125087029i</v>
      </c>
      <c r="AK261" s="50">
        <f t="shared" si="232"/>
        <v>1.0000276840154256</v>
      </c>
      <c r="AL261" s="50">
        <f t="shared" si="233"/>
        <v>7.4408839219668307E-3</v>
      </c>
      <c r="AM261" s="50" t="str">
        <f t="shared" si="214"/>
        <v>1-0.0343308819516066i</v>
      </c>
      <c r="AN261" s="50">
        <f t="shared" si="234"/>
        <v>1.0005891311900081</v>
      </c>
      <c r="AO261" s="50">
        <f t="shared" si="235"/>
        <v>-3.4317403914166822E-2</v>
      </c>
      <c r="AP261" s="59" t="str">
        <f t="shared" si="236"/>
        <v>0.894009345158278-9.49715609043679i</v>
      </c>
      <c r="AQ261" s="50">
        <f t="shared" si="237"/>
        <v>19.590186104263957</v>
      </c>
      <c r="AR261" s="62">
        <f t="shared" si="238"/>
        <v>-84.622341604473831</v>
      </c>
      <c r="AS261" s="32" t="str">
        <f t="shared" si="215"/>
        <v>-0.0000166666666666667</v>
      </c>
      <c r="AT261" s="32" t="str">
        <f t="shared" si="216"/>
        <v>0.0000574988005749068i</v>
      </c>
      <c r="AU261" s="32">
        <f t="shared" si="239"/>
        <v>5.74988005749068E-5</v>
      </c>
      <c r="AV261" s="32">
        <f t="shared" si="240"/>
        <v>1.5707963267948966</v>
      </c>
      <c r="AW261" s="32" t="str">
        <f t="shared" si="217"/>
        <v>1+0.0584339021759519i</v>
      </c>
      <c r="AX261" s="32">
        <f t="shared" si="241"/>
        <v>1.0017058055754238</v>
      </c>
      <c r="AY261" s="32">
        <f t="shared" si="242"/>
        <v>5.8367530172930289E-2</v>
      </c>
      <c r="AZ261" s="32" t="str">
        <f t="shared" si="218"/>
        <v>1+1.98675267398237i</v>
      </c>
      <c r="BA261" s="32">
        <f t="shared" si="243"/>
        <v>2.2242270989213528</v>
      </c>
      <c r="BB261" s="32">
        <f t="shared" si="244"/>
        <v>1.1044851447681194</v>
      </c>
      <c r="BC261" s="59" t="str">
        <f t="shared" si="245"/>
        <v>-0.557042603054786+0.322411291815892i</v>
      </c>
      <c r="BD261" s="50">
        <f t="shared" si="246"/>
        <v>-3.8274219783803636</v>
      </c>
      <c r="BE261" s="62">
        <f t="shared" si="247"/>
        <v>149.93812419059756</v>
      </c>
      <c r="BF261" s="59" t="str">
        <f t="shared" si="248"/>
        <v>1.10837103090631+1.84861587525946i</v>
      </c>
      <c r="BG261" s="65">
        <f t="shared" si="249"/>
        <v>6.6706677250027813</v>
      </c>
      <c r="BH261" s="62">
        <f t="shared" si="250"/>
        <v>59.054444314638538</v>
      </c>
      <c r="BI261" s="59" t="str">
        <f t="shared" si="255"/>
        <v>2.56398907091262+5.57855925810249i</v>
      </c>
      <c r="BJ261" s="65">
        <f t="shared" si="251"/>
        <v>15.762764125883598</v>
      </c>
      <c r="BK261" s="62">
        <f t="shared" si="256"/>
        <v>65.315782586123774</v>
      </c>
      <c r="BL261" s="50">
        <f t="shared" si="252"/>
        <v>6.6706677250027813</v>
      </c>
      <c r="BM261" s="62">
        <f t="shared" si="253"/>
        <v>59.054444314638538</v>
      </c>
    </row>
    <row r="262" spans="14:65" x14ac:dyDescent="0.3">
      <c r="N262" s="11">
        <v>44</v>
      </c>
      <c r="O262" s="51">
        <f t="shared" si="254"/>
        <v>2754.228703338169</v>
      </c>
      <c r="P262" s="49" t="str">
        <f t="shared" si="206"/>
        <v>27.9103246607183</v>
      </c>
      <c r="Q262" s="18" t="str">
        <f t="shared" si="207"/>
        <v>1+8.50075353110133i</v>
      </c>
      <c r="R262" s="18">
        <f t="shared" si="219"/>
        <v>8.5593697546333249</v>
      </c>
      <c r="S262" s="18">
        <f t="shared" si="220"/>
        <v>1.4536978684426118</v>
      </c>
      <c r="T262" s="18" t="str">
        <f t="shared" si="208"/>
        <v>1+0.00761434490142776i</v>
      </c>
      <c r="U262" s="18">
        <f t="shared" si="221"/>
        <v>1.0000289887039664</v>
      </c>
      <c r="V262" s="18">
        <f t="shared" si="222"/>
        <v>7.6141977510869145E-3</v>
      </c>
      <c r="W262" s="32" t="str">
        <f t="shared" si="209"/>
        <v>1-0.100413639272476i</v>
      </c>
      <c r="X262" s="18">
        <f t="shared" si="223"/>
        <v>1.0050288050359268</v>
      </c>
      <c r="Y262" s="18">
        <f t="shared" si="224"/>
        <v>-0.1000781795304741</v>
      </c>
      <c r="Z262" s="32" t="str">
        <f t="shared" si="210"/>
        <v>0.999843269096068+0.0459181181426492i</v>
      </c>
      <c r="AA262" s="18">
        <f t="shared" si="225"/>
        <v>1.0008971157568967</v>
      </c>
      <c r="AB262" s="18">
        <f t="shared" si="226"/>
        <v>4.5893069298229956E-2</v>
      </c>
      <c r="AC262" s="67" t="str">
        <f t="shared" si="227"/>
        <v>-0.0696027759945624-3.27360759178551i</v>
      </c>
      <c r="AD262" s="65">
        <f t="shared" si="228"/>
        <v>10.302495229205732</v>
      </c>
      <c r="AE262" s="62">
        <f t="shared" si="229"/>
        <v>-91.218027641549043</v>
      </c>
      <c r="AF262" s="50" t="str">
        <f t="shared" si="211"/>
        <v>79.1527877025864</v>
      </c>
      <c r="AG262" s="50" t="str">
        <f t="shared" si="212"/>
        <v>1+8.43435127542765i</v>
      </c>
      <c r="AH262" s="50">
        <f t="shared" si="230"/>
        <v>8.493425777465065</v>
      </c>
      <c r="AI262" s="50">
        <f t="shared" si="231"/>
        <v>1.4527844743274168</v>
      </c>
      <c r="AJ262" s="50" t="str">
        <f t="shared" si="213"/>
        <v>1+0.00761434490142776i</v>
      </c>
      <c r="AK262" s="50">
        <f t="shared" si="232"/>
        <v>1.0000289887039664</v>
      </c>
      <c r="AL262" s="50">
        <f t="shared" si="233"/>
        <v>7.6141977510869145E-3</v>
      </c>
      <c r="AM262" s="50" t="str">
        <f t="shared" si="214"/>
        <v>1-0.0351305509198969i</v>
      </c>
      <c r="AN262" s="50">
        <f t="shared" si="234"/>
        <v>1.0006168875288561</v>
      </c>
      <c r="AO262" s="50">
        <f t="shared" si="235"/>
        <v>-3.5116109423412631E-2</v>
      </c>
      <c r="AP262" s="59" t="str">
        <f t="shared" si="236"/>
        <v>0.842882224817486-9.28714918128518i</v>
      </c>
      <c r="AQ262" s="50">
        <f t="shared" si="237"/>
        <v>19.393274735622835</v>
      </c>
      <c r="AR262" s="62">
        <f t="shared" si="238"/>
        <v>-84.814162388458726</v>
      </c>
      <c r="AS262" s="32" t="str">
        <f t="shared" si="215"/>
        <v>-0.0000166666666666667</v>
      </c>
      <c r="AT262" s="32" t="str">
        <f t="shared" si="216"/>
        <v>0.0000588381196928507i</v>
      </c>
      <c r="AU262" s="32">
        <f t="shared" si="239"/>
        <v>5.8838119692850698E-5</v>
      </c>
      <c r="AV262" s="32">
        <f t="shared" si="240"/>
        <v>1.5707963267948966</v>
      </c>
      <c r="AW262" s="32" t="str">
        <f t="shared" si="217"/>
        <v>1+0.0597950026082708i</v>
      </c>
      <c r="AX262" s="32">
        <f t="shared" si="241"/>
        <v>1.0017861260453367</v>
      </c>
      <c r="AY262" s="32">
        <f t="shared" si="242"/>
        <v>5.972389057228393E-2</v>
      </c>
      <c r="AZ262" s="32" t="str">
        <f t="shared" si="218"/>
        <v>1+2.03303008868121i</v>
      </c>
      <c r="BA262" s="32">
        <f t="shared" si="243"/>
        <v>2.2656591406218034</v>
      </c>
      <c r="BB262" s="32">
        <f t="shared" si="244"/>
        <v>1.1136685023038864</v>
      </c>
      <c r="BC262" s="59" t="str">
        <f t="shared" si="245"/>
        <v>-0.556953282332861+0.316566097209247i</v>
      </c>
      <c r="BD262" s="50">
        <f t="shared" si="246"/>
        <v>-3.8678095194073983</v>
      </c>
      <c r="BE262" s="62">
        <f t="shared" si="247"/>
        <v>150.38657809277501</v>
      </c>
      <c r="BF262" s="59" t="str">
        <f t="shared" si="248"/>
        <v>1.07507867367575+1.80121261416318i</v>
      </c>
      <c r="BG262" s="65">
        <f t="shared" si="249"/>
        <v>6.4346857097983161</v>
      </c>
      <c r="BH262" s="62">
        <f t="shared" si="250"/>
        <v>59.168550451225919</v>
      </c>
      <c r="BI262" s="59" t="str">
        <f t="shared" si="255"/>
        <v>2.47055054878738+5.43933615634924i</v>
      </c>
      <c r="BJ262" s="65">
        <f t="shared" si="251"/>
        <v>15.525465216215434</v>
      </c>
      <c r="BK262" s="62">
        <f t="shared" si="256"/>
        <v>65.572415704316271</v>
      </c>
      <c r="BL262" s="50">
        <f t="shared" si="252"/>
        <v>6.4346857097983161</v>
      </c>
      <c r="BM262" s="62">
        <f t="shared" si="253"/>
        <v>59.168550451225919</v>
      </c>
    </row>
    <row r="263" spans="14:65" x14ac:dyDescent="0.3">
      <c r="N263" s="11">
        <v>45</v>
      </c>
      <c r="O263" s="51">
        <f t="shared" si="254"/>
        <v>2818.3829312644561</v>
      </c>
      <c r="P263" s="49" t="str">
        <f t="shared" si="206"/>
        <v>27.9103246607183</v>
      </c>
      <c r="Q263" s="18" t="str">
        <f t="shared" si="207"/>
        <v>1+8.69876151748187i</v>
      </c>
      <c r="R263" s="18">
        <f t="shared" si="219"/>
        <v>8.7560523032941902</v>
      </c>
      <c r="S263" s="18">
        <f t="shared" si="220"/>
        <v>1.456339870050757</v>
      </c>
      <c r="T263" s="18" t="str">
        <f t="shared" si="208"/>
        <v>1+0.00779170577843971i</v>
      </c>
      <c r="U263" s="18">
        <f t="shared" si="221"/>
        <v>1.0000303548787597</v>
      </c>
      <c r="V263" s="18">
        <f t="shared" si="222"/>
        <v>7.7915481042672092E-3</v>
      </c>
      <c r="W263" s="32" t="str">
        <f t="shared" si="209"/>
        <v>1-0.102752573396932i</v>
      </c>
      <c r="X263" s="18">
        <f t="shared" si="223"/>
        <v>1.0052651845854863</v>
      </c>
      <c r="Y263" s="18">
        <f t="shared" si="224"/>
        <v>-0.10239322340971513</v>
      </c>
      <c r="Z263" s="32" t="str">
        <f t="shared" si="210"/>
        <v>0.999835882596131+0.0469876885140927i</v>
      </c>
      <c r="AA263" s="18">
        <f t="shared" si="225"/>
        <v>1.0009393762854379</v>
      </c>
      <c r="AB263" s="18">
        <f t="shared" si="226"/>
        <v>4.6960849542626193E-2</v>
      </c>
      <c r="AC263" s="67" t="str">
        <f t="shared" si="227"/>
        <v>-0.0867672699694964-3.20024350878176i</v>
      </c>
      <c r="AD263" s="65">
        <f t="shared" si="228"/>
        <v>10.106851828449813</v>
      </c>
      <c r="AE263" s="62">
        <f t="shared" si="229"/>
        <v>-91.553063301549628</v>
      </c>
      <c r="AF263" s="50" t="str">
        <f t="shared" si="211"/>
        <v>79.1527877025864</v>
      </c>
      <c r="AG263" s="50" t="str">
        <f t="shared" si="212"/>
        <v>1+8.63081255457935i</v>
      </c>
      <c r="AH263" s="50">
        <f t="shared" si="230"/>
        <v>8.6885513955022748</v>
      </c>
      <c r="AI263" s="50">
        <f t="shared" si="231"/>
        <v>1.455446714362008</v>
      </c>
      <c r="AJ263" s="50" t="str">
        <f t="shared" si="213"/>
        <v>1+0.00779170577843971i</v>
      </c>
      <c r="AK263" s="50">
        <f t="shared" si="232"/>
        <v>1.0000303548787597</v>
      </c>
      <c r="AL263" s="50">
        <f t="shared" si="233"/>
        <v>7.7915481042672092E-3</v>
      </c>
      <c r="AM263" s="50" t="str">
        <f t="shared" si="214"/>
        <v>1-0.0359488465712927i</v>
      </c>
      <c r="AN263" s="50">
        <f t="shared" si="234"/>
        <v>1.0006459511584536</v>
      </c>
      <c r="AO263" s="50">
        <f t="shared" si="235"/>
        <v>-3.593337276846871E-2</v>
      </c>
      <c r="AP263" s="59" t="str">
        <f t="shared" si="236"/>
        <v>0.79399380377949-9.08152787740677i</v>
      </c>
      <c r="AQ263" s="50">
        <f t="shared" si="237"/>
        <v>19.19624931526214</v>
      </c>
      <c r="AR263" s="62">
        <f t="shared" si="238"/>
        <v>-85.003361820181638</v>
      </c>
      <c r="AS263" s="32" t="str">
        <f t="shared" si="215"/>
        <v>-0.0000166666666666667</v>
      </c>
      <c r="AT263" s="32" t="str">
        <f t="shared" si="216"/>
        <v>0.0000602086355606703i</v>
      </c>
      <c r="AU263" s="32">
        <f t="shared" si="239"/>
        <v>6.0208635560670299E-5</v>
      </c>
      <c r="AV263" s="32">
        <f t="shared" si="240"/>
        <v>1.5707963267948966</v>
      </c>
      <c r="AW263" s="32" t="str">
        <f t="shared" si="217"/>
        <v>1+0.061187807142453i</v>
      </c>
      <c r="AX263" s="32">
        <f t="shared" si="241"/>
        <v>1.0018702250006744</v>
      </c>
      <c r="AY263" s="32">
        <f t="shared" si="242"/>
        <v>6.1111616903243696E-2</v>
      </c>
      <c r="AZ263" s="32" t="str">
        <f t="shared" si="218"/>
        <v>1+2.0803854428434i</v>
      </c>
      <c r="BA263" s="32">
        <f t="shared" si="243"/>
        <v>2.3082468652193011</v>
      </c>
      <c r="BB263" s="32">
        <f t="shared" si="244"/>
        <v>1.122723705435543</v>
      </c>
      <c r="BC263" s="59" t="str">
        <f t="shared" si="245"/>
        <v>-0.556859782751458+0.310888248461562i</v>
      </c>
      <c r="BD263" s="50">
        <f t="shared" si="246"/>
        <v>-3.9067850235088937</v>
      </c>
      <c r="BE263" s="62">
        <f t="shared" si="247"/>
        <v>150.82589215296949</v>
      </c>
      <c r="BF263" s="59" t="str">
        <f t="shared" si="248"/>
        <v>1.0432353022008+1.75511198046737i</v>
      </c>
      <c r="BG263" s="65">
        <f t="shared" si="249"/>
        <v>6.2000668049409438</v>
      </c>
      <c r="BH263" s="62">
        <f t="shared" si="250"/>
        <v>59.272828851419824</v>
      </c>
      <c r="BI263" s="59" t="str">
        <f t="shared" si="255"/>
        <v>2.38119707808319+5.30398098381038i</v>
      </c>
      <c r="BJ263" s="65">
        <f t="shared" si="251"/>
        <v>15.289464291753244</v>
      </c>
      <c r="BK263" s="62">
        <f t="shared" si="256"/>
        <v>65.822530332787835</v>
      </c>
      <c r="BL263" s="50">
        <f t="shared" si="252"/>
        <v>6.2000668049409438</v>
      </c>
      <c r="BM263" s="62">
        <f t="shared" si="253"/>
        <v>59.272828851419824</v>
      </c>
    </row>
    <row r="264" spans="14:65" x14ac:dyDescent="0.3">
      <c r="N264" s="11">
        <v>46</v>
      </c>
      <c r="O264" s="51">
        <f t="shared" si="254"/>
        <v>2884.0315031266077</v>
      </c>
      <c r="P264" s="49" t="str">
        <f t="shared" si="206"/>
        <v>27.9103246607183</v>
      </c>
      <c r="Q264" s="18" t="str">
        <f t="shared" si="207"/>
        <v>1+8.90138170236069i</v>
      </c>
      <c r="R264" s="18">
        <f t="shared" si="219"/>
        <v>8.9573766366677745</v>
      </c>
      <c r="S264" s="18">
        <f t="shared" si="220"/>
        <v>1.4589232840437609</v>
      </c>
      <c r="T264" s="18" t="str">
        <f t="shared" si="208"/>
        <v>1+0.00797319792099082i</v>
      </c>
      <c r="U264" s="18">
        <f t="shared" si="221"/>
        <v>1.0000317854373866</v>
      </c>
      <c r="V264" s="18">
        <f t="shared" si="222"/>
        <v>7.9730289703610745E-3</v>
      </c>
      <c r="W264" s="32" t="str">
        <f t="shared" si="209"/>
        <v>1-0.105145988295894i</v>
      </c>
      <c r="X264" s="18">
        <f t="shared" si="223"/>
        <v>1.005512644801009</v>
      </c>
      <c r="Y264" s="18">
        <f t="shared" si="224"/>
        <v>-0.10476105176866346</v>
      </c>
      <c r="Z264" s="32" t="str">
        <f t="shared" si="210"/>
        <v>0.999828147981177+0.0480821723799419i</v>
      </c>
      <c r="AA264" s="18">
        <f t="shared" si="225"/>
        <v>1.0009836266374417</v>
      </c>
      <c r="AB264" s="18">
        <f t="shared" si="226"/>
        <v>4.8053415417190971E-2</v>
      </c>
      <c r="AC264" s="67" t="str">
        <f t="shared" si="227"/>
        <v>-0.103175730898071-3.128400568175i</v>
      </c>
      <c r="AD264" s="65">
        <f t="shared" si="228"/>
        <v>9.9111683894988793</v>
      </c>
      <c r="AE264" s="62">
        <f t="shared" si="229"/>
        <v>-91.888949917425933</v>
      </c>
      <c r="AF264" s="50" t="str">
        <f t="shared" si="211"/>
        <v>79.1527877025864</v>
      </c>
      <c r="AG264" s="50" t="str">
        <f t="shared" si="212"/>
        <v>1+8.83185000478981i</v>
      </c>
      <c r="AH264" s="50">
        <f t="shared" si="230"/>
        <v>8.8882829898190003</v>
      </c>
      <c r="AI264" s="50">
        <f t="shared" si="231"/>
        <v>1.458049942381084</v>
      </c>
      <c r="AJ264" s="50" t="str">
        <f t="shared" si="213"/>
        <v>1+0.00797319792099082i</v>
      </c>
      <c r="AK264" s="50">
        <f t="shared" si="232"/>
        <v>1.0000317854373866</v>
      </c>
      <c r="AL264" s="50">
        <f t="shared" si="233"/>
        <v>7.9730289703610745E-3</v>
      </c>
      <c r="AM264" s="50" t="str">
        <f t="shared" si="214"/>
        <v>1-0.0367862027769799i</v>
      </c>
      <c r="AN264" s="50">
        <f t="shared" si="234"/>
        <v>1.0006763836099806</v>
      </c>
      <c r="AO264" s="50">
        <f t="shared" si="235"/>
        <v>-3.6769622903756086E-2</v>
      </c>
      <c r="AP264" s="59" t="str">
        <f t="shared" si="236"/>
        <v>0.747248707792341-8.88021815993466i</v>
      </c>
      <c r="AQ264" s="50">
        <f t="shared" si="237"/>
        <v>18.999115918809292</v>
      </c>
      <c r="AR264" s="62">
        <f t="shared" si="238"/>
        <v>-85.190031314464534</v>
      </c>
      <c r="AS264" s="32" t="str">
        <f t="shared" si="215"/>
        <v>-0.0000166666666666667</v>
      </c>
      <c r="AT264" s="32" t="str">
        <f t="shared" si="216"/>
        <v>0.0000616110748440198i</v>
      </c>
      <c r="AU264" s="32">
        <f t="shared" si="239"/>
        <v>6.1611074844019806E-5</v>
      </c>
      <c r="AV264" s="32">
        <f t="shared" si="240"/>
        <v>1.5707963267948966</v>
      </c>
      <c r="AW264" s="32" t="str">
        <f t="shared" si="217"/>
        <v>1+0.0626130542618984i</v>
      </c>
      <c r="AX264" s="32">
        <f t="shared" si="241"/>
        <v>1.0019582798520124</v>
      </c>
      <c r="AY264" s="32">
        <f t="shared" si="242"/>
        <v>6.2531423564908872E-2</v>
      </c>
      <c r="AZ264" s="32" t="str">
        <f t="shared" si="218"/>
        <v>1+2.12884384490455i</v>
      </c>
      <c r="BA264" s="32">
        <f t="shared" si="243"/>
        <v>2.3520153307297953</v>
      </c>
      <c r="BB264" s="32">
        <f t="shared" si="244"/>
        <v>1.1316496144010817</v>
      </c>
      <c r="BC264" s="59" t="str">
        <f t="shared" si="245"/>
        <v>-0.556761910311575+0.305374699493629i</v>
      </c>
      <c r="BD264" s="50">
        <f t="shared" si="246"/>
        <v>-3.9443905215005777</v>
      </c>
      <c r="BE264" s="62">
        <f t="shared" si="247"/>
        <v>151.25596013557484</v>
      </c>
      <c r="BF264" s="59" t="str">
        <f t="shared" si="248"/>
        <v>1.01277870043474+1.7102670187389i</v>
      </c>
      <c r="BG264" s="65">
        <f t="shared" si="249"/>
        <v>5.9667778679983154</v>
      </c>
      <c r="BH264" s="62">
        <f t="shared" si="250"/>
        <v>59.367010218149019</v>
      </c>
      <c r="BI264" s="59" t="str">
        <f t="shared" si="255"/>
        <v>2.29575433399959+5.17235807629785i</v>
      </c>
      <c r="BJ264" s="65">
        <f t="shared" si="251"/>
        <v>15.05472539730871</v>
      </c>
      <c r="BK264" s="62">
        <f t="shared" si="256"/>
        <v>66.065928821110361</v>
      </c>
      <c r="BL264" s="50">
        <f t="shared" si="252"/>
        <v>5.9667778679983154</v>
      </c>
      <c r="BM264" s="62">
        <f t="shared" si="253"/>
        <v>59.367010218149019</v>
      </c>
    </row>
    <row r="265" spans="14:65" x14ac:dyDescent="0.3">
      <c r="N265" s="11">
        <v>47</v>
      </c>
      <c r="O265" s="51">
        <f t="shared" si="254"/>
        <v>2951.2092266663876</v>
      </c>
      <c r="P265" s="49" t="str">
        <f t="shared" si="206"/>
        <v>27.9103246607183</v>
      </c>
      <c r="Q265" s="18" t="str">
        <f t="shared" si="207"/>
        <v>1+9.10872151764182i</v>
      </c>
      <c r="R265" s="18">
        <f t="shared" si="219"/>
        <v>9.1634495516672718</v>
      </c>
      <c r="S265" s="18">
        <f t="shared" si="220"/>
        <v>1.4614493421730659</v>
      </c>
      <c r="T265" s="18" t="str">
        <f t="shared" si="208"/>
        <v>1+0.00815891755861737i</v>
      </c>
      <c r="U265" s="18">
        <f t="shared" si="221"/>
        <v>1.0000332834139714</v>
      </c>
      <c r="V265" s="18">
        <f t="shared" si="222"/>
        <v>8.1587365250813792E-3</v>
      </c>
      <c r="W265" s="32" t="str">
        <f t="shared" si="209"/>
        <v>1-0.107595152989623i</v>
      </c>
      <c r="X265" s="18">
        <f t="shared" si="223"/>
        <v>1.0057717022002859</v>
      </c>
      <c r="Y265" s="18">
        <f t="shared" si="224"/>
        <v>-0.10718281379928059</v>
      </c>
      <c r="Z265" s="32" t="str">
        <f t="shared" si="210"/>
        <v>0.99982004884505+0.0492021500500298i</v>
      </c>
      <c r="AA265" s="18">
        <f t="shared" si="225"/>
        <v>1.0010299604118069</v>
      </c>
      <c r="AB265" s="18">
        <f t="shared" si="226"/>
        <v>4.917133810702403E-2</v>
      </c>
      <c r="AC265" s="67" t="str">
        <f t="shared" si="227"/>
        <v>-0.118860327270571-3.05805213338039i</v>
      </c>
      <c r="AD265" s="65">
        <f t="shared" si="228"/>
        <v>9.7154537231195821</v>
      </c>
      <c r="AE265" s="62">
        <f t="shared" si="229"/>
        <v>-92.225851123219385</v>
      </c>
      <c r="AF265" s="50" t="str">
        <f t="shared" si="211"/>
        <v>79.1527877025864</v>
      </c>
      <c r="AG265" s="50" t="str">
        <f t="shared" si="212"/>
        <v>1+9.03757021877614i</v>
      </c>
      <c r="AH265" s="50">
        <f t="shared" si="230"/>
        <v>9.0927265140500868</v>
      </c>
      <c r="AI265" s="50">
        <f t="shared" si="231"/>
        <v>1.4605953974419388</v>
      </c>
      <c r="AJ265" s="50" t="str">
        <f t="shared" si="213"/>
        <v>1+0.00815891755861737i</v>
      </c>
      <c r="AK265" s="50">
        <f t="shared" si="232"/>
        <v>1.0000332834139714</v>
      </c>
      <c r="AL265" s="50">
        <f t="shared" si="233"/>
        <v>8.1587365250813792E-3</v>
      </c>
      <c r="AM265" s="50" t="str">
        <f t="shared" si="214"/>
        <v>1-0.0376430635143023i</v>
      </c>
      <c r="AN265" s="50">
        <f t="shared" si="234"/>
        <v>1.0007082493068307</v>
      </c>
      <c r="AO265" s="50">
        <f t="shared" si="235"/>
        <v>-3.762529853908065E-2</v>
      </c>
      <c r="AP265" s="59" t="str">
        <f t="shared" si="236"/>
        <v>0.702555394979124-8.68314606012624i</v>
      </c>
      <c r="AQ265" s="50">
        <f t="shared" si="237"/>
        <v>18.801880412718333</v>
      </c>
      <c r="AR265" s="62">
        <f t="shared" si="238"/>
        <v>-85.374261489818835</v>
      </c>
      <c r="AS265" s="32" t="str">
        <f t="shared" si="215"/>
        <v>-0.0000166666666666667</v>
      </c>
      <c r="AT265" s="32" t="str">
        <f t="shared" si="216"/>
        <v>0.0000630461811347705i</v>
      </c>
      <c r="AU265" s="32">
        <f t="shared" si="239"/>
        <v>6.3046181134770505E-5</v>
      </c>
      <c r="AV265" s="32">
        <f t="shared" si="240"/>
        <v>1.5707963267948966</v>
      </c>
      <c r="AW265" s="32" t="str">
        <f t="shared" si="217"/>
        <v>1+0.0640714996514952i</v>
      </c>
      <c r="AX265" s="32">
        <f t="shared" si="241"/>
        <v>1.0020504763072524</v>
      </c>
      <c r="AY265" s="32">
        <f t="shared" si="242"/>
        <v>6.3984040447692611E-2</v>
      </c>
      <c r="AZ265" s="32" t="str">
        <f t="shared" si="218"/>
        <v>1+2.17843098815084i</v>
      </c>
      <c r="BA265" s="32">
        <f t="shared" si="243"/>
        <v>2.3969901063908972</v>
      </c>
      <c r="BB265" s="32">
        <f t="shared" si="244"/>
        <v>1.1404452716850628</v>
      </c>
      <c r="BC265" s="59" t="str">
        <f t="shared" si="245"/>
        <v>-0.556659462152905+0.300022488826292i</v>
      </c>
      <c r="BD265" s="50">
        <f t="shared" si="246"/>
        <v>-3.9806678621851521</v>
      </c>
      <c r="BE265" s="62">
        <f t="shared" si="247"/>
        <v>151.67668535935758</v>
      </c>
      <c r="BF265" s="59" t="str">
        <f t="shared" si="248"/>
        <v>0.983649137867091+1.66663288459265i</v>
      </c>
      <c r="BG265" s="65">
        <f t="shared" si="249"/>
        <v>5.7347858609344406</v>
      </c>
      <c r="BH265" s="62">
        <f t="shared" si="250"/>
        <v>59.450834236138206</v>
      </c>
      <c r="BI265" s="59" t="str">
        <f t="shared" si="255"/>
        <v>2.21405498349959+5.04433783376496i</v>
      </c>
      <c r="BJ265" s="65">
        <f t="shared" si="251"/>
        <v>14.821212550533179</v>
      </c>
      <c r="BK265" s="62">
        <f t="shared" si="256"/>
        <v>66.302423869538657</v>
      </c>
      <c r="BL265" s="50">
        <f t="shared" si="252"/>
        <v>5.7347858609344406</v>
      </c>
      <c r="BM265" s="62">
        <f t="shared" si="253"/>
        <v>59.450834236138206</v>
      </c>
    </row>
    <row r="266" spans="14:65" x14ac:dyDescent="0.3">
      <c r="N266" s="11">
        <v>48</v>
      </c>
      <c r="O266" s="51">
        <f t="shared" si="254"/>
        <v>3019.9517204020176</v>
      </c>
      <c r="P266" s="49" t="str">
        <f t="shared" si="206"/>
        <v>27.9103246607183</v>
      </c>
      <c r="Q266" s="18" t="str">
        <f t="shared" si="207"/>
        <v>1+9.32089089763979i</v>
      </c>
      <c r="R266" s="18">
        <f t="shared" si="219"/>
        <v>9.3743803595600017</v>
      </c>
      <c r="S266" s="18">
        <f t="shared" si="220"/>
        <v>1.463919254768562</v>
      </c>
      <c r="T266" s="18" t="str">
        <f t="shared" si="208"/>
        <v>1+0.00834896316232956i</v>
      </c>
      <c r="U266" s="18">
        <f t="shared" si="221"/>
        <v>1.0000348519856126</v>
      </c>
      <c r="V266" s="18">
        <f t="shared" si="222"/>
        <v>8.348769181765971E-3</v>
      </c>
      <c r="W266" s="32" t="str">
        <f t="shared" si="209"/>
        <v>1-0.110101366057657i</v>
      </c>
      <c r="X266" s="18">
        <f t="shared" si="223"/>
        <v>1.0060428971011932</v>
      </c>
      <c r="Y266" s="18">
        <f t="shared" si="224"/>
        <v>-0.10965967986216138</v>
      </c>
      <c r="Z266" s="32" t="str">
        <f t="shared" si="210"/>
        <v>0.999811568008398+0.0503482153513416i</v>
      </c>
      <c r="AA266" s="18">
        <f t="shared" si="225"/>
        <v>1.0010784756014268</v>
      </c>
      <c r="AB266" s="18">
        <f t="shared" si="226"/>
        <v>5.0315201664220786E-2</v>
      </c>
      <c r="AC266" s="67" t="str">
        <f t="shared" si="227"/>
        <v>-0.133851918737657-2.98917162791466i</v>
      </c>
      <c r="AD266" s="65">
        <f t="shared" si="228"/>
        <v>9.5197165783364763</v>
      </c>
      <c r="AE266" s="62">
        <f t="shared" si="229"/>
        <v>-92.563931147498295</v>
      </c>
      <c r="AF266" s="50" t="str">
        <f t="shared" si="211"/>
        <v>79.1527877025864</v>
      </c>
      <c r="AG266" s="50" t="str">
        <f t="shared" si="212"/>
        <v>1+9.24808227211887i</v>
      </c>
      <c r="AH266" s="50">
        <f t="shared" si="230"/>
        <v>9.30199041667316</v>
      </c>
      <c r="AI266" s="50">
        <f t="shared" si="231"/>
        <v>1.4630842971640357</v>
      </c>
      <c r="AJ266" s="50" t="str">
        <f t="shared" si="213"/>
        <v>1+0.00834896316232956i</v>
      </c>
      <c r="AK266" s="50">
        <f t="shared" si="232"/>
        <v>1.0000348519856126</v>
      </c>
      <c r="AL266" s="50">
        <f t="shared" si="233"/>
        <v>8.348769181765971E-3</v>
      </c>
      <c r="AM266" s="50" t="str">
        <f t="shared" si="214"/>
        <v>1-0.0385198831021649i</v>
      </c>
      <c r="AN266" s="50">
        <f t="shared" si="234"/>
        <v>1.0007416157001787</v>
      </c>
      <c r="AO266" s="50">
        <f t="shared" si="235"/>
        <v>-3.8500848350055426E-2</v>
      </c>
      <c r="AP266" s="59" t="str">
        <f t="shared" si="236"/>
        <v>0.65982602213295-8.49023775875997i</v>
      </c>
      <c r="AQ266" s="50">
        <f t="shared" si="237"/>
        <v>18.604548464973785</v>
      </c>
      <c r="AR266" s="62">
        <f t="shared" si="238"/>
        <v>-85.556142179250926</v>
      </c>
      <c r="AS266" s="32" t="str">
        <f t="shared" si="215"/>
        <v>-0.0000166666666666667</v>
      </c>
      <c r="AT266" s="32" t="str">
        <f t="shared" si="216"/>
        <v>0.0000645147153452737i</v>
      </c>
      <c r="AU266" s="32">
        <f t="shared" si="239"/>
        <v>6.4514715345273698E-5</v>
      </c>
      <c r="AV266" s="32">
        <f t="shared" si="240"/>
        <v>1.5707963267948966</v>
      </c>
      <c r="AW266" s="32" t="str">
        <f t="shared" si="217"/>
        <v>1+0.0655639165982938i</v>
      </c>
      <c r="AX266" s="32">
        <f t="shared" si="241"/>
        <v>1.0021470087565536</v>
      </c>
      <c r="AY266" s="32">
        <f t="shared" si="242"/>
        <v>6.5470213213178918E-2</v>
      </c>
      <c r="AZ266" s="32" t="str">
        <f t="shared" si="218"/>
        <v>1+2.22917316434199i</v>
      </c>
      <c r="BA266" s="32">
        <f t="shared" si="243"/>
        <v>2.4431972897460574</v>
      </c>
      <c r="BB266" s="32">
        <f t="shared" si="244"/>
        <v>1.1491098961319608</v>
      </c>
      <c r="BC266" s="59" t="str">
        <f t="shared" si="245"/>
        <v>-0.556552226163023+0.294828737834421i</v>
      </c>
      <c r="BD266" s="50">
        <f t="shared" si="246"/>
        <v>-4.0156586470184736</v>
      </c>
      <c r="BE266" s="62">
        <f t="shared" si="247"/>
        <v>152.08798034414093</v>
      </c>
      <c r="BF266" s="59" t="str">
        <f t="shared" si="248"/>
        <v>0.955789281578176+1.62416673164111i</v>
      </c>
      <c r="BG266" s="65">
        <f t="shared" si="249"/>
        <v>5.5040579313179911</v>
      </c>
      <c r="BH266" s="62">
        <f t="shared" si="250"/>
        <v>59.524049196642594</v>
      </c>
      <c r="BI266" s="59" t="str">
        <f t="shared" si="255"/>
        <v>2.13593844083096+4.91979639858698i</v>
      </c>
      <c r="BJ266" s="65">
        <f t="shared" si="251"/>
        <v>14.588889817955311</v>
      </c>
      <c r="BK266" s="62">
        <f t="shared" si="256"/>
        <v>66.531838164890004</v>
      </c>
      <c r="BL266" s="50">
        <f t="shared" si="252"/>
        <v>5.5040579313179911</v>
      </c>
      <c r="BM266" s="62">
        <f t="shared" si="253"/>
        <v>59.524049196642594</v>
      </c>
    </row>
    <row r="267" spans="14:65" x14ac:dyDescent="0.3">
      <c r="N267" s="11">
        <v>49</v>
      </c>
      <c r="O267" s="51">
        <f t="shared" si="254"/>
        <v>3090.295432513592</v>
      </c>
      <c r="P267" s="49" t="str">
        <f t="shared" si="206"/>
        <v>27.9103246607183</v>
      </c>
      <c r="Q267" s="18" t="str">
        <f t="shared" si="207"/>
        <v>1+9.53800233736826i</v>
      </c>
      <c r="R267" s="18">
        <f t="shared" si="219"/>
        <v>9.5902809441456096</v>
      </c>
      <c r="S267" s="18">
        <f t="shared" si="220"/>
        <v>1.4663342108040427</v>
      </c>
      <c r="T267" s="18" t="str">
        <f t="shared" si="208"/>
        <v>1+0.008543435496822i</v>
      </c>
      <c r="U267" s="18">
        <f t="shared" si="221"/>
        <v>1.0000364944791207</v>
      </c>
      <c r="V267" s="18">
        <f t="shared" si="222"/>
        <v>8.5432276433129433E-3</v>
      </c>
      <c r="W267" s="32" t="str">
        <f t="shared" si="209"/>
        <v>1-0.112665956327338i</v>
      </c>
      <c r="X267" s="18">
        <f t="shared" si="223"/>
        <v>1.0063267946920391</v>
      </c>
      <c r="Y267" s="18">
        <f t="shared" si="224"/>
        <v>-0.1121928415964507</v>
      </c>
      <c r="Z267" s="32" t="str">
        <f t="shared" si="210"/>
        <v>0.999802687482227+0.0515209759428701i</v>
      </c>
      <c r="AA267" s="18">
        <f t="shared" si="225"/>
        <v>1.0011292747986094</v>
      </c>
      <c r="AB267" s="18">
        <f t="shared" si="226"/>
        <v>5.1485603276525738E-2</v>
      </c>
      <c r="AC267" s="67" t="str">
        <f t="shared" si="227"/>
        <v>-0.148180102348287-2.92173256701103i</v>
      </c>
      <c r="AD267" s="65">
        <f t="shared" si="228"/>
        <v>9.3239656582111223</v>
      </c>
      <c r="AE267" s="62">
        <f t="shared" si="229"/>
        <v>-92.903354835822924</v>
      </c>
      <c r="AF267" s="50" t="str">
        <f t="shared" si="211"/>
        <v>79.1527877025864</v>
      </c>
      <c r="AG267" s="50" t="str">
        <f t="shared" si="212"/>
        <v>1+9.46349778109511i</v>
      </c>
      <c r="AH267" s="50">
        <f t="shared" si="230"/>
        <v>9.5161856987341356</v>
      </c>
      <c r="AI267" s="50">
        <f t="shared" si="231"/>
        <v>1.4655178377855749</v>
      </c>
      <c r="AJ267" s="50" t="str">
        <f t="shared" si="213"/>
        <v>1+0.008543435496822i</v>
      </c>
      <c r="AK267" s="50">
        <f t="shared" si="232"/>
        <v>1.0000364944791207</v>
      </c>
      <c r="AL267" s="50">
        <f t="shared" si="233"/>
        <v>8.5432276433129433E-3</v>
      </c>
      <c r="AM267" s="50" t="str">
        <f t="shared" si="214"/>
        <v>1-0.0394171264419191i</v>
      </c>
      <c r="AN267" s="50">
        <f t="shared" si="234"/>
        <v>1.0007765534108692</v>
      </c>
      <c r="AO267" s="50">
        <f t="shared" si="235"/>
        <v>-3.9396731192230992E-2</v>
      </c>
      <c r="AP267" s="59" t="str">
        <f t="shared" si="236"/>
        <v>0.618976313831897-8.30141967747112i</v>
      </c>
      <c r="AQ267" s="50">
        <f t="shared" si="237"/>
        <v>18.407125555517794</v>
      </c>
      <c r="AR267" s="62">
        <f t="shared" si="238"/>
        <v>-85.735762442796343</v>
      </c>
      <c r="AS267" s="32" t="str">
        <f t="shared" si="215"/>
        <v>-0.0000166666666666667</v>
      </c>
      <c r="AT267" s="32" t="str">
        <f t="shared" si="216"/>
        <v>0.0000660174561118062i</v>
      </c>
      <c r="AU267" s="32">
        <f t="shared" si="239"/>
        <v>6.6017456111806203E-5</v>
      </c>
      <c r="AV267" s="32">
        <f t="shared" si="240"/>
        <v>1.5707963267948966</v>
      </c>
      <c r="AW267" s="32" t="str">
        <f t="shared" si="217"/>
        <v>1+0.0670910964015138i</v>
      </c>
      <c r="AX267" s="32">
        <f t="shared" si="241"/>
        <v>1.0022480806748184</v>
      </c>
      <c r="AY267" s="32">
        <f t="shared" si="242"/>
        <v>6.6990703574852387E-2</v>
      </c>
      <c r="AZ267" s="32" t="str">
        <f t="shared" si="218"/>
        <v>1+2.28109727765147i</v>
      </c>
      <c r="BA267" s="32">
        <f t="shared" si="243"/>
        <v>2.4906635240652135</v>
      </c>
      <c r="BB267" s="32">
        <f t="shared" si="244"/>
        <v>1.1576428767819649</v>
      </c>
      <c r="BC267" s="59" t="str">
        <f t="shared" si="245"/>
        <v>-0.556439980570668+0.289790649032699i</v>
      </c>
      <c r="BD267" s="50">
        <f t="shared" si="246"/>
        <v>-4.0494041698848502</v>
      </c>
      <c r="BE267" s="62">
        <f t="shared" si="247"/>
        <v>152.48976644153873</v>
      </c>
      <c r="BF267" s="59" t="str">
        <f t="shared" si="248"/>
        <v>0.929144110165741+1.58282760478706i</v>
      </c>
      <c r="BG267" s="65">
        <f t="shared" si="249"/>
        <v>5.2745614883262579</v>
      </c>
      <c r="BH267" s="62">
        <f t="shared" si="250"/>
        <v>59.586411605715753</v>
      </c>
      <c r="BI267" s="59" t="str">
        <f t="shared" si="255"/>
        <v>2.06125062818485+4.7986153517622i</v>
      </c>
      <c r="BJ267" s="65">
        <f t="shared" si="251"/>
        <v>14.357721385632939</v>
      </c>
      <c r="BK267" s="62">
        <f t="shared" si="256"/>
        <v>66.754003998742391</v>
      </c>
      <c r="BL267" s="50">
        <f t="shared" si="252"/>
        <v>5.2745614883262579</v>
      </c>
      <c r="BM267" s="62">
        <f t="shared" si="253"/>
        <v>59.586411605715753</v>
      </c>
    </row>
    <row r="268" spans="14:65" x14ac:dyDescent="0.3">
      <c r="N268" s="11">
        <v>50</v>
      </c>
      <c r="O268" s="51">
        <f t="shared" si="254"/>
        <v>3162.2776601683804</v>
      </c>
      <c r="P268" s="49" t="str">
        <f t="shared" si="206"/>
        <v>27.9103246607183</v>
      </c>
      <c r="Q268" s="18" t="str">
        <f t="shared" si="207"/>
        <v>1+9.76017095218638i</v>
      </c>
      <c r="R268" s="18">
        <f t="shared" si="219"/>
        <v>9.8112658212843655</v>
      </c>
      <c r="S268" s="18">
        <f t="shared" si="220"/>
        <v>1.4686953779872884</v>
      </c>
      <c r="T268" s="18" t="str">
        <f t="shared" si="208"/>
        <v>1+0.00874243767390058i</v>
      </c>
      <c r="U268" s="18">
        <f t="shared" si="221"/>
        <v>1.0000382143780717</v>
      </c>
      <c r="V268" s="18">
        <f t="shared" si="222"/>
        <v>8.7422149553126171E-3</v>
      </c>
      <c r="W268" s="32" t="str">
        <f t="shared" si="209"/>
        <v>1-0.115290283578374i</v>
      </c>
      <c r="X268" s="18">
        <f t="shared" si="223"/>
        <v>1.0066239861475494</v>
      </c>
      <c r="Y268" s="18">
        <f t="shared" si="224"/>
        <v>-0.11478351200696456</v>
      </c>
      <c r="Z268" s="32" t="str">
        <f t="shared" si="210"/>
        <v>0.999793388429752+0.0527210536378042i</v>
      </c>
      <c r="AA268" s="18">
        <f t="shared" si="225"/>
        <v>1.0011824654100394</v>
      </c>
      <c r="AB268" s="18">
        <f t="shared" si="226"/>
        <v>5.2683153540050126E-2</v>
      </c>
      <c r="AC268" s="67" t="str">
        <f t="shared" si="227"/>
        <v>-0.161873257713938-2.85570858658212i</v>
      </c>
      <c r="AD268" s="65">
        <f t="shared" si="228"/>
        <v>9.1282096355368907</v>
      </c>
      <c r="AE268" s="62">
        <f t="shared" si="229"/>
        <v>-93.244287673480073</v>
      </c>
      <c r="AF268" s="50" t="str">
        <f t="shared" si="211"/>
        <v>79.1527877025864</v>
      </c>
      <c r="AG268" s="50" t="str">
        <f t="shared" si="212"/>
        <v>1+9.68393096185908i</v>
      </c>
      <c r="AH268" s="50">
        <f t="shared" si="230"/>
        <v>9.7354259729121715</v>
      </c>
      <c r="AI268" s="50">
        <f t="shared" si="231"/>
        <v>1.4678971942454297</v>
      </c>
      <c r="AJ268" s="50" t="str">
        <f t="shared" si="213"/>
        <v>1+0.00874243767390058i</v>
      </c>
      <c r="AK268" s="50">
        <f t="shared" si="232"/>
        <v>1.0000382143780717</v>
      </c>
      <c r="AL268" s="50">
        <f t="shared" si="233"/>
        <v>8.7422149553126171E-3</v>
      </c>
      <c r="AM268" s="50" t="str">
        <f t="shared" si="214"/>
        <v>1-0.0403352692638602i</v>
      </c>
      <c r="AN268" s="50">
        <f t="shared" si="234"/>
        <v>1.0008131363779096</v>
      </c>
      <c r="AO268" s="50">
        <f t="shared" si="235"/>
        <v>-4.0313416318939164E-2</v>
      </c>
      <c r="AP268" s="59" t="str">
        <f t="shared" si="236"/>
        <v>0.579925434501599-8.11661856250325i</v>
      </c>
      <c r="AQ268" s="50">
        <f t="shared" si="237"/>
        <v>18.209616986410044</v>
      </c>
      <c r="AR268" s="62">
        <f t="shared" si="238"/>
        <v>-85.913210581651782</v>
      </c>
      <c r="AS268" s="32" t="str">
        <f t="shared" si="215"/>
        <v>-0.0000166666666666667</v>
      </c>
      <c r="AT268" s="32" t="str">
        <f t="shared" si="216"/>
        <v>0.0000675552002074135i</v>
      </c>
      <c r="AU268" s="32">
        <f t="shared" si="239"/>
        <v>6.75552002074135E-5</v>
      </c>
      <c r="AV268" s="32">
        <f t="shared" si="240"/>
        <v>1.5707963267948966</v>
      </c>
      <c r="AW268" s="32" t="str">
        <f t="shared" si="217"/>
        <v>1+0.0686538487921015i</v>
      </c>
      <c r="AX268" s="32">
        <f t="shared" si="241"/>
        <v>1.0023539050425099</v>
      </c>
      <c r="AY268" s="32">
        <f t="shared" si="242"/>
        <v>6.8546289579335132E-2</v>
      </c>
      <c r="AZ268" s="32" t="str">
        <f t="shared" si="218"/>
        <v>1+2.33423085893145i</v>
      </c>
      <c r="BA268" s="32">
        <f t="shared" si="243"/>
        <v>2.5394160160926482</v>
      </c>
      <c r="BB268" s="32">
        <f t="shared" si="244"/>
        <v>1.1660437664786851</v>
      </c>
      <c r="BC268" s="59" t="str">
        <f t="shared" si="245"/>
        <v>-0.556322493522643+0.284905504391552i</v>
      </c>
      <c r="BD268" s="50">
        <f t="shared" si="246"/>
        <v>-4.0819453619713926</v>
      </c>
      <c r="BE268" s="62">
        <f t="shared" si="247"/>
        <v>152.88197345258934</v>
      </c>
      <c r="BF268" s="59" t="str">
        <f t="shared" si="248"/>
        <v>0.903660829621516+1.54257633952489i</v>
      </c>
      <c r="BG268" s="65">
        <f t="shared" si="249"/>
        <v>5.0462642735654768</v>
      </c>
      <c r="BH268" s="62">
        <f t="shared" si="250"/>
        <v>59.637685779109205</v>
      </c>
      <c r="BI268" s="59" t="str">
        <f t="shared" si="255"/>
        <v>1.98984374172469+4.68068142609015i</v>
      </c>
      <c r="BJ268" s="65">
        <f t="shared" si="251"/>
        <v>14.127671624438653</v>
      </c>
      <c r="BK268" s="62">
        <f t="shared" si="256"/>
        <v>66.968762870937582</v>
      </c>
      <c r="BL268" s="50">
        <f t="shared" si="252"/>
        <v>5.0462642735654768</v>
      </c>
      <c r="BM268" s="62">
        <f t="shared" si="253"/>
        <v>59.637685779109205</v>
      </c>
    </row>
    <row r="269" spans="14:65" x14ac:dyDescent="0.3">
      <c r="N269" s="11">
        <v>51</v>
      </c>
      <c r="O269" s="51">
        <f t="shared" si="254"/>
        <v>3235.9365692962833</v>
      </c>
      <c r="P269" s="49" t="str">
        <f t="shared" si="206"/>
        <v>27.9103246607183</v>
      </c>
      <c r="Q269" s="18" t="str">
        <f t="shared" si="207"/>
        <v>1+9.98751453883449i</v>
      </c>
      <c r="R269" s="18">
        <f t="shared" si="219"/>
        <v>10.037452199807992</v>
      </c>
      <c r="S269" s="18">
        <f t="shared" si="220"/>
        <v>1.471003902872688</v>
      </c>
      <c r="T269" s="18" t="str">
        <f t="shared" si="208"/>
        <v>1+0.00894607520715371i</v>
      </c>
      <c r="U269" s="18">
        <f t="shared" si="221"/>
        <v>1.0000400153301927</v>
      </c>
      <c r="V269" s="18">
        <f t="shared" si="222"/>
        <v>8.9458365604028096E-3</v>
      </c>
      <c r="W269" s="32" t="str">
        <f t="shared" si="209"/>
        <v>1-0.117975739263811i</v>
      </c>
      <c r="X269" s="18">
        <f t="shared" si="223"/>
        <v>1.0069350897922085</v>
      </c>
      <c r="Y269" s="18">
        <f t="shared" si="224"/>
        <v>-0.11743292552641324</v>
      </c>
      <c r="Z269" s="32" t="str">
        <f t="shared" si="210"/>
        <v>0.999783651126436+0.0539490847332228i</v>
      </c>
      <c r="AA269" s="18">
        <f t="shared" si="225"/>
        <v>1.0012381598816833</v>
      </c>
      <c r="AB269" s="18">
        <f t="shared" si="226"/>
        <v>5.3908476735997662E-2</v>
      </c>
      <c r="AC269" s="67" t="str">
        <f t="shared" si="227"/>
        <v>-0.174958591064914-2.7910734696918i</v>
      </c>
      <c r="AD269" s="65">
        <f t="shared" si="228"/>
        <v>8.9324571684623031</v>
      </c>
      <c r="AE269" s="62">
        <f t="shared" si="229"/>
        <v>-93.586895808241607</v>
      </c>
      <c r="AF269" s="50" t="str">
        <f t="shared" si="211"/>
        <v>79.1527877025864</v>
      </c>
      <c r="AG269" s="50" t="str">
        <f t="shared" si="212"/>
        <v>1+9.90949869100101i</v>
      </c>
      <c r="AH269" s="50">
        <f t="shared" si="230"/>
        <v>9.9598275239559637</v>
      </c>
      <c r="AI269" s="50">
        <f t="shared" si="231"/>
        <v>1.47022352028832</v>
      </c>
      <c r="AJ269" s="50" t="str">
        <f t="shared" si="213"/>
        <v>1+0.00894607520715371i</v>
      </c>
      <c r="AK269" s="50">
        <f t="shared" si="232"/>
        <v>1.0000400153301927</v>
      </c>
      <c r="AL269" s="50">
        <f t="shared" si="233"/>
        <v>8.9458365604028096E-3</v>
      </c>
      <c r="AM269" s="50" t="str">
        <f t="shared" si="214"/>
        <v>1-0.0412747983794654i</v>
      </c>
      <c r="AN269" s="50">
        <f t="shared" si="234"/>
        <v>1.0008514420138812</v>
      </c>
      <c r="AO269" s="50">
        <f t="shared" si="235"/>
        <v>-4.1251383602844111E-2</v>
      </c>
      <c r="AP269" s="59" t="str">
        <f t="shared" si="236"/>
        <v>0.542595863528495-7.93576156133185i</v>
      </c>
      <c r="AQ269" s="50">
        <f t="shared" si="237"/>
        <v>18.012027891730774</v>
      </c>
      <c r="AR269" s="62">
        <f t="shared" si="238"/>
        <v>-86.088574153780527</v>
      </c>
      <c r="AS269" s="32" t="str">
        <f t="shared" si="215"/>
        <v>-0.0000166666666666667</v>
      </c>
      <c r="AT269" s="32" t="str">
        <f t="shared" si="216"/>
        <v>0.0000691287629643696i</v>
      </c>
      <c r="AU269" s="32">
        <f t="shared" si="239"/>
        <v>6.91287629643696E-5</v>
      </c>
      <c r="AV269" s="32">
        <f t="shared" si="240"/>
        <v>1.5707963267948966</v>
      </c>
      <c r="AW269" s="32" t="str">
        <f t="shared" si="217"/>
        <v>1+0.0702530023620599i</v>
      </c>
      <c r="AX269" s="32">
        <f t="shared" si="241"/>
        <v>1.0024647047856017</v>
      </c>
      <c r="AY269" s="32">
        <f t="shared" si="242"/>
        <v>7.0137765887730186E-2</v>
      </c>
      <c r="AZ269" s="32" t="str">
        <f t="shared" si="218"/>
        <v>1+2.38860208031004i</v>
      </c>
      <c r="BA269" s="32">
        <f t="shared" si="243"/>
        <v>2.5894825541141326</v>
      </c>
      <c r="BB269" s="32">
        <f t="shared" si="244"/>
        <v>1.174312275295915</v>
      </c>
      <c r="BC269" s="59" t="str">
        <f t="shared" si="245"/>
        <v>-0.556199522643786+0.280170663681426i</v>
      </c>
      <c r="BD269" s="50">
        <f t="shared" si="246"/>
        <v>-4.1133227416995997</v>
      </c>
      <c r="BE269" s="62">
        <f t="shared" si="247"/>
        <v>153.2645392350172</v>
      </c>
      <c r="BF269" s="59" t="str">
        <f t="shared" si="248"/>
        <v>0.879288791219907+1.50337546693089i</v>
      </c>
      <c r="BG269" s="65">
        <f t="shared" si="249"/>
        <v>4.8191344267627034</v>
      </c>
      <c r="BH269" s="62">
        <f t="shared" si="250"/>
        <v>59.67764342677556</v>
      </c>
      <c r="BI269" s="59" t="str">
        <f t="shared" si="255"/>
        <v>1.92157602317285+4.56588623542326i</v>
      </c>
      <c r="BJ269" s="65">
        <f t="shared" si="251"/>
        <v>13.89870515003118</v>
      </c>
      <c r="BK269" s="62">
        <f t="shared" si="256"/>
        <v>67.175965081236711</v>
      </c>
      <c r="BL269" s="50">
        <f t="shared" si="252"/>
        <v>4.8191344267627034</v>
      </c>
      <c r="BM269" s="62">
        <f t="shared" si="253"/>
        <v>59.67764342677556</v>
      </c>
    </row>
    <row r="270" spans="14:65" x14ac:dyDescent="0.3">
      <c r="N270" s="11">
        <v>52</v>
      </c>
      <c r="O270" s="51">
        <f t="shared" si="254"/>
        <v>3311.3112148259115</v>
      </c>
      <c r="P270" s="49" t="str">
        <f t="shared" si="206"/>
        <v>27.9103246607183</v>
      </c>
      <c r="Q270" s="18" t="str">
        <f t="shared" si="207"/>
        <v>1+10.2201536378915i</v>
      </c>
      <c r="R270" s="18">
        <f t="shared" si="219"/>
        <v>10.268960043846059</v>
      </c>
      <c r="S270" s="18">
        <f t="shared" si="220"/>
        <v>1.4732609109944377</v>
      </c>
      <c r="T270" s="18" t="str">
        <f t="shared" si="208"/>
        <v>1+0.00915445606789702i</v>
      </c>
      <c r="U270" s="18">
        <f t="shared" si="221"/>
        <v>1.0000419011550961</v>
      </c>
      <c r="V270" s="18">
        <f t="shared" si="222"/>
        <v>9.1542003538749601E-3</v>
      </c>
      <c r="W270" s="32" t="str">
        <f t="shared" si="209"/>
        <v>1-0.1207237472478i</v>
      </c>
      <c r="X270" s="18">
        <f t="shared" si="223"/>
        <v>1.0072607523127022</v>
      </c>
      <c r="Y270" s="18">
        <f t="shared" si="224"/>
        <v>-0.12014233805049072</v>
      </c>
      <c r="Z270" s="32" t="str">
        <f t="shared" si="210"/>
        <v>0.999773454918152+0.0552057203474677i</v>
      </c>
      <c r="AA270" s="18">
        <f t="shared" si="225"/>
        <v>1.0012964759341065</v>
      </c>
      <c r="AB270" s="18">
        <f t="shared" si="226"/>
        <v>5.5162211111326249E-2</v>
      </c>
      <c r="AC270" s="67" t="str">
        <f>(IMDIV(IMPRODUCT(P270,T270,W270),IMPRODUCT(Q270,Z270)))</f>
        <v>-0.18746217817227-2.72780117068884i</v>
      </c>
      <c r="AD270" s="65">
        <f t="shared" si="228"/>
        <v>8.7367169160535436</v>
      </c>
      <c r="AE270" s="62">
        <f t="shared" si="229"/>
        <v>-93.931346072901675</v>
      </c>
      <c r="AF270" s="50" t="str">
        <f t="shared" si="211"/>
        <v>79.1527877025864</v>
      </c>
      <c r="AG270" s="50" t="str">
        <f t="shared" si="212"/>
        <v>1+10.1403205675167i</v>
      </c>
      <c r="AH270" s="50">
        <f t="shared" si="230"/>
        <v>10.189509370524284</v>
      </c>
      <c r="AI270" s="50">
        <f t="shared" si="231"/>
        <v>1.4724979485912155</v>
      </c>
      <c r="AJ270" s="50" t="str">
        <f t="shared" si="213"/>
        <v>1+0.00915445606789702i</v>
      </c>
      <c r="AK270" s="50">
        <f t="shared" si="232"/>
        <v>1.0000419011550961</v>
      </c>
      <c r="AL270" s="50">
        <f t="shared" si="233"/>
        <v>9.1542003538749601E-3</v>
      </c>
      <c r="AM270" s="50" t="str">
        <f t="shared" si="214"/>
        <v>1-0.0422362119395081i</v>
      </c>
      <c r="AN270" s="50">
        <f t="shared" si="234"/>
        <v>1.0008915513675789</v>
      </c>
      <c r="AO270" s="50">
        <f t="shared" si="235"/>
        <v>-4.2211123761193223E-2</v>
      </c>
      <c r="AP270" s="59" t="str">
        <f t="shared" si="236"/>
        <v>0.506913273504107-7.75877629259534i</v>
      </c>
      <c r="AQ270" s="50">
        <f t="shared" si="237"/>
        <v>17.814363247237427</v>
      </c>
      <c r="AR270" s="62">
        <f t="shared" si="238"/>
        <v>-86.261939990874879</v>
      </c>
      <c r="AS270" s="32" t="str">
        <f t="shared" si="215"/>
        <v>-0.0000166666666666667</v>
      </c>
      <c r="AT270" s="32" t="str">
        <f t="shared" si="216"/>
        <v>0.0000707389787064767i</v>
      </c>
      <c r="AU270" s="32">
        <f t="shared" si="239"/>
        <v>7.0738978706476701E-5</v>
      </c>
      <c r="AV270" s="32">
        <f t="shared" si="240"/>
        <v>1.5707963267948966</v>
      </c>
      <c r="AW270" s="32" t="str">
        <f t="shared" si="217"/>
        <v>1+0.0718894050037794i</v>
      </c>
      <c r="AX270" s="32">
        <f t="shared" si="241"/>
        <v>1.0025807132354967</v>
      </c>
      <c r="AY270" s="32">
        <f t="shared" si="242"/>
        <v>7.1765944056635611E-2</v>
      </c>
      <c r="AZ270" s="32" t="str">
        <f t="shared" si="218"/>
        <v>1+2.4442397701285i</v>
      </c>
      <c r="BA270" s="32">
        <f t="shared" si="243"/>
        <v>2.6408915263368584</v>
      </c>
      <c r="BB270" s="32">
        <f t="shared" si="244"/>
        <v>1.1824482638280951</v>
      </c>
      <c r="BC270" s="59" t="str">
        <f t="shared" si="245"/>
        <v>-0.556070814579528+0.275583562843646i</v>
      </c>
      <c r="BD270" s="50">
        <f t="shared" si="246"/>
        <v>-4.1435763696416137</v>
      </c>
      <c r="BE270" s="62">
        <f t="shared" si="247"/>
        <v>153.63740930270433</v>
      </c>
      <c r="BF270" s="59" t="str">
        <f t="shared" si="248"/>
        <v>0.855979411466606+1.46518912403679i</v>
      </c>
      <c r="BG270" s="65">
        <f t="shared" si="249"/>
        <v>4.593140546411937</v>
      </c>
      <c r="BH270" s="62">
        <f t="shared" si="250"/>
        <v>59.706063229802666</v>
      </c>
      <c r="BI270" s="59" t="str">
        <f t="shared" si="255"/>
        <v>1.85631153710163+4.45412601912882i</v>
      </c>
      <c r="BJ270" s="65">
        <f t="shared" si="251"/>
        <v>13.670786877595813</v>
      </c>
      <c r="BK270" s="62">
        <f t="shared" si="256"/>
        <v>67.375469311829505</v>
      </c>
      <c r="BL270" s="50">
        <f t="shared" si="252"/>
        <v>4.593140546411937</v>
      </c>
      <c r="BM270" s="62">
        <f t="shared" si="253"/>
        <v>59.706063229802666</v>
      </c>
    </row>
    <row r="271" spans="14:65" x14ac:dyDescent="0.3">
      <c r="N271" s="11">
        <v>53</v>
      </c>
      <c r="O271" s="51">
        <f t="shared" si="254"/>
        <v>3388.4415613920314</v>
      </c>
      <c r="P271" s="49" t="str">
        <f t="shared" si="206"/>
        <v>27.9103246607183</v>
      </c>
      <c r="Q271" s="18" t="str">
        <f t="shared" si="207"/>
        <v>1+10.4582115976871i</v>
      </c>
      <c r="R271" s="18">
        <f t="shared" si="219"/>
        <v>10.5059121366018</v>
      </c>
      <c r="S271" s="18">
        <f t="shared" si="220"/>
        <v>1.47546750701848</v>
      </c>
      <c r="T271" s="18" t="str">
        <f t="shared" si="208"/>
        <v>1+0.00936769074242105i</v>
      </c>
      <c r="U271" s="18">
        <f t="shared" si="221"/>
        <v>1.0000438758523775</v>
      </c>
      <c r="V271" s="18">
        <f t="shared" si="222"/>
        <v>9.3674167405590602E-3</v>
      </c>
      <c r="W271" s="32" t="str">
        <f t="shared" si="209"/>
        <v>1-0.123535764560547i</v>
      </c>
      <c r="X271" s="18">
        <f t="shared" si="223"/>
        <v>1.0076016500212566</v>
      </c>
      <c r="Y271" s="18">
        <f t="shared" si="224"/>
        <v>-0.12291302694344913</v>
      </c>
      <c r="Z271" s="32" t="str">
        <f t="shared" si="210"/>
        <v>0.999762778177377+0.0564916267653748i</v>
      </c>
      <c r="AA271" s="18">
        <f t="shared" si="225"/>
        <v>1.0013575368086793</v>
      </c>
      <c r="AB271" s="18">
        <f t="shared" si="226"/>
        <v>5.6445009163262408E-2</v>
      </c>
      <c r="AC271" s="67" t="str">
        <f t="shared" si="227"/>
        <v>-0.19940900611582-2.6658658371487i</v>
      </c>
      <c r="AD271" s="65">
        <f t="shared" si="228"/>
        <v>8.540997553808614</v>
      </c>
      <c r="AE271" s="62">
        <f t="shared" si="229"/>
        <v>-94.277806007343457</v>
      </c>
      <c r="AF271" s="50" t="str">
        <f t="shared" si="211"/>
        <v>79.1527877025864</v>
      </c>
      <c r="AG271" s="50" t="str">
        <f t="shared" si="212"/>
        <v>1+10.3765189762202i</v>
      </c>
      <c r="AH271" s="50">
        <f t="shared" si="230"/>
        <v>10.424593328464086</v>
      </c>
      <c r="AI271" s="50">
        <f t="shared" si="231"/>
        <v>1.4747215909090883</v>
      </c>
      <c r="AJ271" s="50" t="str">
        <f t="shared" si="213"/>
        <v>1+0.00936769074242105i</v>
      </c>
      <c r="AK271" s="50">
        <f t="shared" si="232"/>
        <v>1.0000438758523775</v>
      </c>
      <c r="AL271" s="50">
        <f t="shared" si="233"/>
        <v>9.3674167405590602E-3</v>
      </c>
      <c r="AM271" s="50" t="str">
        <f t="shared" si="214"/>
        <v>1-0.0432200196981834i</v>
      </c>
      <c r="AN271" s="50">
        <f t="shared" si="234"/>
        <v>1.0009335492942133</v>
      </c>
      <c r="AO271" s="50">
        <f t="shared" si="235"/>
        <v>-4.3193138584749234E-2</v>
      </c>
      <c r="AP271" s="59" t="str">
        <f t="shared" si="236"/>
        <v>0.472806411660618-7.58559090974856i</v>
      </c>
      <c r="AQ271" s="50">
        <f t="shared" si="237"/>
        <v>17.61662787978608</v>
      </c>
      <c r="AR271" s="62">
        <f t="shared" si="238"/>
        <v>-86.433394216564679</v>
      </c>
      <c r="AS271" s="32" t="str">
        <f t="shared" si="215"/>
        <v>-0.0000166666666666667</v>
      </c>
      <c r="AT271" s="32" t="str">
        <f t="shared" si="216"/>
        <v>0.0000723867011914352i</v>
      </c>
      <c r="AU271" s="32">
        <f t="shared" si="239"/>
        <v>7.2386701191435205E-5</v>
      </c>
      <c r="AV271" s="32">
        <f t="shared" si="240"/>
        <v>1.5707963267948966</v>
      </c>
      <c r="AW271" s="32" t="str">
        <f t="shared" si="217"/>
        <v>1+0.0735639243596005i</v>
      </c>
      <c r="AX271" s="32">
        <f t="shared" si="241"/>
        <v>1.0027021746097817</v>
      </c>
      <c r="AY271" s="32">
        <f t="shared" si="242"/>
        <v>7.3431652818352511E-2</v>
      </c>
      <c r="AZ271" s="32" t="str">
        <f t="shared" si="218"/>
        <v>1+2.50117342822642i</v>
      </c>
      <c r="BA271" s="32">
        <f t="shared" si="243"/>
        <v>2.693671939577257</v>
      </c>
      <c r="BB271" s="32">
        <f t="shared" si="244"/>
        <v>1.1904517363864586</v>
      </c>
      <c r="BC271" s="59" t="str">
        <f t="shared" si="245"/>
        <v>-0.555936104520481+0.271141712386012i</v>
      </c>
      <c r="BD271" s="50">
        <f t="shared" si="246"/>
        <v>-4.1727458083235138</v>
      </c>
      <c r="BE271" s="62">
        <f t="shared" si="247"/>
        <v>154.00053641980298</v>
      </c>
      <c r="BF271" s="59" t="str">
        <f t="shared" si="248"/>
        <v>0.833686094142198+1.42798296929524i</v>
      </c>
      <c r="BG271" s="65">
        <f t="shared" si="249"/>
        <v>4.3682517454850878</v>
      </c>
      <c r="BH271" s="62">
        <f t="shared" si="250"/>
        <v>59.722730412459477</v>
      </c>
      <c r="BI271" s="59" t="str">
        <f t="shared" si="255"/>
        <v>1.79391995403808+4.34530140093633i</v>
      </c>
      <c r="BJ271" s="65">
        <f t="shared" si="251"/>
        <v>13.443882071462562</v>
      </c>
      <c r="BK271" s="62">
        <f t="shared" si="256"/>
        <v>67.567142203238319</v>
      </c>
      <c r="BL271" s="50">
        <f t="shared" si="252"/>
        <v>4.3682517454850878</v>
      </c>
      <c r="BM271" s="62">
        <f t="shared" si="253"/>
        <v>59.722730412459477</v>
      </c>
    </row>
    <row r="272" spans="14:65" x14ac:dyDescent="0.3">
      <c r="N272" s="11">
        <v>54</v>
      </c>
      <c r="O272" s="51">
        <f t="shared" si="254"/>
        <v>3467.3685045253224</v>
      </c>
      <c r="P272" s="49" t="str">
        <f t="shared" si="206"/>
        <v>27.9103246607183</v>
      </c>
      <c r="Q272" s="18" t="str">
        <f t="shared" si="207"/>
        <v>1+10.7018146397025i</v>
      </c>
      <c r="R272" s="18">
        <f t="shared" si="219"/>
        <v>10.748434145611665</v>
      </c>
      <c r="S272" s="18">
        <f t="shared" si="220"/>
        <v>1.4776247749114542</v>
      </c>
      <c r="T272" s="18" t="str">
        <f t="shared" si="208"/>
        <v>1+0.00958589229057276i</v>
      </c>
      <c r="U272" s="18">
        <f t="shared" si="221"/>
        <v>1.0000459436100955</v>
      </c>
      <c r="V272" s="18">
        <f t="shared" si="222"/>
        <v>9.585598693016454E-3</v>
      </c>
      <c r="W272" s="32" t="str">
        <f t="shared" si="209"/>
        <v>1-0.126413282170853i</v>
      </c>
      <c r="X272" s="18">
        <f t="shared" si="223"/>
        <v>1.0079584901716974</v>
      </c>
      <c r="Y272" s="18">
        <f t="shared" si="224"/>
        <v>-0.12574629101164003</v>
      </c>
      <c r="Z272" s="32" t="str">
        <f t="shared" si="210"/>
        <v>0.99975159825731+0.0578074857915479i</v>
      </c>
      <c r="AA272" s="18">
        <f t="shared" si="225"/>
        <v>1.0014214715251444</v>
      </c>
      <c r="AB272" s="18">
        <f t="shared" si="226"/>
        <v>5.775753792757346E-2</v>
      </c>
      <c r="AC272" s="67" t="str">
        <f t="shared" si="227"/>
        <v>-0.210823013885002-2.605241829762i</v>
      </c>
      <c r="AD272" s="65">
        <f t="shared" si="228"/>
        <v>8.3453077891330061</v>
      </c>
      <c r="AE272" s="62">
        <f t="shared" si="229"/>
        <v>-94.626443879886168</v>
      </c>
      <c r="AF272" s="50" t="str">
        <f t="shared" si="211"/>
        <v>79.1527877025864</v>
      </c>
      <c r="AG272" s="50" t="str">
        <f t="shared" si="212"/>
        <v>1+10.6182191526344i</v>
      </c>
      <c r="AH272" s="50">
        <f t="shared" si="230"/>
        <v>10.665204075561423</v>
      </c>
      <c r="AI272" s="50">
        <f t="shared" si="231"/>
        <v>1.4768955382382631</v>
      </c>
      <c r="AJ272" s="50" t="str">
        <f t="shared" si="213"/>
        <v>1+0.00958589229057276i</v>
      </c>
      <c r="AK272" s="50">
        <f t="shared" si="232"/>
        <v>1.0000459436100955</v>
      </c>
      <c r="AL272" s="50">
        <f t="shared" si="233"/>
        <v>9.585598693016454E-3</v>
      </c>
      <c r="AM272" s="50" t="str">
        <f t="shared" si="214"/>
        <v>1-0.0442267432833872i</v>
      </c>
      <c r="AN272" s="50">
        <f t="shared" si="234"/>
        <v>1.0009775246335229</v>
      </c>
      <c r="AO272" s="50">
        <f t="shared" si="235"/>
        <v>-4.4197941170381776E-2</v>
      </c>
      <c r="AP272" s="59" t="str">
        <f t="shared" si="236"/>
        <v>0.440206984539554-7.4161341588325i</v>
      </c>
      <c r="AQ272" s="50">
        <f t="shared" si="237"/>
        <v>17.418826476527649</v>
      </c>
      <c r="AR272" s="62">
        <f t="shared" si="238"/>
        <v>-86.603022265768985</v>
      </c>
      <c r="AS272" s="32" t="str">
        <f t="shared" si="215"/>
        <v>-0.0000166666666666667</v>
      </c>
      <c r="AT272" s="32" t="str">
        <f t="shared" si="216"/>
        <v>0.0000740728040635166i</v>
      </c>
      <c r="AU272" s="32">
        <f t="shared" si="239"/>
        <v>7.4072804063516606E-5</v>
      </c>
      <c r="AV272" s="32">
        <f t="shared" si="240"/>
        <v>1.5707963267948966</v>
      </c>
      <c r="AW272" s="32" t="str">
        <f t="shared" si="217"/>
        <v>1+0.0752774482818507i</v>
      </c>
      <c r="AX272" s="32">
        <f t="shared" si="241"/>
        <v>1.0028293445147218</v>
      </c>
      <c r="AY272" s="32">
        <f t="shared" si="242"/>
        <v>7.5135738359773524E-2</v>
      </c>
      <c r="AZ272" s="32" t="str">
        <f t="shared" si="218"/>
        <v>1+2.55943324158292i</v>
      </c>
      <c r="BA272" s="32">
        <f t="shared" si="243"/>
        <v>2.747853438253149</v>
      </c>
      <c r="BB272" s="32">
        <f t="shared" si="244"/>
        <v>1.1983228341400205</v>
      </c>
      <c r="BC272" s="59" t="str">
        <f t="shared" si="245"/>
        <v>-0.555795115708608+0.266842695801271i</v>
      </c>
      <c r="BD272" s="50">
        <f t="shared" si="246"/>
        <v>-4.2008700867936746</v>
      </c>
      <c r="BE272" s="62">
        <f t="shared" si="247"/>
        <v>154.35388019176423</v>
      </c>
      <c r="BF272" s="59" t="str">
        <f t="shared" si="248"/>
        <v>0.81236415446418+1.39172410285945i</v>
      </c>
      <c r="BG272" s="65">
        <f t="shared" si="249"/>
        <v>4.1444377023393146</v>
      </c>
      <c r="BH272" s="62">
        <f t="shared" si="250"/>
        <v>59.727436311877995</v>
      </c>
      <c r="BI272" s="59" t="str">
        <f t="shared" si="255"/>
        <v>1.73427633945886+4.23931716138395i</v>
      </c>
      <c r="BJ272" s="65">
        <f t="shared" si="251"/>
        <v>13.217956389733969</v>
      </c>
      <c r="BK272" s="62">
        <f t="shared" si="256"/>
        <v>67.750857925995206</v>
      </c>
      <c r="BL272" s="50">
        <f t="shared" si="252"/>
        <v>4.1444377023393146</v>
      </c>
      <c r="BM272" s="62">
        <f t="shared" si="253"/>
        <v>59.727436311877995</v>
      </c>
    </row>
    <row r="273" spans="14:65" x14ac:dyDescent="0.3">
      <c r="N273" s="11">
        <v>55</v>
      </c>
      <c r="O273" s="51">
        <f t="shared" si="254"/>
        <v>3548.1338923357539</v>
      </c>
      <c r="P273" s="49" t="str">
        <f t="shared" si="206"/>
        <v>27.9103246607183</v>
      </c>
      <c r="Q273" s="18" t="str">
        <f t="shared" si="207"/>
        <v>1+10.9510919254951i</v>
      </c>
      <c r="R273" s="18">
        <f t="shared" si="219"/>
        <v>10.996654689524625</v>
      </c>
      <c r="S273" s="18">
        <f t="shared" si="220"/>
        <v>1.4797337781250524</v>
      </c>
      <c r="T273" s="18" t="str">
        <f t="shared" si="208"/>
        <v>1+0.00980917640570117i</v>
      </c>
      <c r="U273" s="18">
        <f t="shared" si="221"/>
        <v>1.0000481088136501</v>
      </c>
      <c r="V273" s="18">
        <f t="shared" si="222"/>
        <v>9.8088618110689866E-3</v>
      </c>
      <c r="W273" s="32" t="str">
        <f t="shared" si="209"/>
        <v>1-0.129357825776643i</v>
      </c>
      <c r="X273" s="18">
        <f t="shared" si="223"/>
        <v>1.0083320123300956</v>
      </c>
      <c r="Y273" s="18">
        <f t="shared" si="224"/>
        <v>-0.12864345044233538</v>
      </c>
      <c r="Z273" s="32" t="str">
        <f t="shared" si="210"/>
        <v>0.999739891443844+0.05915399511186i</v>
      </c>
      <c r="AA273" s="18">
        <f t="shared" si="225"/>
        <v>1.0014884151510905</v>
      </c>
      <c r="AB273" s="18">
        <f t="shared" si="226"/>
        <v>5.9100479270481163E-2</v>
      </c>
      <c r="AC273" s="67" t="str">
        <f t="shared" si="227"/>
        <v>-0.22172713180487-2.54590374030178i</v>
      </c>
      <c r="AD273" s="65">
        <f t="shared" si="228"/>
        <v>8.1496563767877035</v>
      </c>
      <c r="AE273" s="62">
        <f t="shared" si="229"/>
        <v>-94.97742870765714</v>
      </c>
      <c r="AF273" s="50" t="str">
        <f t="shared" si="211"/>
        <v>79.1527877025864</v>
      </c>
      <c r="AG273" s="50" t="str">
        <f t="shared" si="212"/>
        <v>1+10.865549249392i</v>
      </c>
      <c r="AH273" s="50">
        <f t="shared" si="230"/>
        <v>10.911469217798448</v>
      </c>
      <c r="AI273" s="50">
        <f t="shared" si="231"/>
        <v>1.4790208609956941</v>
      </c>
      <c r="AJ273" s="50" t="str">
        <f t="shared" si="213"/>
        <v>1+0.00980917640570117i</v>
      </c>
      <c r="AK273" s="50">
        <f t="shared" si="232"/>
        <v>1.0000481088136501</v>
      </c>
      <c r="AL273" s="50">
        <f t="shared" si="233"/>
        <v>9.8088618110689866E-3</v>
      </c>
      <c r="AM273" s="50" t="str">
        <f t="shared" si="214"/>
        <v>1-0.0452569164732898i</v>
      </c>
      <c r="AN273" s="50">
        <f t="shared" si="234"/>
        <v>1.0010235703961572</v>
      </c>
      <c r="AO273" s="50">
        <f t="shared" si="235"/>
        <v>-4.5226056157283694E-2</v>
      </c>
      <c r="AP273" s="59" t="str">
        <f t="shared" si="236"/>
        <v>0.409049545919595-7.2503354307371i</v>
      </c>
      <c r="AQ273" s="50">
        <f t="shared" si="237"/>
        <v>17.22096359389203</v>
      </c>
      <c r="AR273" s="62">
        <f t="shared" si="238"/>
        <v>-86.770908905091162</v>
      </c>
      <c r="AS273" s="32" t="str">
        <f t="shared" si="215"/>
        <v>-0.0000166666666666667</v>
      </c>
      <c r="AT273" s="32" t="str">
        <f t="shared" si="216"/>
        <v>0.0000757981813167817i</v>
      </c>
      <c r="AU273" s="32">
        <f t="shared" si="239"/>
        <v>7.5798181316781706E-5</v>
      </c>
      <c r="AV273" s="32">
        <f t="shared" si="240"/>
        <v>1.5707963267948966</v>
      </c>
      <c r="AW273" s="32" t="str">
        <f t="shared" si="217"/>
        <v>1+0.0770308853035944i</v>
      </c>
      <c r="AX273" s="32">
        <f t="shared" si="241"/>
        <v>1.002962490470434</v>
      </c>
      <c r="AY273" s="32">
        <f t="shared" si="242"/>
        <v>7.6879064599385788E-2</v>
      </c>
      <c r="AZ273" s="32" t="str">
        <f t="shared" si="218"/>
        <v>1+2.61905010032221i</v>
      </c>
      <c r="BA273" s="32">
        <f t="shared" si="243"/>
        <v>2.8034663236782031</v>
      </c>
      <c r="BB273" s="32">
        <f t="shared" si="244"/>
        <v>1.2060618282376934</v>
      </c>
      <c r="BC273" s="59" t="str">
        <f t="shared" si="245"/>
        <v>-0.5556475589244+0.262684168006494i</v>
      </c>
      <c r="BD273" s="50">
        <f t="shared" si="246"/>
        <v>-4.2279876698167387</v>
      </c>
      <c r="BE273" s="62">
        <f t="shared" si="247"/>
        <v>154.69740665539348</v>
      </c>
      <c r="BF273" s="59" t="str">
        <f t="shared" si="248"/>
        <v>0.791970745380479+1.35638099141256i</v>
      </c>
      <c r="BG273" s="65">
        <f t="shared" si="249"/>
        <v>3.9216687069709892</v>
      </c>
      <c r="BH273" s="62">
        <f t="shared" si="250"/>
        <v>59.719977947736453</v>
      </c>
      <c r="BI273" s="59" t="str">
        <f t="shared" si="255"/>
        <v>1.67726094872182+4.13608202311548i</v>
      </c>
      <c r="BJ273" s="65">
        <f t="shared" si="251"/>
        <v>12.992975924075289</v>
      </c>
      <c r="BK273" s="62">
        <f t="shared" si="256"/>
        <v>67.926497750302374</v>
      </c>
      <c r="BL273" s="50">
        <f t="shared" si="252"/>
        <v>3.9216687069709892</v>
      </c>
      <c r="BM273" s="62">
        <f t="shared" si="253"/>
        <v>59.719977947736453</v>
      </c>
    </row>
    <row r="274" spans="14:65" x14ac:dyDescent="0.3">
      <c r="N274" s="11">
        <v>56</v>
      </c>
      <c r="O274" s="51">
        <f t="shared" si="254"/>
        <v>3630.7805477010188</v>
      </c>
      <c r="P274" s="49" t="str">
        <f t="shared" si="206"/>
        <v>27.9103246607183</v>
      </c>
      <c r="Q274" s="18" t="str">
        <f t="shared" si="207"/>
        <v>1+11.2061756251815i</v>
      </c>
      <c r="R274" s="18">
        <f t="shared" si="219"/>
        <v>11.250705406436165</v>
      </c>
      <c r="S274" s="18">
        <f t="shared" si="220"/>
        <v>1.4817955597942611</v>
      </c>
      <c r="T274" s="18" t="str">
        <f t="shared" si="208"/>
        <v>1+0.0100376614759998i</v>
      </c>
      <c r="U274" s="18">
        <f t="shared" si="221"/>
        <v>1.0000503760550798</v>
      </c>
      <c r="V274" s="18">
        <f t="shared" si="222"/>
        <v>1.0037324382695188E-2</v>
      </c>
      <c r="W274" s="32" t="str">
        <f t="shared" si="209"/>
        <v>1-0.132370956613913i</v>
      </c>
      <c r="X274" s="18">
        <f t="shared" si="223"/>
        <v>1.0087229898018992</v>
      </c>
      <c r="Y274" s="18">
        <f t="shared" si="224"/>
        <v>-0.13160584670500175</v>
      </c>
      <c r="Z274" s="32" t="str">
        <f t="shared" si="210"/>
        <v>0.999727632905257+0.0605318686633765i</v>
      </c>
      <c r="AA274" s="18">
        <f t="shared" si="225"/>
        <v>1.0015585090838321</v>
      </c>
      <c r="AB274" s="18">
        <f t="shared" si="226"/>
        <v>6.0474530184092969E-2</v>
      </c>
      <c r="AC274" s="67" t="str">
        <f t="shared" si="227"/>
        <v>-0.232143319784553-2.48782640779492i</v>
      </c>
      <c r="AD274" s="65">
        <f t="shared" si="228"/>
        <v>7.9540521343195456</v>
      </c>
      <c r="AE274" s="62">
        <f t="shared" si="229"/>
        <v>-95.330930275731518</v>
      </c>
      <c r="AF274" s="50" t="str">
        <f t="shared" si="211"/>
        <v>79.1527877025864</v>
      </c>
      <c r="AG274" s="50" t="str">
        <f t="shared" si="212"/>
        <v>1+11.1186404041843i</v>
      </c>
      <c r="AH274" s="50">
        <f t="shared" si="230"/>
        <v>11.163519357154335</v>
      </c>
      <c r="AI274" s="50">
        <f t="shared" si="231"/>
        <v>1.4810986092126457</v>
      </c>
      <c r="AJ274" s="50" t="str">
        <f t="shared" si="213"/>
        <v>1+0.0100376614759998i</v>
      </c>
      <c r="AK274" s="50">
        <f t="shared" si="232"/>
        <v>1.0000503760550798</v>
      </c>
      <c r="AL274" s="50">
        <f t="shared" si="233"/>
        <v>1.0037324382695188E-2</v>
      </c>
      <c r="AM274" s="50" t="str">
        <f t="shared" si="214"/>
        <v>1-0.0463110854793531i</v>
      </c>
      <c r="AN274" s="50">
        <f t="shared" si="234"/>
        <v>1.0010717839587109</v>
      </c>
      <c r="AO274" s="50">
        <f t="shared" si="235"/>
        <v>-4.6278019966773401E-2</v>
      </c>
      <c r="AP274" s="59" t="str">
        <f t="shared" si="236"/>
        <v>0.379271388014398-7.08812480831128i</v>
      </c>
      <c r="AQ274" s="50">
        <f t="shared" si="237"/>
        <v>17.023043666369478</v>
      </c>
      <c r="AR274" s="62">
        <f t="shared" si="238"/>
        <v>-86.937138254166712</v>
      </c>
      <c r="AS274" s="32" t="str">
        <f t="shared" si="215"/>
        <v>-0.0000166666666666667</v>
      </c>
      <c r="AT274" s="32" t="str">
        <f t="shared" si="216"/>
        <v>0.0000775637477690889i</v>
      </c>
      <c r="AU274" s="32">
        <f t="shared" si="239"/>
        <v>7.7563747769088893E-5</v>
      </c>
      <c r="AV274" s="32">
        <f t="shared" si="240"/>
        <v>1.5707963267948966</v>
      </c>
      <c r="AW274" s="32" t="str">
        <f t="shared" si="217"/>
        <v>1+0.0788251651203509i</v>
      </c>
      <c r="AX274" s="32">
        <f t="shared" si="241"/>
        <v>1.0031018924597095</v>
      </c>
      <c r="AY274" s="32">
        <f t="shared" si="242"/>
        <v>7.8662513461784794E-2</v>
      </c>
      <c r="AZ274" s="32" t="str">
        <f t="shared" si="218"/>
        <v>1+2.68005561409193i</v>
      </c>
      <c r="BA274" s="32">
        <f t="shared" si="243"/>
        <v>2.8605415736579798</v>
      </c>
      <c r="BB274" s="32">
        <f t="shared" si="244"/>
        <v>1.2136691129448738</v>
      </c>
      <c r="BC274" s="59" t="str">
        <f t="shared" si="245"/>
        <v>-0.555493131954613+0.258663853801431i</v>
      </c>
      <c r="BD274" s="50">
        <f t="shared" si="246"/>
        <v>-4.2541364315353007</v>
      </c>
      <c r="BE274" s="62">
        <f t="shared" si="247"/>
        <v>155.03108786987639</v>
      </c>
      <c r="BF274" s="59" t="str">
        <f t="shared" si="248"/>
        <v>0.772464785998667+1.32192339729566i</v>
      </c>
      <c r="BG274" s="65">
        <f t="shared" si="249"/>
        <v>3.6999157027842253</v>
      </c>
      <c r="BH274" s="62">
        <f t="shared" si="250"/>
        <v>59.700157594144777</v>
      </c>
      <c r="BI274" s="59" t="str">
        <f t="shared" si="255"/>
        <v>1.62275902795443+4.03550844831445i</v>
      </c>
      <c r="BJ274" s="65">
        <f t="shared" si="251"/>
        <v>12.768907234834185</v>
      </c>
      <c r="BK274" s="62">
        <f t="shared" si="256"/>
        <v>68.093949615709732</v>
      </c>
      <c r="BL274" s="50">
        <f t="shared" si="252"/>
        <v>3.6999157027842253</v>
      </c>
      <c r="BM274" s="62">
        <f t="shared" si="253"/>
        <v>59.700157594144777</v>
      </c>
    </row>
    <row r="275" spans="14:65" x14ac:dyDescent="0.3">
      <c r="N275" s="11">
        <v>57</v>
      </c>
      <c r="O275" s="51">
        <f t="shared" si="254"/>
        <v>3715.352290971724</v>
      </c>
      <c r="P275" s="49" t="str">
        <f t="shared" ref="P275:P338" si="257">COMPLEX(Adc,0)</f>
        <v>27.9103246607183</v>
      </c>
      <c r="Q275" s="18" t="str">
        <f t="shared" ref="Q275:Q338" si="258">IMSUM(COMPLEX(1,0),IMDIV(COMPLEX(0,2*PI()*O275),COMPLEX(wp_lf,0)))</f>
        <v>1+11.4672009875156i</v>
      </c>
      <c r="R275" s="18">
        <f t="shared" si="219"/>
        <v>11.510721023814222</v>
      </c>
      <c r="S275" s="18">
        <f t="shared" si="220"/>
        <v>1.4838111429480794</v>
      </c>
      <c r="T275" s="18" t="str">
        <f t="shared" ref="T275:T338" si="259">IMSUM(COMPLEX(1,0),IMDIV(COMPLEX(0,2*PI()*O275),COMPLEX(wz_esr,0)))</f>
        <v>1+0.010271468647277i</v>
      </c>
      <c r="U275" s="18">
        <f t="shared" si="221"/>
        <v>1.0000527501427972</v>
      </c>
      <c r="V275" s="18">
        <f t="shared" si="222"/>
        <v>1.0271107446322435E-2</v>
      </c>
      <c r="W275" s="32" t="str">
        <f t="shared" ref="W275:W338" si="260">IMSUB(COMPLEX(1,0),IMDIV(COMPLEX(0,2*PI()*O275),COMPLEX(wz_rhp,0)))</f>
        <v>1-0.135454272284517i</v>
      </c>
      <c r="X275" s="18">
        <f t="shared" si="223"/>
        <v>1.0091322311174726</v>
      </c>
      <c r="Y275" s="18">
        <f t="shared" si="224"/>
        <v>-0.13463484241202148</v>
      </c>
      <c r="Z275" s="32" t="str">
        <f t="shared" ref="Z275:Z338" si="261">IMSUM(COMPLEX(1,0),IMDIV(COMPLEX(0,2*PI()*O275),COMPLEX(Q*(wsl/2),0)),IMDIV(IMPOWER(COMPLEX(0,2*PI()*O275),2),IMPOWER(COMPLEX(wsl/2,0),2)))</f>
        <v>0.999714796639545+0.0619418370128921i</v>
      </c>
      <c r="AA275" s="18">
        <f t="shared" si="225"/>
        <v>1.0016319013452888</v>
      </c>
      <c r="AB275" s="18">
        <f t="shared" si="226"/>
        <v>6.1880403085198592E-2</v>
      </c>
      <c r="AC275" s="67" t="str">
        <f t="shared" si="227"/>
        <v>-0.242092604389846-2.43098493301638i</v>
      </c>
      <c r="AD275" s="65">
        <f t="shared" si="228"/>
        <v>7.7585039574824908</v>
      </c>
      <c r="AE275" s="62">
        <f t="shared" si="229"/>
        <v>-95.687119154776113</v>
      </c>
      <c r="AF275" s="50" t="str">
        <f t="shared" ref="AF275:AF338" si="262">COMPLEX($B$72,0)</f>
        <v>79.1527877025864</v>
      </c>
      <c r="AG275" s="50" t="str">
        <f t="shared" ref="AG275:AG338" si="263">IMSUM(COMPLEX(1,0),IMDIV(COMPLEX(0,2*PI()*O275),COMPLEX(wp_lf_DCM,0)))</f>
        <v>1+11.3776268092915i</v>
      </c>
      <c r="AH275" s="50">
        <f t="shared" si="230"/>
        <v>11.421488160984483</v>
      </c>
      <c r="AI275" s="50">
        <f t="shared" si="231"/>
        <v>1.4831298127413108</v>
      </c>
      <c r="AJ275" s="50" t="str">
        <f t="shared" ref="AJ275:AJ338" si="264">IMSUM(COMPLEX(1,0),IMDIV(COMPLEX(0,2*PI()*O275),COMPLEX(wz1_dcm,0)))</f>
        <v>1+0.010271468647277i</v>
      </c>
      <c r="AK275" s="50">
        <f t="shared" si="232"/>
        <v>1.0000527501427972</v>
      </c>
      <c r="AL275" s="50">
        <f t="shared" si="233"/>
        <v>1.0271107446322435E-2</v>
      </c>
      <c r="AM275" s="50" t="str">
        <f t="shared" ref="AM275:AM338" si="265">IMSUB(COMPLEX(1,0),IMDIV(COMPLEX(0,2*PI()*O275),COMPLEX(wz2_dcm,0)))</f>
        <v>1-0.047389809235937i</v>
      </c>
      <c r="AN275" s="50">
        <f t="shared" si="234"/>
        <v>1.0011222672677991</v>
      </c>
      <c r="AO275" s="50">
        <f t="shared" si="235"/>
        <v>-4.7354381045627933E-2</v>
      </c>
      <c r="AP275" s="59" t="str">
        <f t="shared" si="236"/>
        <v>0.35081243593908-6.92943310865983i</v>
      </c>
      <c r="AQ275" s="50">
        <f t="shared" si="237"/>
        <v>16.825071015103049</v>
      </c>
      <c r="AR275" s="62">
        <f t="shared" si="238"/>
        <v>-87.10179380787433</v>
      </c>
      <c r="AS275" s="32" t="str">
        <f t="shared" ref="AS275:AS338" si="266">COMPLEX(Adc_ea,0)</f>
        <v>-0.0000166666666666667</v>
      </c>
      <c r="AT275" s="32" t="str">
        <f t="shared" ref="AT275:AT338" si="267">COMPLEX(0,2*PI()*O275*wp0_ea)</f>
        <v>0.0000793704395471405i</v>
      </c>
      <c r="AU275" s="32">
        <f t="shared" si="239"/>
        <v>7.93704395471405E-5</v>
      </c>
      <c r="AV275" s="32">
        <f t="shared" si="240"/>
        <v>1.5707963267948966</v>
      </c>
      <c r="AW275" s="32" t="str">
        <f t="shared" ref="AW275:AW338" si="268">IMSUM(COMPLEX(1,0),IMDIV(COMPLEX(0,2*PI()*O275),COMPLEX(wp1_ea,0)))</f>
        <v>1+0.0806612390830284i</v>
      </c>
      <c r="AX275" s="32">
        <f t="shared" si="241"/>
        <v>1.0032478435014995</v>
      </c>
      <c r="AY275" s="32">
        <f t="shared" si="242"/>
        <v>8.0486985149032908E-2</v>
      </c>
      <c r="AZ275" s="32" t="str">
        <f t="shared" ref="AZ275:AZ338" si="269">IMSUM(COMPLEX(1,0),IMDIV(COMPLEX(0,2*PI()*O275),COMPLEX(wz_ea,0)))</f>
        <v>1+2.74248212882296i</v>
      </c>
      <c r="BA275" s="32">
        <f t="shared" si="243"/>
        <v>2.9191108623882913</v>
      </c>
      <c r="BB275" s="32">
        <f t="shared" si="244"/>
        <v>1.2211451988249222</v>
      </c>
      <c r="BC275" s="59" t="str">
        <f t="shared" si="245"/>
        <v>-0.555331519040079+0.254779546343734i</v>
      </c>
      <c r="BD275" s="50">
        <f t="shared" si="246"/>
        <v>-4.2793536334293387</v>
      </c>
      <c r="BE275" s="62">
        <f t="shared" si="247"/>
        <v>155.35490151056001</v>
      </c>
      <c r="BF275" s="59" t="str">
        <f t="shared" si="248"/>
        <v>0.753806892146548+1.28832231169591i</v>
      </c>
      <c r="BG275" s="65">
        <f t="shared" si="249"/>
        <v>3.4791503240531356</v>
      </c>
      <c r="BH275" s="62">
        <f t="shared" si="250"/>
        <v>59.667782355783842</v>
      </c>
      <c r="BI275" s="59" t="str">
        <f t="shared" si="255"/>
        <v>1.5706606208954+3.93751244759898i</v>
      </c>
      <c r="BJ275" s="65">
        <f t="shared" si="251"/>
        <v>12.545717381673708</v>
      </c>
      <c r="BK275" s="62">
        <f t="shared" si="256"/>
        <v>68.253107702685739</v>
      </c>
      <c r="BL275" s="50">
        <f t="shared" si="252"/>
        <v>3.4791503240531356</v>
      </c>
      <c r="BM275" s="62">
        <f t="shared" si="253"/>
        <v>59.667782355783842</v>
      </c>
    </row>
    <row r="276" spans="14:65" x14ac:dyDescent="0.3">
      <c r="N276" s="11">
        <v>58</v>
      </c>
      <c r="O276" s="51">
        <f t="shared" si="254"/>
        <v>3801.8939632056172</v>
      </c>
      <c r="P276" s="49" t="str">
        <f t="shared" si="257"/>
        <v>27.9103246607183</v>
      </c>
      <c r="Q276" s="18" t="str">
        <f t="shared" si="258"/>
        <v>1+11.7343064115997i</v>
      </c>
      <c r="R276" s="18">
        <f t="shared" ref="R276:R339" si="270">IMABS(Q276)</f>
        <v>11.776839430055494</v>
      </c>
      <c r="S276" s="18">
        <f t="shared" ref="S276:S339" si="271">IMARGUMENT(Q276)</f>
        <v>1.485781530731404</v>
      </c>
      <c r="T276" s="18" t="str">
        <f t="shared" si="259"/>
        <v>1+0.0105107218871901i</v>
      </c>
      <c r="U276" s="18">
        <f t="shared" ref="U276:U339" si="272">IMABS(T276)</f>
        <v>1.0000552361117809</v>
      </c>
      <c r="V276" s="18">
        <f t="shared" ref="V276:V339" si="273">IMARGUMENT(T276)</f>
        <v>1.0510334854548756E-2</v>
      </c>
      <c r="W276" s="32" t="str">
        <f t="shared" si="260"/>
        <v>1-0.138609407603236i</v>
      </c>
      <c r="X276" s="18">
        <f t="shared" ref="X276:X339" si="274">IMABS(W276)</f>
        <v>1.0095605815780051</v>
      </c>
      <c r="Y276" s="18">
        <f t="shared" ref="Y276:Y339" si="275">IMARGUMENT(W276)</f>
        <v>-0.13773182113569238</v>
      </c>
      <c r="Z276" s="32" t="str">
        <f t="shared" si="261"/>
        <v>0.999701355419267+0.0633846477442891i</v>
      </c>
      <c r="AA276" s="18">
        <f t="shared" ref="AA276:AA339" si="276">IMABS(Z276)</f>
        <v>1.001708746890426</v>
      </c>
      <c r="AB276" s="18">
        <f t="shared" ref="AB276:AB339" si="277">IMARGUMENT(Z276)</f>
        <v>6.3318826117275337E-2</v>
      </c>
      <c r="AC276" s="67" t="str">
        <f t="shared" ref="AC276:AC339" si="278">(IMDIV(IMPRODUCT(P276,T276,W276),IMPRODUCT(Q276,Z276)))</f>
        <v>-0.25159511474557-2.37535469141845i</v>
      </c>
      <c r="AD276" s="65">
        <f t="shared" ref="AD276:AD339" si="279">20*LOG(IMABS(AC276))</f>
        <v>7.5630208356566957</v>
      </c>
      <c r="AE276" s="62">
        <f t="shared" ref="AE276:AE339" si="280">(180/PI())*IMARGUMENT(AC276)</f>
        <v>-96.046166716930102</v>
      </c>
      <c r="AF276" s="50" t="str">
        <f t="shared" si="262"/>
        <v>79.1527877025864</v>
      </c>
      <c r="AG276" s="50" t="str">
        <f t="shared" si="263"/>
        <v>1+11.6426457827336i</v>
      </c>
      <c r="AH276" s="50">
        <f t="shared" ref="AH276:AH339" si="281">IMABS(AG276)</f>
        <v>11.685512433017411</v>
      </c>
      <c r="AI276" s="50">
        <f t="shared" ref="AI276:AI339" si="282">IMARGUMENT(AG276)</f>
        <v>1.4851154814730367</v>
      </c>
      <c r="AJ276" s="50" t="str">
        <f t="shared" si="264"/>
        <v>1+0.0105107218871901i</v>
      </c>
      <c r="AK276" s="50">
        <f t="shared" ref="AK276:AK339" si="283">IMABS(AJ276)</f>
        <v>1.0000552361117809</v>
      </c>
      <c r="AL276" s="50">
        <f t="shared" ref="AL276:AL339" si="284">IMARGUMENT(AJ276)</f>
        <v>1.0510334854548756E-2</v>
      </c>
      <c r="AM276" s="50" t="str">
        <f t="shared" si="265"/>
        <v>1-0.0484936596966561i</v>
      </c>
      <c r="AN276" s="50">
        <f t="shared" ref="AN276:AN339" si="285">IMABS(AM276)</f>
        <v>1.0011751270535916</v>
      </c>
      <c r="AO276" s="50">
        <f t="shared" ref="AO276:AO339" si="286">IMARGUMENT(AM276)</f>
        <v>-4.845570011289306E-2</v>
      </c>
      <c r="AP276" s="59" t="str">
        <f t="shared" ref="AP276:AP339" si="287">(IMDIV(IMPRODUCT(AF276,AJ276,AM276),IMPRODUCT(AG276)))</f>
        <v>0.323615145431945-6.77419192094516i</v>
      </c>
      <c r="AQ276" s="50">
        <f t="shared" ref="AQ276:AQ339" si="288">20*LOG(IMABS(AP276))</f>
        <v>16.627049856301827</v>
      </c>
      <c r="AR276" s="62">
        <f t="shared" ref="AR276:AR339" si="289">(180/PI())*IMARGUMENT(AP276)</f>
        <v>-87.264958459329662</v>
      </c>
      <c r="AS276" s="32" t="str">
        <f t="shared" si="266"/>
        <v>-0.0000166666666666667</v>
      </c>
      <c r="AT276" s="32" t="str">
        <f t="shared" si="267"/>
        <v>0.0000812192145828322i</v>
      </c>
      <c r="AU276" s="32">
        <f t="shared" ref="AU276:AU339" si="290">IMABS(AT276)</f>
        <v>8.1219214582832198E-5</v>
      </c>
      <c r="AV276" s="32">
        <f t="shared" ref="AV276:AV339" si="291">IMARGUMENT(AT276)</f>
        <v>1.5707963267948966</v>
      </c>
      <c r="AW276" s="32" t="str">
        <f t="shared" si="268"/>
        <v>1+0.0825400807023454i</v>
      </c>
      <c r="AX276" s="32">
        <f t="shared" ref="AX276:AX339" si="292">IMABS(AW276)</f>
        <v>1.0034006502501132</v>
      </c>
      <c r="AY276" s="32">
        <f t="shared" ref="AY276:AY339" si="293">IMARGUMENT(AW276)</f>
        <v>8.2353398408159278E-2</v>
      </c>
      <c r="AZ276" s="32" t="str">
        <f t="shared" si="269"/>
        <v>1+2.80636274387974i</v>
      </c>
      <c r="BA276" s="32">
        <f t="shared" ref="BA276:BA339" si="294">IMABS(AZ276)</f>
        <v>2.9792065806580492</v>
      </c>
      <c r="BB276" s="32">
        <f t="shared" ref="BB276:BB339" si="295">IMARGUMENT(AZ276)</f>
        <v>1.2284907059930688</v>
      </c>
      <c r="BC276" s="59" t="str">
        <f t="shared" ref="BC276:BC339" si="296">IMPRODUCT(AS276,IMDIV(AZ276,IMPRODUCT(AT276,AW276)))</f>
        <v>-0.555162390303098+0.251029105638987i</v>
      </c>
      <c r="BD276" s="50">
        <f t="shared" ref="BD276:BD339" si="297">20*LOG(IMABS(BC276))</f>
        <v>-4.3036759063925869</v>
      </c>
      <c r="BE276" s="62">
        <f t="shared" ref="BE276:BE339" si="298">(180/PI())*IMARGUMENT(BC276)</f>
        <v>155.66883046710282</v>
      </c>
      <c r="BF276" s="59" t="str">
        <f t="shared" ref="BF276:BF339" si="299">IMPRODUCT(AC276,BC276)</f>
        <v>0.735959309052878+1.25554989166783i</v>
      </c>
      <c r="BG276" s="65">
        <f t="shared" ref="BG276:BG339" si="300">20*LOG(IMABS(BF276))</f>
        <v>3.2593449292641314</v>
      </c>
      <c r="BH276" s="62">
        <f t="shared" ref="BH276:BH339" si="301">(180/PI())*IMARGUMENT(BF276)</f>
        <v>59.622663750172819</v>
      </c>
      <c r="BI276" s="59" t="str">
        <f t="shared" si="255"/>
        <v>1.52086038166543+3.84201339973286i</v>
      </c>
      <c r="BJ276" s="65">
        <f t="shared" ref="BJ276:BJ339" si="302">20*LOG(IMABS(BI276))</f>
        <v>12.323373949909232</v>
      </c>
      <c r="BK276" s="62">
        <f t="shared" si="256"/>
        <v>68.403872007773174</v>
      </c>
      <c r="BL276" s="50">
        <f t="shared" ref="BL276:BL339" si="303">IF($B$31=0,BJ276,BG276)</f>
        <v>3.2593449292641314</v>
      </c>
      <c r="BM276" s="62">
        <f t="shared" ref="BM276:BM339" si="304">IF($B$31=0,BK276,BH276)</f>
        <v>59.622663750172819</v>
      </c>
    </row>
    <row r="277" spans="14:65" x14ac:dyDescent="0.3">
      <c r="N277" s="11">
        <v>59</v>
      </c>
      <c r="O277" s="51">
        <f t="shared" si="254"/>
        <v>3890.451449942811</v>
      </c>
      <c r="P277" s="49" t="str">
        <f t="shared" si="257"/>
        <v>27.9103246607183</v>
      </c>
      <c r="Q277" s="18" t="str">
        <f t="shared" si="258"/>
        <v>1+12.0076335202651i</v>
      </c>
      <c r="R277" s="18">
        <f t="shared" si="270"/>
        <v>12.049201747709017</v>
      </c>
      <c r="S277" s="18">
        <f t="shared" si="271"/>
        <v>1.4877077066368385</v>
      </c>
      <c r="T277" s="18" t="str">
        <f t="shared" si="259"/>
        <v>1+0.0107555480509735i</v>
      </c>
      <c r="U277" s="18">
        <f t="shared" si="272"/>
        <v>1.0000578392342498</v>
      </c>
      <c r="V277" s="18">
        <f t="shared" si="273"/>
        <v>1.0755133339321953E-2</v>
      </c>
      <c r="W277" s="32" t="str">
        <f t="shared" si="260"/>
        <v>1-0.141838035464578i</v>
      </c>
      <c r="X277" s="18">
        <f t="shared" si="274"/>
        <v>1.0100089248637611</v>
      </c>
      <c r="Y277" s="18">
        <f t="shared" si="275"/>
        <v>-0.14089818717816022</v>
      </c>
      <c r="Z277" s="32" t="str">
        <f t="shared" si="261"/>
        <v>0.999687280733794+0.0648610658549152i</v>
      </c>
      <c r="AA277" s="18">
        <f t="shared" si="276"/>
        <v>1.0017892079298734</v>
      </c>
      <c r="AB277" s="18">
        <f t="shared" si="277"/>
        <v>6.4790543455508803E-2</v>
      </c>
      <c r="AC277" s="67" t="str">
        <f t="shared" si="278"/>
        <v>-0.260670117276723-2.3209113446022i</v>
      </c>
      <c r="AD277" s="65">
        <f t="shared" si="279"/>
        <v>7.3676118672747712</v>
      </c>
      <c r="AE277" s="62">
        <f t="shared" si="280"/>
        <v>-96.408245149646518</v>
      </c>
      <c r="AF277" s="50" t="str">
        <f t="shared" si="262"/>
        <v>79.1527877025864</v>
      </c>
      <c r="AG277" s="50" t="str">
        <f t="shared" si="263"/>
        <v>1+11.9138378410784i</v>
      </c>
      <c r="AH277" s="50">
        <f t="shared" si="281"/>
        <v>11.955732186006497</v>
      </c>
      <c r="AI277" s="50">
        <f t="shared" si="282"/>
        <v>1.4870566055668886</v>
      </c>
      <c r="AJ277" s="50" t="str">
        <f t="shared" si="264"/>
        <v>1+0.0107555480509735i</v>
      </c>
      <c r="AK277" s="50">
        <f t="shared" si="283"/>
        <v>1.0000578392342498</v>
      </c>
      <c r="AL277" s="50">
        <f t="shared" si="284"/>
        <v>1.0755133339321953E-2</v>
      </c>
      <c r="AM277" s="50" t="str">
        <f t="shared" si="265"/>
        <v>1-0.0496232221376358i</v>
      </c>
      <c r="AN277" s="50">
        <f t="shared" si="285"/>
        <v>1.0012304750532324</v>
      </c>
      <c r="AO277" s="50">
        <f t="shared" si="286"/>
        <v>-4.9582550410089708E-2</v>
      </c>
      <c r="AP277" s="59" t="str">
        <f t="shared" si="287"/>
        <v>0.297624403808538-6.62233363999747i</v>
      </c>
      <c r="AQ277" s="50">
        <f t="shared" si="288"/>
        <v>16.428984309487902</v>
      </c>
      <c r="AR277" s="62">
        <f t="shared" si="289"/>
        <v>-87.426714523582277</v>
      </c>
      <c r="AS277" s="32" t="str">
        <f t="shared" si="266"/>
        <v>-0.0000166666666666667</v>
      </c>
      <c r="AT277" s="32" t="str">
        <f t="shared" si="267"/>
        <v>0.000083111053121159i</v>
      </c>
      <c r="AU277" s="32">
        <f t="shared" si="290"/>
        <v>8.3111053121158999E-5</v>
      </c>
      <c r="AV277" s="32">
        <f t="shared" si="291"/>
        <v>1.5707963267948966</v>
      </c>
      <c r="AW277" s="32" t="str">
        <f t="shared" si="268"/>
        <v>1+0.084462686164998i</v>
      </c>
      <c r="AX277" s="32">
        <f t="shared" si="292"/>
        <v>1.0035606336212113</v>
      </c>
      <c r="AY277" s="32">
        <f t="shared" si="293"/>
        <v>8.4262690794022349E-2</v>
      </c>
      <c r="AZ277" s="32" t="str">
        <f t="shared" si="269"/>
        <v>1+2.87173132960993i</v>
      </c>
      <c r="BA277" s="32">
        <f t="shared" si="294"/>
        <v>3.0408618563596765</v>
      </c>
      <c r="BB277" s="32">
        <f t="shared" si="295"/>
        <v>1.2357063574673841</v>
      </c>
      <c r="BC277" s="59" t="str">
        <f t="shared" si="296"/>
        <v>-0.554985401153986+0.247410457043347i</v>
      </c>
      <c r="BD277" s="50">
        <f t="shared" si="297"/>
        <v>-4.3271392367367687</v>
      </c>
      <c r="BE277" s="62">
        <f t="shared" si="298"/>
        <v>155.972862447452</v>
      </c>
      <c r="BF277" s="59" t="str">
        <f t="shared" si="299"/>
        <v>0.718885846130798+1.22357940077391i</v>
      </c>
      <c r="BG277" s="65">
        <f t="shared" si="300"/>
        <v>3.0404726305379914</v>
      </c>
      <c r="BH277" s="62">
        <f t="shared" si="301"/>
        <v>59.564617297805448</v>
      </c>
      <c r="BI277" s="59" t="str">
        <f t="shared" si="255"/>
        <v>1.47325739342441+3.74893388154306i</v>
      </c>
      <c r="BJ277" s="65">
        <f t="shared" si="302"/>
        <v>12.101845072751141</v>
      </c>
      <c r="BK277" s="62">
        <f t="shared" si="256"/>
        <v>68.546147923869739</v>
      </c>
      <c r="BL277" s="50">
        <f t="shared" si="303"/>
        <v>3.0404726305379914</v>
      </c>
      <c r="BM277" s="62">
        <f t="shared" si="304"/>
        <v>59.564617297805448</v>
      </c>
    </row>
    <row r="278" spans="14:65" x14ac:dyDescent="0.3">
      <c r="N278" s="11">
        <v>60</v>
      </c>
      <c r="O278" s="51">
        <f t="shared" si="254"/>
        <v>3981.0717055349769</v>
      </c>
      <c r="P278" s="49" t="str">
        <f t="shared" si="257"/>
        <v>27.9103246607183</v>
      </c>
      <c r="Q278" s="18" t="str">
        <f t="shared" si="258"/>
        <v>1+12.2873272351627i</v>
      </c>
      <c r="R278" s="18">
        <f t="shared" si="270"/>
        <v>12.327952408407937</v>
      </c>
      <c r="S278" s="18">
        <f t="shared" si="271"/>
        <v>1.4895906347452916</v>
      </c>
      <c r="T278" s="18" t="str">
        <f t="shared" si="259"/>
        <v>1+0.0110060769487001i</v>
      </c>
      <c r="U278" s="18">
        <f t="shared" si="272"/>
        <v>1.0000605650308387</v>
      </c>
      <c r="V278" s="18">
        <f t="shared" si="273"/>
        <v>1.1005632578612819E-2</v>
      </c>
      <c r="W278" s="32" t="str">
        <f t="shared" si="260"/>
        <v>1-0.145141867729771i</v>
      </c>
      <c r="X278" s="18">
        <f t="shared" si="274"/>
        <v>1.0104781847066695</v>
      </c>
      <c r="Y278" s="18">
        <f t="shared" si="275"/>
        <v>-0.14413536529075785</v>
      </c>
      <c r="Z278" s="32" t="str">
        <f t="shared" si="261"/>
        <v>0.99967254272883+0.0663718741611951i</v>
      </c>
      <c r="AA278" s="18">
        <f t="shared" si="276"/>
        <v>1.0018734542673511</v>
      </c>
      <c r="AB278" s="18">
        <f t="shared" si="277"/>
        <v>6.6296315614627024E-2</v>
      </c>
      <c r="AC278" s="67" t="str">
        <f t="shared" si="278"/>
        <v>-0.269336049300432-2.26763085043079i</v>
      </c>
      <c r="AD278" s="65">
        <f t="shared" si="279"/>
        <v>7.172286275257477</v>
      </c>
      <c r="AE278" s="62">
        <f t="shared" si="280"/>
        <v>-96.773527467214592</v>
      </c>
      <c r="AF278" s="50" t="str">
        <f t="shared" si="262"/>
        <v>79.1527877025864</v>
      </c>
      <c r="AG278" s="50" t="str">
        <f t="shared" si="263"/>
        <v>1+12.1913467739447i</v>
      </c>
      <c r="AH278" s="50">
        <f t="shared" si="281"/>
        <v>12.232290716074885</v>
      </c>
      <c r="AI278" s="50">
        <f t="shared" si="282"/>
        <v>1.4889541556873749</v>
      </c>
      <c r="AJ278" s="50" t="str">
        <f t="shared" si="264"/>
        <v>1+0.0110060769487001i</v>
      </c>
      <c r="AK278" s="50">
        <f t="shared" si="283"/>
        <v>1.0000605650308387</v>
      </c>
      <c r="AL278" s="50">
        <f t="shared" si="284"/>
        <v>1.1005632578612819E-2</v>
      </c>
      <c r="AM278" s="50" t="str">
        <f t="shared" si="265"/>
        <v>1-0.0507790954678338i</v>
      </c>
      <c r="AN278" s="50">
        <f t="shared" si="285"/>
        <v>1.0012884282445949</v>
      </c>
      <c r="AO278" s="50">
        <f t="shared" si="286"/>
        <v>-5.0735517954737255E-2</v>
      </c>
      <c r="AP278" s="59" t="str">
        <f t="shared" si="287"/>
        <v>0.272787434116065-6.47379149601957i</v>
      </c>
      <c r="AQ278" s="50">
        <f t="shared" si="288"/>
        <v>16.230878405589326</v>
      </c>
      <c r="AR278" s="62">
        <f t="shared" si="289"/>
        <v>-87.587143761941945</v>
      </c>
      <c r="AS278" s="32" t="str">
        <f t="shared" si="266"/>
        <v>-0.0000166666666666667</v>
      </c>
      <c r="AT278" s="32" t="str">
        <f t="shared" si="267"/>
        <v>0.0000850469582399555i</v>
      </c>
      <c r="AU278" s="32">
        <f t="shared" si="290"/>
        <v>8.5046958239955495E-5</v>
      </c>
      <c r="AV278" s="32">
        <f t="shared" si="291"/>
        <v>1.5707963267948966</v>
      </c>
      <c r="AW278" s="32" t="str">
        <f t="shared" si="268"/>
        <v>1+0.0864300748618508i</v>
      </c>
      <c r="AX278" s="32">
        <f t="shared" si="292"/>
        <v>1.0037281294457305</v>
      </c>
      <c r="AY278" s="32">
        <f t="shared" si="293"/>
        <v>8.6215818926707891E-2</v>
      </c>
      <c r="AZ278" s="32" t="str">
        <f t="shared" si="269"/>
        <v>1+2.93862254530293i</v>
      </c>
      <c r="BA278" s="32">
        <f t="shared" si="294"/>
        <v>3.1041105753118186</v>
      </c>
      <c r="BB278" s="32">
        <f t="shared" si="295"/>
        <v>1.2427929726387428</v>
      </c>
      <c r="BC278" s="59" t="str">
        <f t="shared" si="296"/>
        <v>-0.554800191676368+0.243921589776532i</v>
      </c>
      <c r="BD278" s="50">
        <f t="shared" si="297"/>
        <v>-4.3497789559293629</v>
      </c>
      <c r="BE278" s="62">
        <f t="shared" si="298"/>
        <v>156.26698958895304</v>
      </c>
      <c r="BF278" s="59" t="str">
        <f t="shared" si="299"/>
        <v>0.702551813840623+1.19238515314076i</v>
      </c>
      <c r="BG278" s="65">
        <f t="shared" si="300"/>
        <v>2.8225073193281376</v>
      </c>
      <c r="BH278" s="62">
        <f t="shared" si="301"/>
        <v>59.493462121738517</v>
      </c>
      <c r="BI278" s="59" t="str">
        <f t="shared" si="255"/>
        <v>1.42775499285639+3.65819950746515i</v>
      </c>
      <c r="BJ278" s="65">
        <f t="shared" si="302"/>
        <v>11.881099449659962</v>
      </c>
      <c r="BK278" s="62">
        <f t="shared" si="256"/>
        <v>68.679845827011079</v>
      </c>
      <c r="BL278" s="50">
        <f t="shared" si="303"/>
        <v>2.8225073193281376</v>
      </c>
      <c r="BM278" s="62">
        <f t="shared" si="304"/>
        <v>59.493462121738517</v>
      </c>
    </row>
    <row r="279" spans="14:65" x14ac:dyDescent="0.3">
      <c r="N279" s="11">
        <v>61</v>
      </c>
      <c r="O279" s="51">
        <f t="shared" si="254"/>
        <v>4073.8027780411317</v>
      </c>
      <c r="P279" s="49" t="str">
        <f t="shared" si="257"/>
        <v>27.9103246607183</v>
      </c>
      <c r="Q279" s="18" t="str">
        <f t="shared" si="258"/>
        <v>1+12.5735358536025i</v>
      </c>
      <c r="R279" s="18">
        <f t="shared" si="270"/>
        <v>12.613239229548752</v>
      </c>
      <c r="S279" s="18">
        <f t="shared" si="271"/>
        <v>1.4914312599742958</v>
      </c>
      <c r="T279" s="18" t="str">
        <f t="shared" si="259"/>
        <v>1+0.0112624414141076i</v>
      </c>
      <c r="U279" s="18">
        <f t="shared" si="272"/>
        <v>1.0000634192823004</v>
      </c>
      <c r="V279" s="18">
        <f t="shared" si="273"/>
        <v>1.1261965264611207E-2</v>
      </c>
      <c r="W279" s="32" t="str">
        <f t="shared" si="260"/>
        <v>1-0.148522656134415i</v>
      </c>
      <c r="X279" s="18">
        <f t="shared" si="274"/>
        <v>1.0109693266292612</v>
      </c>
      <c r="Y279" s="18">
        <f t="shared" si="275"/>
        <v>-0.14744480033903287</v>
      </c>
      <c r="Z279" s="32" t="str">
        <f t="shared" si="261"/>
        <v>0.999657110143091+0.067917873713691i</v>
      </c>
      <c r="AA279" s="18">
        <f t="shared" si="276"/>
        <v>1.0019616636525697</v>
      </c>
      <c r="AB279" s="18">
        <f t="shared" si="277"/>
        <v>6.7836919759316328E-2</v>
      </c>
      <c r="AC279" s="67" t="str">
        <f t="shared" si="278"/>
        <v>-0.277610551483341-2.21548947188036i</v>
      </c>
      <c r="AD279" s="65">
        <f t="shared" si="279"/>
        <v>6.9770534224653193</v>
      </c>
      <c r="AE279" s="62">
        <f t="shared" si="280"/>
        <v>-97.142187519672774</v>
      </c>
      <c r="AF279" s="50" t="str">
        <f t="shared" si="262"/>
        <v>79.1527877025864</v>
      </c>
      <c r="AG279" s="50" t="str">
        <f t="shared" si="263"/>
        <v>1+12.4753197202422i</v>
      </c>
      <c r="AH279" s="50">
        <f t="shared" si="281"/>
        <v>12.515334678795607</v>
      </c>
      <c r="AI279" s="50">
        <f t="shared" si="282"/>
        <v>1.490809083250255</v>
      </c>
      <c r="AJ279" s="50" t="str">
        <f t="shared" si="264"/>
        <v>1+0.0112624414141076i</v>
      </c>
      <c r="AK279" s="50">
        <f t="shared" si="283"/>
        <v>1.0000634192823004</v>
      </c>
      <c r="AL279" s="50">
        <f t="shared" si="284"/>
        <v>1.1261965264611207E-2</v>
      </c>
      <c r="AM279" s="50" t="str">
        <f t="shared" si="265"/>
        <v>1-0.0519618925465898i</v>
      </c>
      <c r="AN279" s="50">
        <f t="shared" si="285"/>
        <v>1.0013491090908422</v>
      </c>
      <c r="AO279" s="50">
        <f t="shared" si="286"/>
        <v>-5.1915201797093621E-2</v>
      </c>
      <c r="AP279" s="59" t="str">
        <f t="shared" si="287"/>
        <v>0.249053702448413-6.32849958065517i</v>
      </c>
      <c r="AQ279" s="50">
        <f t="shared" si="288"/>
        <v>16.03273609488949</v>
      </c>
      <c r="AR279" s="62">
        <f t="shared" si="289"/>
        <v>-87.746327406865291</v>
      </c>
      <c r="AS279" s="32" t="str">
        <f t="shared" si="266"/>
        <v>-0.0000166666666666667</v>
      </c>
      <c r="AT279" s="32" t="str">
        <f t="shared" si="267"/>
        <v>0.0000870279563817404i</v>
      </c>
      <c r="AU279" s="32">
        <f t="shared" si="290"/>
        <v>8.7027956381740396E-5</v>
      </c>
      <c r="AV279" s="32">
        <f t="shared" si="291"/>
        <v>1.5707963267948966</v>
      </c>
      <c r="AW279" s="32" t="str">
        <f t="shared" si="268"/>
        <v>1+0.088443289928433i</v>
      </c>
      <c r="AX279" s="32">
        <f t="shared" si="292"/>
        <v>1.0039034891528991</v>
      </c>
      <c r="AY279" s="32">
        <f t="shared" si="293"/>
        <v>8.8213758742568357E-2</v>
      </c>
      <c r="AZ279" s="32" t="str">
        <f t="shared" si="269"/>
        <v>1+3.00707185756672i</v>
      </c>
      <c r="BA279" s="32">
        <f t="shared" si="294"/>
        <v>3.1689874023999787</v>
      </c>
      <c r="BB279" s="32">
        <f t="shared" si="295"/>
        <v>1.2497514608790077</v>
      </c>
      <c r="BC279" s="59" t="str">
        <f t="shared" si="296"/>
        <v>-0.554606385990801+0.240560555442844i</v>
      </c>
      <c r="BD279" s="50">
        <f t="shared" si="297"/>
        <v>-4.3716297338673149</v>
      </c>
      <c r="BE279" s="62">
        <f t="shared" si="298"/>
        <v>156.55120807774179</v>
      </c>
      <c r="BF279" s="59" t="str">
        <f t="shared" si="299"/>
        <v>0.686923962604401+1.16194246073861i</v>
      </c>
      <c r="BG279" s="65">
        <f t="shared" si="300"/>
        <v>2.605423688598012</v>
      </c>
      <c r="BH279" s="62">
        <f t="shared" si="301"/>
        <v>59.409020558069081</v>
      </c>
      <c r="BI279" s="59" t="str">
        <f t="shared" si="255"/>
        <v>1.38426060040967+3.56973877816755i</v>
      </c>
      <c r="BJ279" s="65">
        <f t="shared" si="302"/>
        <v>11.661106361022174</v>
      </c>
      <c r="BK279" s="62">
        <f t="shared" si="256"/>
        <v>68.8048806708765</v>
      </c>
      <c r="BL279" s="50">
        <f t="shared" si="303"/>
        <v>2.605423688598012</v>
      </c>
      <c r="BM279" s="62">
        <f t="shared" si="304"/>
        <v>59.409020558069081</v>
      </c>
    </row>
    <row r="280" spans="14:65" x14ac:dyDescent="0.3">
      <c r="N280" s="11">
        <v>62</v>
      </c>
      <c r="O280" s="51">
        <f t="shared" si="254"/>
        <v>4168.6938347033583</v>
      </c>
      <c r="P280" s="49" t="str">
        <f t="shared" si="257"/>
        <v>27.9103246607183</v>
      </c>
      <c r="Q280" s="18" t="str">
        <f t="shared" si="258"/>
        <v>1+12.8664111271822i</v>
      </c>
      <c r="R280" s="18">
        <f t="shared" si="270"/>
        <v>12.905213492758572</v>
      </c>
      <c r="S280" s="18">
        <f t="shared" si="271"/>
        <v>1.493230508333043</v>
      </c>
      <c r="T280" s="18" t="str">
        <f t="shared" si="259"/>
        <v>1+0.0115247773750289i</v>
      </c>
      <c r="U280" s="18">
        <f t="shared" si="272"/>
        <v>1.0000664080417581</v>
      </c>
      <c r="V280" s="18">
        <f t="shared" si="273"/>
        <v>1.1524267173481104E-2</v>
      </c>
      <c r="W280" s="32" t="str">
        <f t="shared" si="260"/>
        <v>1-0.151982193217272i</v>
      </c>
      <c r="X280" s="18">
        <f t="shared" si="274"/>
        <v>1.0114833597519695</v>
      </c>
      <c r="Y280" s="18">
        <f t="shared" si="275"/>
        <v>-0.15082795690955719</v>
      </c>
      <c r="Z280" s="32" t="str">
        <f t="shared" si="261"/>
        <v>0.999640950241994+0.0694998842218294i</v>
      </c>
      <c r="AA280" s="18">
        <f t="shared" si="276"/>
        <v>1.0020540221502854</v>
      </c>
      <c r="AB280" s="18">
        <f t="shared" si="277"/>
        <v>6.9413150016961439E-2</v>
      </c>
      <c r="AC280" s="67" t="str">
        <f t="shared" si="278"/>
        <v>-0.2855104991813-2.16446378471809i</v>
      </c>
      <c r="AD280" s="65">
        <f t="shared" si="279"/>
        <v>6.781922827168354</v>
      </c>
      <c r="AE280" s="62">
        <f t="shared" si="280"/>
        <v>-97.514399998815222</v>
      </c>
      <c r="AF280" s="50" t="str">
        <f t="shared" si="262"/>
        <v>79.1527877025864</v>
      </c>
      <c r="AG280" s="50" t="str">
        <f t="shared" si="263"/>
        <v>1+12.7659072461858i</v>
      </c>
      <c r="AH280" s="50">
        <f t="shared" si="281"/>
        <v>12.80501416704484</v>
      </c>
      <c r="AI280" s="50">
        <f t="shared" si="282"/>
        <v>1.4926223206753919</v>
      </c>
      <c r="AJ280" s="50" t="str">
        <f t="shared" si="264"/>
        <v>1+0.0115247773750289i</v>
      </c>
      <c r="AK280" s="50">
        <f t="shared" si="283"/>
        <v>1.0000664080417581</v>
      </c>
      <c r="AL280" s="50">
        <f t="shared" si="284"/>
        <v>1.1524267173481104E-2</v>
      </c>
      <c r="AM280" s="50" t="str">
        <f t="shared" si="265"/>
        <v>1-0.053172240508571i</v>
      </c>
      <c r="AN280" s="50">
        <f t="shared" si="285"/>
        <v>1.0014126457962778</v>
      </c>
      <c r="AO280" s="50">
        <f t="shared" si="286"/>
        <v>-5.312221427999942E-2</v>
      </c>
      <c r="AP280" s="59" t="str">
        <f t="shared" si="287"/>
        <v>0.226374828375783-6.18639286967702i</v>
      </c>
      <c r="AQ280" s="50">
        <f t="shared" si="288"/>
        <v>15.83456125484698</v>
      </c>
      <c r="AR280" s="62">
        <f t="shared" si="289"/>
        <v>-87.90434618733444</v>
      </c>
      <c r="AS280" s="32" t="str">
        <f t="shared" si="266"/>
        <v>-0.0000166666666666667</v>
      </c>
      <c r="AT280" s="32" t="str">
        <f t="shared" si="267"/>
        <v>0.0000890550978979501i</v>
      </c>
      <c r="AU280" s="32">
        <f t="shared" si="290"/>
        <v>8.9055097897950102E-5</v>
      </c>
      <c r="AV280" s="32">
        <f t="shared" si="291"/>
        <v>1.5707963267948966</v>
      </c>
      <c r="AW280" s="32" t="str">
        <f t="shared" si="268"/>
        <v>1+0.0905033987980207i</v>
      </c>
      <c r="AX280" s="32">
        <f t="shared" si="292"/>
        <v>1.0040870804835571</v>
      </c>
      <c r="AY280" s="32">
        <f t="shared" si="293"/>
        <v>9.025750573793366E-2</v>
      </c>
      <c r="AZ280" s="32" t="str">
        <f t="shared" si="269"/>
        <v>1+3.0771155591327i</v>
      </c>
      <c r="BA280" s="32">
        <f t="shared" si="294"/>
        <v>3.2355278030418084</v>
      </c>
      <c r="BB280" s="32">
        <f t="shared" si="295"/>
        <v>1.256582815304111</v>
      </c>
      <c r="BC280" s="59" t="str">
        <f t="shared" si="296"/>
        <v>-0.554403591596369+0.237325466557807i</v>
      </c>
      <c r="BD280" s="50">
        <f t="shared" si="297"/>
        <v>-4.3927255754878312</v>
      </c>
      <c r="BE280" s="62">
        <f t="shared" si="298"/>
        <v>156.82551777743117</v>
      </c>
      <c r="BF280" s="59" t="str">
        <f t="shared" si="299"/>
        <v>0.671970423740282+1.13222758370262i</v>
      </c>
      <c r="BG280" s="65">
        <f t="shared" si="300"/>
        <v>2.3891972516804967</v>
      </c>
      <c r="BH280" s="62">
        <f t="shared" si="301"/>
        <v>59.311117778615859</v>
      </c>
      <c r="BI280" s="59" t="str">
        <f t="shared" si="255"/>
        <v>1.34268555620744+3.48348293773633i</v>
      </c>
      <c r="BJ280" s="65">
        <f t="shared" si="302"/>
        <v>11.441835679359135</v>
      </c>
      <c r="BK280" s="62">
        <f t="shared" si="256"/>
        <v>68.921171590096776</v>
      </c>
      <c r="BL280" s="50">
        <f t="shared" si="303"/>
        <v>2.3891972516804967</v>
      </c>
      <c r="BM280" s="62">
        <f t="shared" si="304"/>
        <v>59.311117778615859</v>
      </c>
    </row>
    <row r="281" spans="14:65" x14ac:dyDescent="0.3">
      <c r="N281" s="11">
        <v>63</v>
      </c>
      <c r="O281" s="51">
        <f t="shared" si="254"/>
        <v>4265.7951880159299</v>
      </c>
      <c r="P281" s="49" t="str">
        <f t="shared" si="257"/>
        <v>27.9103246607183</v>
      </c>
      <c r="Q281" s="18" t="str">
        <f t="shared" si="258"/>
        <v>1+13.1661083422487i</v>
      </c>
      <c r="R281" s="18">
        <f t="shared" si="270"/>
        <v>13.204030024194539</v>
      </c>
      <c r="S281" s="18">
        <f t="shared" si="271"/>
        <v>1.4949892871832382</v>
      </c>
      <c r="T281" s="18" t="str">
        <f t="shared" si="259"/>
        <v>1+0.0117932239254628i</v>
      </c>
      <c r="U281" s="18">
        <f t="shared" si="272"/>
        <v>1.0000695376475359</v>
      </c>
      <c r="V281" s="18">
        <f t="shared" si="273"/>
        <v>1.1792677236707792E-2</v>
      </c>
      <c r="W281" s="32" t="str">
        <f t="shared" si="260"/>
        <v>1-0.155522313270693i</v>
      </c>
      <c r="X281" s="18">
        <f t="shared" si="274"/>
        <v>1.0120213386708146</v>
      </c>
      <c r="Y281" s="18">
        <f t="shared" si="275"/>
        <v>-0.15428631885442598</v>
      </c>
      <c r="Z281" s="32" t="str">
        <f t="shared" si="261"/>
        <v>0.999624028748221+0.0711187444885217i</v>
      </c>
      <c r="AA281" s="18">
        <f t="shared" si="276"/>
        <v>1.00215072452623</v>
      </c>
      <c r="AB281" s="18">
        <f t="shared" si="277"/>
        <v>7.1025817792428975E-2</v>
      </c>
      <c r="AC281" s="67" t="str">
        <f t="shared" si="278"/>
        <v>-0.293052032680143-2.11453068409163i</v>
      </c>
      <c r="AD281" s="65">
        <f t="shared" si="279"/>
        <v>6.5869041785335378</v>
      </c>
      <c r="AE281" s="62">
        <f t="shared" si="280"/>
        <v>-97.890340440987245</v>
      </c>
      <c r="AF281" s="50" t="str">
        <f t="shared" si="262"/>
        <v>79.1527877025864</v>
      </c>
      <c r="AG281" s="50" t="str">
        <f t="shared" si="263"/>
        <v>1+13.063263425128i</v>
      </c>
      <c r="AH281" s="50">
        <f t="shared" si="281"/>
        <v>13.10148279067247</v>
      </c>
      <c r="AI281" s="50">
        <f t="shared" si="282"/>
        <v>1.4943947816457228</v>
      </c>
      <c r="AJ281" s="50" t="str">
        <f t="shared" si="264"/>
        <v>1+0.0117932239254628i</v>
      </c>
      <c r="AK281" s="50">
        <f t="shared" si="283"/>
        <v>1.0000695376475359</v>
      </c>
      <c r="AL281" s="50">
        <f t="shared" si="284"/>
        <v>1.1792677236707792E-2</v>
      </c>
      <c r="AM281" s="50" t="str">
        <f t="shared" si="265"/>
        <v>1-0.0544107810962875i</v>
      </c>
      <c r="AN281" s="50">
        <f t="shared" si="285"/>
        <v>1.0014791725740022</v>
      </c>
      <c r="AO281" s="50">
        <f t="shared" si="286"/>
        <v>-5.435718130169976E-2</v>
      </c>
      <c r="AP281" s="59" t="str">
        <f t="shared" si="287"/>
        <v>0.204704498436805-6.04740724253381i</v>
      </c>
      <c r="AQ281" s="50">
        <f t="shared" si="288"/>
        <v>15.636357697796349</v>
      </c>
      <c r="AR281" s="62">
        <f t="shared" si="289"/>
        <v>-88.061280354665612</v>
      </c>
      <c r="AS281" s="32" t="str">
        <f t="shared" si="266"/>
        <v>-0.0000166666666666667</v>
      </c>
      <c r="AT281" s="32" t="str">
        <f t="shared" si="267"/>
        <v>0.0000911294576058488i</v>
      </c>
      <c r="AU281" s="32">
        <f t="shared" si="290"/>
        <v>9.1129457605848804E-5</v>
      </c>
      <c r="AV281" s="32">
        <f t="shared" si="291"/>
        <v>1.5707963267948966</v>
      </c>
      <c r="AW281" s="32" t="str">
        <f t="shared" si="268"/>
        <v>1+0.0926114937676049i</v>
      </c>
      <c r="AX281" s="32">
        <f t="shared" si="292"/>
        <v>1.0042792882350344</v>
      </c>
      <c r="AY281" s="32">
        <f t="shared" si="293"/>
        <v>9.2348075204462254E-2</v>
      </c>
      <c r="AZ281" s="32" t="str">
        <f t="shared" si="269"/>
        <v>1+3.14879078809857i</v>
      </c>
      <c r="BA281" s="32">
        <f t="shared" si="294"/>
        <v>3.3037680649849519</v>
      </c>
      <c r="BB281" s="32">
        <f t="shared" si="295"/>
        <v>1.2632881067063058</v>
      </c>
      <c r="BC281" s="59" t="str">
        <f t="shared" si="296"/>
        <v>-0.554191398689988+0.234214495077909i</v>
      </c>
      <c r="BD281" s="50">
        <f t="shared" si="297"/>
        <v>-4.413099820517024</v>
      </c>
      <c r="BE281" s="62">
        <f t="shared" si="298"/>
        <v>157.08992186797124</v>
      </c>
      <c r="BF281" s="59" t="str">
        <f t="shared" si="299"/>
        <v>0.657660652381219+1.1032176835239i</v>
      </c>
      <c r="BG281" s="65">
        <f t="shared" si="300"/>
        <v>2.1738043580164974</v>
      </c>
      <c r="BH281" s="62">
        <f t="shared" si="301"/>
        <v>59.199581426983947</v>
      </c>
      <c r="BI281" s="59" t="str">
        <f t="shared" si="255"/>
        <v>1.30294496153372+3.39936583892933i</v>
      </c>
      <c r="BJ281" s="65">
        <f t="shared" si="302"/>
        <v>11.223257877279327</v>
      </c>
      <c r="BK281" s="62">
        <f t="shared" si="256"/>
        <v>69.028641513305658</v>
      </c>
      <c r="BL281" s="50">
        <f t="shared" si="303"/>
        <v>2.1738043580164974</v>
      </c>
      <c r="BM281" s="62">
        <f t="shared" si="304"/>
        <v>59.199581426983947</v>
      </c>
    </row>
    <row r="282" spans="14:65" x14ac:dyDescent="0.3">
      <c r="N282" s="11">
        <v>64</v>
      </c>
      <c r="O282" s="51">
        <f t="shared" si="254"/>
        <v>4365.1583224016631</v>
      </c>
      <c r="P282" s="49" t="str">
        <f t="shared" si="257"/>
        <v>27.9103246607183</v>
      </c>
      <c r="Q282" s="18" t="str">
        <f t="shared" si="258"/>
        <v>1+13.4727864022322i</v>
      </c>
      <c r="R282" s="18">
        <f t="shared" si="270"/>
        <v>13.509847276715341</v>
      </c>
      <c r="S282" s="18">
        <f t="shared" si="271"/>
        <v>1.496708485504888</v>
      </c>
      <c r="T282" s="18" t="str">
        <f t="shared" si="259"/>
        <v>1+0.0120679233993238i</v>
      </c>
      <c r="U282" s="18">
        <f t="shared" si="272"/>
        <v>1.0000728147365932</v>
      </c>
      <c r="V282" s="18">
        <f t="shared" si="273"/>
        <v>1.2067337614072351E-2</v>
      </c>
      <c r="W282" s="32" t="str">
        <f t="shared" si="260"/>
        <v>1-0.159144893313192i</v>
      </c>
      <c r="X282" s="18">
        <f t="shared" si="274"/>
        <v>1.0125843654074791</v>
      </c>
      <c r="Y282" s="18">
        <f t="shared" si="275"/>
        <v>-0.15782138876915533</v>
      </c>
      <c r="Z282" s="32" t="str">
        <f t="shared" si="261"/>
        <v>0.999606309769016+0.0727753128549097i</v>
      </c>
      <c r="AA282" s="18">
        <f t="shared" si="276"/>
        <v>1.0022519746506662</v>
      </c>
      <c r="AB282" s="18">
        <f t="shared" si="277"/>
        <v>7.2675752084582726E-2</v>
      </c>
      <c r="AC282" s="67" t="str">
        <f t="shared" si="278"/>
        <v>-0.300250586357987-2.06566739011018i</v>
      </c>
      <c r="AD282" s="65">
        <f t="shared" si="279"/>
        <v>6.3920073521306664</v>
      </c>
      <c r="AE282" s="62">
        <f t="shared" si="280"/>
        <v>-98.270185226353263</v>
      </c>
      <c r="AF282" s="50" t="str">
        <f t="shared" si="262"/>
        <v>79.1527877025864</v>
      </c>
      <c r="AG282" s="50" t="str">
        <f t="shared" si="263"/>
        <v>1+13.367545919251i</v>
      </c>
      <c r="AH282" s="50">
        <f t="shared" si="281"/>
        <v>13.404897758031728</v>
      </c>
      <c r="AI282" s="50">
        <f t="shared" si="282"/>
        <v>1.4961273613714638</v>
      </c>
      <c r="AJ282" s="50" t="str">
        <f t="shared" si="264"/>
        <v>1+0.0120679233993238i</v>
      </c>
      <c r="AK282" s="50">
        <f t="shared" si="283"/>
        <v>1.0000728147365932</v>
      </c>
      <c r="AL282" s="50">
        <f t="shared" si="284"/>
        <v>1.2067337614072351E-2</v>
      </c>
      <c r="AM282" s="50" t="str">
        <f t="shared" si="265"/>
        <v>1-0.055678171000353i</v>
      </c>
      <c r="AN282" s="50">
        <f t="shared" si="285"/>
        <v>1.0015488299259026</v>
      </c>
      <c r="AO282" s="50">
        <f t="shared" si="286"/>
        <v>-5.5620742581498891E-2</v>
      </c>
      <c r="AP282" s="59" t="str">
        <f t="shared" si="287"/>
        <v>0.183998382636464-5.91147949898233i</v>
      </c>
      <c r="AQ282" s="50">
        <f t="shared" si="288"/>
        <v>15.438129178542241</v>
      </c>
      <c r="AR282" s="62">
        <f t="shared" si="289"/>
        <v>-88.217209708686681</v>
      </c>
      <c r="AS282" s="32" t="str">
        <f t="shared" si="266"/>
        <v>-0.0000166666666666667</v>
      </c>
      <c r="AT282" s="32" t="str">
        <f t="shared" si="267"/>
        <v>0.0000932521353584112i</v>
      </c>
      <c r="AU282" s="32">
        <f t="shared" si="290"/>
        <v>9.3252135358411201E-5</v>
      </c>
      <c r="AV282" s="32">
        <f t="shared" si="291"/>
        <v>1.5707963267948966</v>
      </c>
      <c r="AW282" s="32" t="str">
        <f t="shared" si="268"/>
        <v>1+0.0947686925770427i</v>
      </c>
      <c r="AX282" s="32">
        <f t="shared" si="292"/>
        <v>1.0044805150388743</v>
      </c>
      <c r="AY282" s="32">
        <f t="shared" si="293"/>
        <v>9.448650245501547E-2</v>
      </c>
      <c r="AZ282" s="32" t="str">
        <f t="shared" si="269"/>
        <v>1+3.22213554761945i</v>
      </c>
      <c r="BA282" s="32">
        <f t="shared" si="294"/>
        <v>3.3737453204462384</v>
      </c>
      <c r="BB282" s="32">
        <f t="shared" si="295"/>
        <v>1.2698684776675668</v>
      </c>
      <c r="BC282" s="59" t="str">
        <f t="shared" si="296"/>
        <v>-0.553969379463071+0.231225870930862i</v>
      </c>
      <c r="BD282" s="50">
        <f t="shared" si="297"/>
        <v>-4.4327851461609162</v>
      </c>
      <c r="BE282" s="62">
        <f t="shared" si="298"/>
        <v>157.3444264954295</v>
      </c>
      <c r="BF282" s="59" t="str">
        <f t="shared" si="299"/>
        <v>0.643965372339864+1.07489077894831i</v>
      </c>
      <c r="BG282" s="65">
        <f t="shared" si="300"/>
        <v>1.9592222059697502</v>
      </c>
      <c r="BH282" s="62">
        <f t="shared" si="301"/>
        <v>59.074241269076268</v>
      </c>
      <c r="BI282" s="59" t="str">
        <f t="shared" si="255"/>
        <v>1.26495752579079+3.31732381603489i</v>
      </c>
      <c r="BJ282" s="65">
        <f t="shared" si="302"/>
        <v>11.005344032381313</v>
      </c>
      <c r="BK282" s="62">
        <f t="shared" si="256"/>
        <v>69.127216786742878</v>
      </c>
      <c r="BL282" s="50">
        <f t="shared" si="303"/>
        <v>1.9592222059697502</v>
      </c>
      <c r="BM282" s="62">
        <f t="shared" si="304"/>
        <v>59.074241269076268</v>
      </c>
    </row>
    <row r="283" spans="14:65" x14ac:dyDescent="0.3">
      <c r="N283" s="11">
        <v>65</v>
      </c>
      <c r="O283" s="51">
        <f t="shared" si="254"/>
        <v>4466.8359215096343</v>
      </c>
      <c r="P283" s="49" t="str">
        <f t="shared" si="257"/>
        <v>27.9103246607183</v>
      </c>
      <c r="Q283" s="18" t="str">
        <f t="shared" si="258"/>
        <v>1+13.7866079118997i</v>
      </c>
      <c r="R283" s="18">
        <f t="shared" si="270"/>
        <v>13.822827413971986</v>
      </c>
      <c r="S283" s="18">
        <f t="shared" si="271"/>
        <v>1.4983889741662577</v>
      </c>
      <c r="T283" s="18" t="str">
        <f t="shared" si="259"/>
        <v>1+0.012349021445909i</v>
      </c>
      <c r="U283" s="18">
        <f t="shared" si="272"/>
        <v>1.0000762462585897</v>
      </c>
      <c r="V283" s="18">
        <f t="shared" si="273"/>
        <v>1.2348393768287898E-2</v>
      </c>
      <c r="W283" s="32" t="str">
        <f t="shared" si="260"/>
        <v>1-0.162851854084658i</v>
      </c>
      <c r="X283" s="18">
        <f t="shared" si="274"/>
        <v>1.0131735914337734</v>
      </c>
      <c r="Y283" s="18">
        <f t="shared" si="275"/>
        <v>-0.16143468739945915</v>
      </c>
      <c r="Z283" s="32" t="str">
        <f t="shared" si="261"/>
        <v>0.999587755720048+0.0744704676554685i</v>
      </c>
      <c r="AA283" s="18">
        <f t="shared" si="276"/>
        <v>1.0023579859203331</v>
      </c>
      <c r="AB283" s="18">
        <f t="shared" si="277"/>
        <v>7.4363799804185296E-2</v>
      </c>
      <c r="AC283" s="67" t="str">
        <f t="shared" si="278"/>
        <v>-0.307120916790777-2.01785145249174i</v>
      </c>
      <c r="AD283" s="65">
        <f t="shared" si="279"/>
        <v>6.1972424254516403</v>
      </c>
      <c r="AE283" s="62">
        <f t="shared" si="280"/>
        <v>-98.654111574313347</v>
      </c>
      <c r="AF283" s="50" t="str">
        <f t="shared" si="262"/>
        <v>79.1527877025864</v>
      </c>
      <c r="AG283" s="50" t="str">
        <f t="shared" si="263"/>
        <v>1+13.6789160631607i</v>
      </c>
      <c r="AH283" s="50">
        <f t="shared" si="281"/>
        <v>13.715419959410497</v>
      </c>
      <c r="AI283" s="50">
        <f t="shared" si="282"/>
        <v>1.4978209368587265</v>
      </c>
      <c r="AJ283" s="50" t="str">
        <f t="shared" si="264"/>
        <v>1+0.012349021445909i</v>
      </c>
      <c r="AK283" s="50">
        <f t="shared" si="283"/>
        <v>1.0000762462585897</v>
      </c>
      <c r="AL283" s="50">
        <f t="shared" si="284"/>
        <v>1.2348393768287898E-2</v>
      </c>
      <c r="AM283" s="50" t="str">
        <f t="shared" si="265"/>
        <v>1-0.0569750822076707i</v>
      </c>
      <c r="AN283" s="50">
        <f t="shared" si="285"/>
        <v>1.0016217649355323</v>
      </c>
      <c r="AO283" s="50">
        <f t="shared" si="286"/>
        <v>-5.691355192808456E-2</v>
      </c>
      <c r="AP283" s="59" t="str">
        <f t="shared" si="287"/>
        <v>0.164214053889075-5.77854737301846i</v>
      </c>
      <c r="AQ283" s="50">
        <f t="shared" si="288"/>
        <v>15.239879401859991</v>
      </c>
      <c r="AR283" s="62">
        <f t="shared" si="289"/>
        <v>-88.372213624225353</v>
      </c>
      <c r="AS283" s="32" t="str">
        <f t="shared" si="266"/>
        <v>-0.0000166666666666667</v>
      </c>
      <c r="AT283" s="32" t="str">
        <f t="shared" si="267"/>
        <v>0.0000954242566274785i</v>
      </c>
      <c r="AU283" s="32">
        <f t="shared" si="290"/>
        <v>9.5424256627478504E-5</v>
      </c>
      <c r="AV283" s="32">
        <f t="shared" si="291"/>
        <v>1.5707963267948966</v>
      </c>
      <c r="AW283" s="32" t="str">
        <f t="shared" si="268"/>
        <v>1+0.0969761390016969i</v>
      </c>
      <c r="AX283" s="32">
        <f t="shared" si="292"/>
        <v>1.0046911821727493</v>
      </c>
      <c r="AY283" s="32">
        <f t="shared" si="293"/>
        <v>9.6673843038856525E-2</v>
      </c>
      <c r="AZ283" s="32" t="str">
        <f t="shared" si="269"/>
        <v>1+3.29718872605769i</v>
      </c>
      <c r="BA283" s="32">
        <f t="shared" si="294"/>
        <v>3.4454975686019473</v>
      </c>
      <c r="BB283" s="32">
        <f t="shared" si="295"/>
        <v>1.2763251368639807</v>
      </c>
      <c r="BC283" s="59" t="str">
        <f t="shared" si="296"/>
        <v>-0.553737087375438+0.22835788054369i</v>
      </c>
      <c r="BD283" s="50">
        <f t="shared" si="297"/>
        <v>-4.4518135725443493</v>
      </c>
      <c r="BE283" s="62">
        <f t="shared" si="298"/>
        <v>157.58904043332655</v>
      </c>
      <c r="BF283" s="59" t="str">
        <f t="shared" si="299"/>
        <v>0.630856522878819+1.0472257044301i</v>
      </c>
      <c r="BG283" s="65">
        <f t="shared" si="300"/>
        <v>1.7454288529073103</v>
      </c>
      <c r="BH283" s="62">
        <f t="shared" si="301"/>
        <v>58.934928859013311</v>
      </c>
      <c r="BI283" s="59" t="str">
        <f t="shared" si="255"/>
        <v>1.22864541881715+3.23729556489783i</v>
      </c>
      <c r="BJ283" s="65">
        <f t="shared" si="302"/>
        <v>10.788065829315643</v>
      </c>
      <c r="BK283" s="62">
        <f t="shared" si="256"/>
        <v>69.216826809101278</v>
      </c>
      <c r="BL283" s="50">
        <f t="shared" si="303"/>
        <v>1.7454288529073103</v>
      </c>
      <c r="BM283" s="62">
        <f t="shared" si="304"/>
        <v>58.934928859013311</v>
      </c>
    </row>
    <row r="284" spans="14:65" x14ac:dyDescent="0.3">
      <c r="N284" s="11">
        <v>66</v>
      </c>
      <c r="O284" s="51">
        <f t="shared" ref="O284:O318" si="305">10^(3+(N284/100))</f>
        <v>4570.8818961487532</v>
      </c>
      <c r="P284" s="49" t="str">
        <f t="shared" si="257"/>
        <v>27.9103246607183</v>
      </c>
      <c r="Q284" s="18" t="str">
        <f t="shared" si="258"/>
        <v>1+14.1077392635693i</v>
      </c>
      <c r="R284" s="18">
        <f t="shared" si="270"/>
        <v>14.143136396459411</v>
      </c>
      <c r="S284" s="18">
        <f t="shared" si="271"/>
        <v>1.5000316061972367</v>
      </c>
      <c r="T284" s="18" t="str">
        <f t="shared" si="259"/>
        <v>1+0.0126366671071234i</v>
      </c>
      <c r="U284" s="18">
        <f t="shared" si="272"/>
        <v>1.0000798394906161</v>
      </c>
      <c r="V284" s="18">
        <f t="shared" si="273"/>
        <v>1.2635994541334801E-2</v>
      </c>
      <c r="W284" s="32" t="str">
        <f t="shared" si="260"/>
        <v>1-0.166645161064759i</v>
      </c>
      <c r="X284" s="18">
        <f t="shared" si="274"/>
        <v>1.0137902197724633</v>
      </c>
      <c r="Y284" s="18">
        <f t="shared" si="275"/>
        <v>-0.16512775297223442</v>
      </c>
      <c r="Z284" s="32" t="str">
        <f t="shared" si="261"/>
        <v>0.999568327245691+0.0762051076837115i</v>
      </c>
      <c r="AA284" s="18">
        <f t="shared" si="276"/>
        <v>1.0024689816996011</v>
      </c>
      <c r="AB284" s="18">
        <f t="shared" si="277"/>
        <v>7.6090826092812189E-2</v>
      </c>
      <c r="AC284" s="67" t="str">
        <f t="shared" si="278"/>
        <v>-0.313677129824011-1.9710607543477i</v>
      </c>
      <c r="AD284" s="65">
        <f t="shared" si="279"/>
        <v>6.0026196934395362</v>
      </c>
      <c r="AE284" s="62">
        <f t="shared" si="280"/>
        <v>-99.042297534732697</v>
      </c>
      <c r="AF284" s="50" t="str">
        <f t="shared" si="262"/>
        <v>79.1527877025864</v>
      </c>
      <c r="AG284" s="50" t="str">
        <f t="shared" si="263"/>
        <v>1+13.997538949429i</v>
      </c>
      <c r="AH284" s="50">
        <f t="shared" si="281"/>
        <v>14.033214052410871</v>
      </c>
      <c r="AI284" s="50">
        <f t="shared" si="282"/>
        <v>1.4994763671818068</v>
      </c>
      <c r="AJ284" s="50" t="str">
        <f t="shared" si="264"/>
        <v>1+0.0126366671071234i</v>
      </c>
      <c r="AK284" s="50">
        <f t="shared" si="283"/>
        <v>1.0000798394906161</v>
      </c>
      <c r="AL284" s="50">
        <f t="shared" si="284"/>
        <v>1.2635994541334801E-2</v>
      </c>
      <c r="AM284" s="50" t="str">
        <f t="shared" si="265"/>
        <v>1-0.0583022023577293i</v>
      </c>
      <c r="AN284" s="50">
        <f t="shared" si="285"/>
        <v>1.0016981315744586</v>
      </c>
      <c r="AO284" s="50">
        <f t="shared" si="286"/>
        <v>-5.8236277510341029E-2</v>
      </c>
      <c r="AP284" s="59" t="str">
        <f t="shared" si="287"/>
        <v>0.145310910342046-5.64854954430595i</v>
      </c>
      <c r="AQ284" s="50">
        <f t="shared" si="288"/>
        <v>15.041612029913072</v>
      </c>
      <c r="AR284" s="62">
        <f t="shared" si="289"/>
        <v>-88.526371077852801</v>
      </c>
      <c r="AS284" s="32" t="str">
        <f t="shared" si="266"/>
        <v>-0.0000166666666666667</v>
      </c>
      <c r="AT284" s="32" t="str">
        <f t="shared" si="267"/>
        <v>0.0000976469731004991i</v>
      </c>
      <c r="AU284" s="32">
        <f t="shared" si="290"/>
        <v>9.7646973100499099E-5</v>
      </c>
      <c r="AV284" s="32">
        <f t="shared" si="291"/>
        <v>1.5707963267948966</v>
      </c>
      <c r="AW284" s="32" t="str">
        <f t="shared" si="268"/>
        <v>1+0.0992350034588808i</v>
      </c>
      <c r="AX284" s="32">
        <f t="shared" si="292"/>
        <v>1.004911730407942</v>
      </c>
      <c r="AY284" s="32">
        <f t="shared" si="293"/>
        <v>9.8911172944894252E-2</v>
      </c>
      <c r="AZ284" s="32" t="str">
        <f t="shared" si="269"/>
        <v>1+3.37399011760195i</v>
      </c>
      <c r="BA284" s="32">
        <f t="shared" si="294"/>
        <v>3.5190636984396315</v>
      </c>
      <c r="BB284" s="32">
        <f t="shared" si="295"/>
        <v>1.2826593535689725</v>
      </c>
      <c r="BC284" s="59" t="str">
        <f t="shared" si="296"/>
        <v>-0.553494056406244+0.225608865365829i</v>
      </c>
      <c r="BD284" s="50">
        <f t="shared" si="297"/>
        <v>-4.4702164707103078</v>
      </c>
      <c r="BE284" s="62">
        <f t="shared" si="298"/>
        <v>157.8237747560494</v>
      </c>
      <c r="BF284" s="59" t="str">
        <f t="shared" si="299"/>
        <v>0.61830720734366+1.02020207099625i</v>
      </c>
      <c r="BG284" s="65">
        <f t="shared" si="300"/>
        <v>1.5324032227292008</v>
      </c>
      <c r="BH284" s="62">
        <f t="shared" si="301"/>
        <v>58.78147722131655</v>
      </c>
      <c r="BI284" s="59" t="str">
        <f t="shared" si="255"/>
        <v>1.19393412844823+3.15922202969709i</v>
      </c>
      <c r="BJ284" s="65">
        <f t="shared" si="302"/>
        <v>10.57139555920277</v>
      </c>
      <c r="BK284" s="62">
        <f t="shared" si="256"/>
        <v>69.297403678196659</v>
      </c>
      <c r="BL284" s="50">
        <f t="shared" si="303"/>
        <v>1.5324032227292008</v>
      </c>
      <c r="BM284" s="62">
        <f t="shared" si="304"/>
        <v>58.78147722131655</v>
      </c>
    </row>
    <row r="285" spans="14:65" x14ac:dyDescent="0.3">
      <c r="N285" s="11">
        <v>67</v>
      </c>
      <c r="O285" s="51">
        <f t="shared" si="305"/>
        <v>4677.3514128719844</v>
      </c>
      <c r="P285" s="49" t="str">
        <f t="shared" si="257"/>
        <v>27.9103246607183</v>
      </c>
      <c r="Q285" s="18" t="str">
        <f t="shared" si="258"/>
        <v>1+14.4363507253345i</v>
      </c>
      <c r="R285" s="18">
        <f t="shared" si="270"/>
        <v>14.470944069578387</v>
      </c>
      <c r="S285" s="18">
        <f t="shared" si="271"/>
        <v>1.5016372170654562</v>
      </c>
      <c r="T285" s="18" t="str">
        <f t="shared" si="259"/>
        <v>1+0.0129310128965041i</v>
      </c>
      <c r="U285" s="18">
        <f t="shared" si="272"/>
        <v>1.0000836020526132</v>
      </c>
      <c r="V285" s="18">
        <f t="shared" si="273"/>
        <v>1.2930292232531259E-2</v>
      </c>
      <c r="W285" s="32" t="str">
        <f t="shared" si="260"/>
        <v>1-0.170526825515065i</v>
      </c>
      <c r="X285" s="18">
        <f t="shared" si="274"/>
        <v>1.0144355071764029</v>
      </c>
      <c r="Y285" s="18">
        <f t="shared" si="275"/>
        <v>-0.16890214044584487</v>
      </c>
      <c r="Z285" s="32" t="str">
        <f t="shared" si="261"/>
        <v>0.999547983135548+0.0779801526687422i</v>
      </c>
      <c r="AA285" s="18">
        <f t="shared" si="276"/>
        <v>1.0025851957816763</v>
      </c>
      <c r="AB285" s="18">
        <f t="shared" si="277"/>
        <v>7.7857714642364517E-2</v>
      </c>
      <c r="AC285" s="67" t="str">
        <f t="shared" si="278"/>
        <v>-0.319932706634409-1.92527351517069i</v>
      </c>
      <c r="AD285" s="65">
        <f t="shared" si="279"/>
        <v>5.8081496840173985</v>
      </c>
      <c r="AE285" s="62">
        <f t="shared" si="280"/>
        <v>-99.434921974640289</v>
      </c>
      <c r="AF285" s="50" t="str">
        <f t="shared" si="262"/>
        <v>79.1527877025864</v>
      </c>
      <c r="AG285" s="50" t="str">
        <f t="shared" si="263"/>
        <v>1+14.3235835161276i</v>
      </c>
      <c r="AH285" s="50">
        <f t="shared" si="281"/>
        <v>14.358448549320441</v>
      </c>
      <c r="AI285" s="50">
        <f t="shared" si="282"/>
        <v>1.5010944937584347</v>
      </c>
      <c r="AJ285" s="50" t="str">
        <f t="shared" si="264"/>
        <v>1+0.0129310128965041i</v>
      </c>
      <c r="AK285" s="50">
        <f t="shared" si="283"/>
        <v>1.0000836020526132</v>
      </c>
      <c r="AL285" s="50">
        <f t="shared" si="284"/>
        <v>1.2930292232531259E-2</v>
      </c>
      <c r="AM285" s="50" t="str">
        <f t="shared" si="265"/>
        <v>1-0.0596602351071989i</v>
      </c>
      <c r="AN285" s="50">
        <f t="shared" si="285"/>
        <v>1.0017780910226808</v>
      </c>
      <c r="AO285" s="50">
        <f t="shared" si="286"/>
        <v>-5.9589602130449351E-2</v>
      </c>
      <c r="AP285" s="59" t="str">
        <f t="shared" si="287"/>
        <v>0.127250100513606-5.52142564729238i</v>
      </c>
      <c r="AQ285" s="50">
        <f t="shared" si="288"/>
        <v>14.843330689601427</v>
      </c>
      <c r="AR285" s="62">
        <f t="shared" si="289"/>
        <v>-88.679760674828913</v>
      </c>
      <c r="AS285" s="32" t="str">
        <f t="shared" si="266"/>
        <v>-0.0000166666666666667</v>
      </c>
      <c r="AT285" s="32" t="str">
        <f t="shared" si="267"/>
        <v>0.000099921463291168i</v>
      </c>
      <c r="AU285" s="32">
        <f t="shared" si="290"/>
        <v>9.9921463291167997E-5</v>
      </c>
      <c r="AV285" s="32">
        <f t="shared" si="291"/>
        <v>1.5707963267948966</v>
      </c>
      <c r="AW285" s="32" t="str">
        <f t="shared" si="268"/>
        <v>1+0.101546483628429i</v>
      </c>
      <c r="AX285" s="32">
        <f t="shared" si="292"/>
        <v>1.0051426208938206</v>
      </c>
      <c r="AY285" s="32">
        <f t="shared" si="293"/>
        <v>0.10119958879159546</v>
      </c>
      <c r="AZ285" s="32" t="str">
        <f t="shared" si="269"/>
        <v>1+3.45258044336659i</v>
      </c>
      <c r="BA285" s="32">
        <f t="shared" si="294"/>
        <v>3.5944835119829719</v>
      </c>
      <c r="BB285" s="32">
        <f t="shared" si="295"/>
        <v>1.2888724523613893</v>
      </c>
      <c r="BC285" s="59" t="str">
        <f t="shared" si="296"/>
        <v>-0.553239800281904+0.222977220384352i</v>
      </c>
      <c r="BD285" s="50">
        <f t="shared" si="297"/>
        <v>-4.4880245729957204</v>
      </c>
      <c r="BE285" s="62">
        <f t="shared" si="298"/>
        <v>158.048642524766</v>
      </c>
      <c r="BF285" s="59" t="str">
        <f t="shared" si="299"/>
        <v>0.60629164361444+0.993800229385689i</v>
      </c>
      <c r="BG285" s="65">
        <f t="shared" si="300"/>
        <v>1.3201251110216738</v>
      </c>
      <c r="BH285" s="62">
        <f t="shared" si="301"/>
        <v>58.61372055012572</v>
      </c>
      <c r="BI285" s="59" t="str">
        <f t="shared" si="255"/>
        <v>1.16075232319813+3.08304629608557i</v>
      </c>
      <c r="BJ285" s="65">
        <f t="shared" si="302"/>
        <v>10.355306116605703</v>
      </c>
      <c r="BK285" s="62">
        <f t="shared" si="256"/>
        <v>69.368881849937026</v>
      </c>
      <c r="BL285" s="50">
        <f t="shared" si="303"/>
        <v>1.3201251110216738</v>
      </c>
      <c r="BM285" s="62">
        <f t="shared" si="304"/>
        <v>58.61372055012572</v>
      </c>
    </row>
    <row r="286" spans="14:65" x14ac:dyDescent="0.3">
      <c r="N286" s="11">
        <v>68</v>
      </c>
      <c r="O286" s="51">
        <f t="shared" si="305"/>
        <v>4786.3009232263848</v>
      </c>
      <c r="P286" s="49" t="str">
        <f t="shared" si="257"/>
        <v>27.9103246607183</v>
      </c>
      <c r="Q286" s="18" t="str">
        <f t="shared" si="258"/>
        <v>1+14.772616531342i</v>
      </c>
      <c r="R286" s="18">
        <f t="shared" si="270"/>
        <v>14.806424253751443</v>
      </c>
      <c r="S286" s="18">
        <f t="shared" si="271"/>
        <v>1.5032066249545122</v>
      </c>
      <c r="T286" s="18" t="str">
        <f t="shared" si="259"/>
        <v>1+0.0132322148800847i</v>
      </c>
      <c r="U286" s="18">
        <f t="shared" si="272"/>
        <v>1.0000875419235222</v>
      </c>
      <c r="V286" s="18">
        <f t="shared" si="273"/>
        <v>1.3231442678375865E-2</v>
      </c>
      <c r="W286" s="32" t="str">
        <f t="shared" si="260"/>
        <v>1-0.174498905545449i</v>
      </c>
      <c r="X286" s="18">
        <f t="shared" si="274"/>
        <v>1.0151107663878653</v>
      </c>
      <c r="Y286" s="18">
        <f t="shared" si="275"/>
        <v>-0.17275942067461367</v>
      </c>
      <c r="Z286" s="32" t="str">
        <f t="shared" si="261"/>
        <v>0.999526680237032+0.0797965437629073i</v>
      </c>
      <c r="AA286" s="18">
        <f t="shared" si="276"/>
        <v>1.0027068728707147</v>
      </c>
      <c r="AB286" s="18">
        <f t="shared" si="277"/>
        <v>7.9665368014732535E-2</v>
      </c>
      <c r="AC286" s="67" t="str">
        <f t="shared" si="278"/>
        <v>-0.325900528806054-1.88046829308865i</v>
      </c>
      <c r="AD286" s="65">
        <f t="shared" si="279"/>
        <v>5.6138431736078855</v>
      </c>
      <c r="AE286" s="62">
        <f t="shared" si="280"/>
        <v>-99.832164560039345</v>
      </c>
      <c r="AF286" s="50" t="str">
        <f t="shared" si="262"/>
        <v>79.1527877025864</v>
      </c>
      <c r="AG286" s="50" t="str">
        <f t="shared" si="263"/>
        <v>1+14.6572226364015i</v>
      </c>
      <c r="AH286" s="50">
        <f t="shared" si="281"/>
        <v>14.691295906523719</v>
      </c>
      <c r="AI286" s="50">
        <f t="shared" si="282"/>
        <v>1.5026761406273501</v>
      </c>
      <c r="AJ286" s="50" t="str">
        <f t="shared" si="264"/>
        <v>1+0.0132322148800847i</v>
      </c>
      <c r="AK286" s="50">
        <f t="shared" si="283"/>
        <v>1.0000875419235222</v>
      </c>
      <c r="AL286" s="50">
        <f t="shared" si="284"/>
        <v>1.3231442678375865E-2</v>
      </c>
      <c r="AM286" s="50" t="str">
        <f t="shared" si="265"/>
        <v>1-0.0610499005030188i</v>
      </c>
      <c r="AN286" s="50">
        <f t="shared" si="285"/>
        <v>1.0018618120037457</v>
      </c>
      <c r="AO286" s="50">
        <f t="shared" si="286"/>
        <v>-6.0974223499049081E-2</v>
      </c>
      <c r="AP286" s="59" t="str">
        <f t="shared" si="287"/>
        <v>0.109994451175404-5.39711627818782i</v>
      </c>
      <c r="AQ286" s="50">
        <f t="shared" si="288"/>
        <v>14.645038979851229</v>
      </c>
      <c r="AR286" s="62">
        <f t="shared" si="289"/>
        <v>-88.83246067619686</v>
      </c>
      <c r="AS286" s="32" t="str">
        <f t="shared" si="266"/>
        <v>-0.0000166666666666667</v>
      </c>
      <c r="AT286" s="32" t="str">
        <f t="shared" si="267"/>
        <v>0.000102248933164291i</v>
      </c>
      <c r="AU286" s="32">
        <f t="shared" si="290"/>
        <v>1.02248933164291E-4</v>
      </c>
      <c r="AV286" s="32">
        <f t="shared" si="291"/>
        <v>1.5707963267948966</v>
      </c>
      <c r="AW286" s="32" t="str">
        <f t="shared" si="268"/>
        <v>1+0.103911805087724i</v>
      </c>
      <c r="AX286" s="32">
        <f t="shared" si="292"/>
        <v>1.0053843360807793</v>
      </c>
      <c r="AY286" s="32">
        <f t="shared" si="293"/>
        <v>0.10354020800209603</v>
      </c>
      <c r="AZ286" s="32" t="str">
        <f t="shared" si="269"/>
        <v>1+3.53300137298261i</v>
      </c>
      <c r="BA286" s="32">
        <f t="shared" si="294"/>
        <v>3.671797747901838</v>
      </c>
      <c r="BB286" s="32">
        <f t="shared" si="295"/>
        <v>1.2949658080427724</v>
      </c>
      <c r="BC286" s="59" t="str">
        <f t="shared" si="296"/>
        <v>-0.552973811681016+0.220461392628304i</v>
      </c>
      <c r="BD286" s="50">
        <f t="shared" si="297"/>
        <v>-4.5052679856070323</v>
      </c>
      <c r="BE286" s="62">
        <f t="shared" si="298"/>
        <v>158.26365848617237</v>
      </c>
      <c r="BF286" s="59" t="str">
        <f t="shared" si="299"/>
        <v>0.594785116330436+0.968001235335641i</v>
      </c>
      <c r="BG286" s="65">
        <f t="shared" si="300"/>
        <v>1.1085751880008505</v>
      </c>
      <c r="BH286" s="62">
        <f t="shared" si="301"/>
        <v>58.431493926133001</v>
      </c>
      <c r="BI286" s="59" t="str">
        <f t="shared" si="255"/>
        <v>1.12903171993595+3.00871349032269i</v>
      </c>
      <c r="BJ286" s="65">
        <f t="shared" si="302"/>
        <v>10.139770994244186</v>
      </c>
      <c r="BK286" s="62">
        <f t="shared" si="256"/>
        <v>69.431197809975515</v>
      </c>
      <c r="BL286" s="50">
        <f t="shared" si="303"/>
        <v>1.1085751880008505</v>
      </c>
      <c r="BM286" s="62">
        <f t="shared" si="304"/>
        <v>58.431493926133001</v>
      </c>
    </row>
    <row r="287" spans="14:65" x14ac:dyDescent="0.3">
      <c r="N287" s="11">
        <v>69</v>
      </c>
      <c r="O287" s="51">
        <f t="shared" si="305"/>
        <v>4897.7881936844633</v>
      </c>
      <c r="P287" s="49" t="str">
        <f t="shared" si="257"/>
        <v>27.9103246607183</v>
      </c>
      <c r="Q287" s="18" t="str">
        <f t="shared" si="258"/>
        <v>1+15.1167149741731i</v>
      </c>
      <c r="R287" s="18">
        <f t="shared" si="270"/>
        <v>15.149754836643043</v>
      </c>
      <c r="S287" s="18">
        <f t="shared" si="271"/>
        <v>1.5047406310437268</v>
      </c>
      <c r="T287" s="18" t="str">
        <f t="shared" si="259"/>
        <v>1+0.0135404327591438i</v>
      </c>
      <c r="U287" s="18">
        <f t="shared" si="272"/>
        <v>1.000091667458191</v>
      </c>
      <c r="V287" s="18">
        <f t="shared" si="273"/>
        <v>1.3539605334201298E-2</v>
      </c>
      <c r="W287" s="32" t="str">
        <f t="shared" si="260"/>
        <v>1-0.178563507205319i</v>
      </c>
      <c r="X287" s="18">
        <f t="shared" si="274"/>
        <v>1.0158173684799172</v>
      </c>
      <c r="Y287" s="18">
        <f t="shared" si="275"/>
        <v>-0.17670117948222072</v>
      </c>
      <c r="Z287" s="32" t="str">
        <f t="shared" si="261"/>
        <v>0.999504373363839+0.0816552440408077i</v>
      </c>
      <c r="AA287" s="18">
        <f t="shared" si="276"/>
        <v>1.0028342690857768</v>
      </c>
      <c r="AB287" s="18">
        <f t="shared" si="277"/>
        <v>8.1514707961115623E-2</v>
      </c>
      <c r="AC287" s="67" t="str">
        <f t="shared" si="278"/>
        <v>-0.331592902446004-1.83662398644352i</v>
      </c>
      <c r="AD287" s="65">
        <f t="shared" si="279"/>
        <v>5.4197112026289309</v>
      </c>
      <c r="AE287" s="62">
        <f t="shared" si="280"/>
        <v>-100.23420573246345</v>
      </c>
      <c r="AF287" s="50" t="str">
        <f t="shared" si="262"/>
        <v>79.1527877025864</v>
      </c>
      <c r="AG287" s="50" t="str">
        <f t="shared" si="263"/>
        <v>1+14.9986332101285i</v>
      </c>
      <c r="AH287" s="50">
        <f t="shared" si="281"/>
        <v>15.031932616000162</v>
      </c>
      <c r="AI287" s="50">
        <f t="shared" si="282"/>
        <v>1.5042221147276009</v>
      </c>
      <c r="AJ287" s="50" t="str">
        <f t="shared" si="264"/>
        <v>1+0.0135404327591438i</v>
      </c>
      <c r="AK287" s="50">
        <f t="shared" si="283"/>
        <v>1.000091667458191</v>
      </c>
      <c r="AL287" s="50">
        <f t="shared" si="284"/>
        <v>1.3539605334201298E-2</v>
      </c>
      <c r="AM287" s="50" t="str">
        <f t="shared" si="265"/>
        <v>1-0.0624719353641766i</v>
      </c>
      <c r="AN287" s="50">
        <f t="shared" si="285"/>
        <v>1.0019494711352195</v>
      </c>
      <c r="AO287" s="50">
        <f t="shared" si="286"/>
        <v>-6.23908545122146E-2</v>
      </c>
      <c r="AP287" s="59" t="str">
        <f t="shared" si="287"/>
        <v>0.0935083979092646-5.27556299997252i</v>
      </c>
      <c r="AQ287" s="50">
        <f t="shared" si="288"/>
        <v>14.446740478859152</v>
      </c>
      <c r="AR287" s="62">
        <f t="shared" si="289"/>
        <v>-88.984549025977145</v>
      </c>
      <c r="AS287" s="32" t="str">
        <f t="shared" si="266"/>
        <v>-0.0000166666666666667</v>
      </c>
      <c r="AT287" s="32" t="str">
        <f t="shared" si="267"/>
        <v>0.000104630616775202i</v>
      </c>
      <c r="AU287" s="32">
        <f t="shared" si="290"/>
        <v>1.04630616775202E-4</v>
      </c>
      <c r="AV287" s="32">
        <f t="shared" si="291"/>
        <v>1.5707963267948966</v>
      </c>
      <c r="AW287" s="32" t="str">
        <f t="shared" si="268"/>
        <v>1+0.106332221961512i</v>
      </c>
      <c r="AX287" s="32">
        <f t="shared" si="292"/>
        <v>1.0056373806831527</v>
      </c>
      <c r="AY287" s="32">
        <f t="shared" si="293"/>
        <v>0.1059341689629336</v>
      </c>
      <c r="AZ287" s="32" t="str">
        <f t="shared" si="269"/>
        <v>1+3.61529554669139i</v>
      </c>
      <c r="BA287" s="32">
        <f t="shared" si="294"/>
        <v>3.751048105520189</v>
      </c>
      <c r="BB287" s="32">
        <f t="shared" si="295"/>
        <v>1.3009408407665852</v>
      </c>
      <c r="BC287" s="59" t="str">
        <f t="shared" si="296"/>
        <v>-0.552695561416378+0.218059879658984i</v>
      </c>
      <c r="BD287" s="50">
        <f t="shared" si="297"/>
        <v>-4.5219762032258721</v>
      </c>
      <c r="BE287" s="62">
        <f t="shared" si="298"/>
        <v>158.46883878432436</v>
      </c>
      <c r="BF287" s="59" t="str">
        <f t="shared" si="299"/>
        <v>0.583763930841758+0.942786816895039i</v>
      </c>
      <c r="BG287" s="65">
        <f t="shared" si="300"/>
        <v>0.89773499940306212</v>
      </c>
      <c r="BH287" s="62">
        <f t="shared" si="301"/>
        <v>58.234633051860897</v>
      </c>
      <c r="BI287" s="59" t="str">
        <f t="shared" si="255"/>
        <v>1.09870695642779+2.93617068405248i</v>
      </c>
      <c r="BJ287" s="65">
        <f t="shared" si="302"/>
        <v>9.9247642756332795</v>
      </c>
      <c r="BK287" s="62">
        <f t="shared" si="256"/>
        <v>69.484289758347188</v>
      </c>
      <c r="BL287" s="50">
        <f t="shared" si="303"/>
        <v>0.89773499940306212</v>
      </c>
      <c r="BM287" s="62">
        <f t="shared" si="304"/>
        <v>58.234633051860897</v>
      </c>
    </row>
    <row r="288" spans="14:65" x14ac:dyDescent="0.3">
      <c r="N288" s="11">
        <v>70</v>
      </c>
      <c r="O288" s="51">
        <f t="shared" si="305"/>
        <v>5011.8723362727324</v>
      </c>
      <c r="P288" s="49" t="str">
        <f t="shared" si="257"/>
        <v>27.9103246607183</v>
      </c>
      <c r="Q288" s="18" t="str">
        <f t="shared" si="258"/>
        <v>1+15.4688284993769i</v>
      </c>
      <c r="R288" s="18">
        <f t="shared" si="270"/>
        <v>15.501117867532489</v>
      </c>
      <c r="S288" s="18">
        <f t="shared" si="271"/>
        <v>1.5062400197889088</v>
      </c>
      <c r="T288" s="18" t="str">
        <f t="shared" si="259"/>
        <v>1+0.0138558299548806i</v>
      </c>
      <c r="U288" s="18">
        <f t="shared" si="272"/>
        <v>1.0000959874050783</v>
      </c>
      <c r="V288" s="18">
        <f t="shared" si="273"/>
        <v>1.3854943357676867E-2</v>
      </c>
      <c r="W288" s="32" t="str">
        <f t="shared" si="260"/>
        <v>1-0.182722785600278i</v>
      </c>
      <c r="X288" s="18">
        <f t="shared" si="274"/>
        <v>1.0165567452816027</v>
      </c>
      <c r="Y288" s="18">
        <f t="shared" si="275"/>
        <v>-0.1807290166385388</v>
      </c>
      <c r="Z288" s="32" t="str">
        <f t="shared" si="261"/>
        <v>0.999481015200101+0.0835572390099334i</v>
      </c>
      <c r="AA288" s="18">
        <f t="shared" si="276"/>
        <v>1.0029676524875504</v>
      </c>
      <c r="AB288" s="18">
        <f t="shared" si="277"/>
        <v>8.340667574046709E-2</v>
      </c>
      <c r="AC288" s="67" t="str">
        <f t="shared" si="278"/>
        <v>-0.337021581364819-1.79371983474962i</v>
      </c>
      <c r="AD288" s="65">
        <f t="shared" si="279"/>
        <v>5.2257650909480899</v>
      </c>
      <c r="AE288" s="62">
        <f t="shared" si="280"/>
        <v>-100.64122667990122</v>
      </c>
      <c r="AF288" s="50" t="str">
        <f t="shared" si="262"/>
        <v>79.1527877025864</v>
      </c>
      <c r="AG288" s="50" t="str">
        <f t="shared" si="263"/>
        <v>1+15.3479962577139i</v>
      </c>
      <c r="AH288" s="50">
        <f t="shared" si="281"/>
        <v>15.380539298958274</v>
      </c>
      <c r="AI288" s="50">
        <f t="shared" si="282"/>
        <v>1.5057332061790212</v>
      </c>
      <c r="AJ288" s="50" t="str">
        <f t="shared" si="264"/>
        <v>1+0.0138558299548806i</v>
      </c>
      <c r="AK288" s="50">
        <f t="shared" si="283"/>
        <v>1.0000959874050783</v>
      </c>
      <c r="AL288" s="50">
        <f t="shared" si="284"/>
        <v>1.3854943357676867E-2</v>
      </c>
      <c r="AM288" s="50" t="str">
        <f t="shared" si="265"/>
        <v>1-0.0639270936723782i</v>
      </c>
      <c r="AN288" s="50">
        <f t="shared" si="285"/>
        <v>1.002041253295191</v>
      </c>
      <c r="AO288" s="50">
        <f t="shared" si="286"/>
        <v>-6.3840223529969084E-2</v>
      </c>
      <c r="AP288" s="59" t="str">
        <f t="shared" si="287"/>
        <v>0.0777579182662204-5.15670834558887i</v>
      </c>
      <c r="AQ288" s="50">
        <f t="shared" si="288"/>
        <v>14.248438751303151</v>
      </c>
      <c r="AR288" s="62">
        <f t="shared" si="289"/>
        <v>-89.136103378411008</v>
      </c>
      <c r="AS288" s="32" t="str">
        <f t="shared" si="266"/>
        <v>-0.0000166666666666667</v>
      </c>
      <c r="AT288" s="32" t="str">
        <f t="shared" si="267"/>
        <v>0.000107067776924077i</v>
      </c>
      <c r="AU288" s="32">
        <f t="shared" si="290"/>
        <v>1.07067776924077E-4</v>
      </c>
      <c r="AV288" s="32">
        <f t="shared" si="291"/>
        <v>1.5707963267948966</v>
      </c>
      <c r="AW288" s="32" t="str">
        <f t="shared" si="268"/>
        <v>1+0.108809017586857i</v>
      </c>
      <c r="AX288" s="32">
        <f t="shared" si="292"/>
        <v>1.0059022826836694</v>
      </c>
      <c r="AY288" s="32">
        <f t="shared" si="293"/>
        <v>0.10838263116472588</v>
      </c>
      <c r="AZ288" s="32" t="str">
        <f t="shared" si="269"/>
        <v>1+3.69950659795313i</v>
      </c>
      <c r="BA288" s="32">
        <f t="shared" si="294"/>
        <v>3.8322772692354534</v>
      </c>
      <c r="BB288" s="32">
        <f t="shared" si="295"/>
        <v>1.306799011380803</v>
      </c>
      <c r="BC288" s="59" t="str">
        <f t="shared" si="296"/>
        <v>-0.552404497594318+0.215771228042954i</v>
      </c>
      <c r="BD288" s="50">
        <f t="shared" si="297"/>
        <v>-4.5381781254821014</v>
      </c>
      <c r="BE288" s="62">
        <f t="shared" si="298"/>
        <v>158.66420068572663</v>
      </c>
      <c r="BF288" s="59" t="str">
        <f t="shared" si="299"/>
        <v>0.573205368841205+0.918139343651762i</v>
      </c>
      <c r="BG288" s="65">
        <f t="shared" si="300"/>
        <v>0.68758696546599074</v>
      </c>
      <c r="BH288" s="62">
        <f t="shared" si="301"/>
        <v>58.022974005825432</v>
      </c>
      <c r="BI288" s="59" t="str">
        <f t="shared" si="255"/>
        <v>1.06971546861323+2.86536680439981i</v>
      </c>
      <c r="BJ288" s="65">
        <f t="shared" si="302"/>
        <v>9.7102606258210464</v>
      </c>
      <c r="BK288" s="62">
        <f t="shared" si="256"/>
        <v>69.528097307315576</v>
      </c>
      <c r="BL288" s="50">
        <f t="shared" si="303"/>
        <v>0.68758696546599074</v>
      </c>
      <c r="BM288" s="62">
        <f t="shared" si="304"/>
        <v>58.022974005825432</v>
      </c>
    </row>
    <row r="289" spans="14:65" x14ac:dyDescent="0.3">
      <c r="N289" s="11">
        <v>71</v>
      </c>
      <c r="O289" s="51">
        <f t="shared" si="305"/>
        <v>5128.6138399136489</v>
      </c>
      <c r="P289" s="49" t="str">
        <f t="shared" si="257"/>
        <v>27.9103246607183</v>
      </c>
      <c r="Q289" s="18" t="str">
        <f t="shared" si="258"/>
        <v>1+15.8291438022052i</v>
      </c>
      <c r="R289" s="18">
        <f t="shared" si="270"/>
        <v>15.860699653889524</v>
      </c>
      <c r="S289" s="18">
        <f t="shared" si="271"/>
        <v>1.5077055592036224</v>
      </c>
      <c r="T289" s="18" t="str">
        <f t="shared" si="259"/>
        <v>1+0.0141785736950631i</v>
      </c>
      <c r="U289" s="18">
        <f t="shared" si="272"/>
        <v>1.00010051092479</v>
      </c>
      <c r="V289" s="18">
        <f t="shared" si="273"/>
        <v>1.417762369419983E-2</v>
      </c>
      <c r="W289" s="32" t="str">
        <f t="shared" si="260"/>
        <v>1-0.186978946034782i</v>
      </c>
      <c r="X289" s="18">
        <f t="shared" si="274"/>
        <v>1.0173303918886321</v>
      </c>
      <c r="Y289" s="18">
        <f t="shared" si="275"/>
        <v>-0.18484454473421993</v>
      </c>
      <c r="Z289" s="32" t="str">
        <f t="shared" si="261"/>
        <v>0.999456556200022+0.0855035371331926i</v>
      </c>
      <c r="AA289" s="18">
        <f t="shared" si="276"/>
        <v>1.0031073036288267</v>
      </c>
      <c r="AB289" s="18">
        <f t="shared" si="277"/>
        <v>8.5342232436481258E-2</v>
      </c>
      <c r="AC289" s="67" t="str">
        <f t="shared" si="278"/>
        <v>-0.342197789347646-1.75173541908376i</v>
      </c>
      <c r="AD289" s="65">
        <f t="shared" si="279"/>
        <v>5.0320164532764897</v>
      </c>
      <c r="AE289" s="62">
        <f t="shared" si="280"/>
        <v>-101.05340930169973</v>
      </c>
      <c r="AF289" s="50" t="str">
        <f t="shared" si="262"/>
        <v>79.1527877025864</v>
      </c>
      <c r="AG289" s="50" t="str">
        <f t="shared" si="263"/>
        <v>1+15.7054970160698i</v>
      </c>
      <c r="AH289" s="50">
        <f t="shared" si="281"/>
        <v>15.7373008016552</v>
      </c>
      <c r="AI289" s="50">
        <f t="shared" si="282"/>
        <v>1.5072101885633786</v>
      </c>
      <c r="AJ289" s="50" t="str">
        <f t="shared" si="264"/>
        <v>1+0.0141785736950631i</v>
      </c>
      <c r="AK289" s="50">
        <f t="shared" si="283"/>
        <v>1.00010051092479</v>
      </c>
      <c r="AL289" s="50">
        <f t="shared" si="284"/>
        <v>1.417762369419983E-2</v>
      </c>
      <c r="AM289" s="50" t="str">
        <f t="shared" si="265"/>
        <v>1-0.0654161469718197i</v>
      </c>
      <c r="AN289" s="50">
        <f t="shared" si="285"/>
        <v>1.0021373520055217</v>
      </c>
      <c r="AO289" s="50">
        <f t="shared" si="286"/>
        <v>-6.5323074656038538E-2</v>
      </c>
      <c r="AP289" s="59" t="str">
        <f t="shared" si="287"/>
        <v>0.0627104674550915-5.04049581946311i</v>
      </c>
      <c r="AQ289" s="50">
        <f t="shared" si="288"/>
        <v>14.05013735553174</v>
      </c>
      <c r="AR289" s="62">
        <f t="shared" si="289"/>
        <v>-89.287201125205257</v>
      </c>
      <c r="AS289" s="32" t="str">
        <f t="shared" si="266"/>
        <v>-0.0000166666666666667</v>
      </c>
      <c r="AT289" s="32" t="str">
        <f t="shared" si="267"/>
        <v>0.000109561705825487i</v>
      </c>
      <c r="AU289" s="32">
        <f t="shared" si="290"/>
        <v>1.09561705825487E-4</v>
      </c>
      <c r="AV289" s="32">
        <f t="shared" si="291"/>
        <v>1.5707963267948966</v>
      </c>
      <c r="AW289" s="32" t="str">
        <f t="shared" si="268"/>
        <v>1+0.111343505193583i</v>
      </c>
      <c r="AX289" s="32">
        <f t="shared" si="292"/>
        <v>1.0061795943810397</v>
      </c>
      <c r="AY289" s="32">
        <f t="shared" si="293"/>
        <v>0.11088677532299746</v>
      </c>
      <c r="AZ289" s="32" t="str">
        <f t="shared" si="269"/>
        <v>1+3.78567917658183i</v>
      </c>
      <c r="BA289" s="32">
        <f t="shared" si="294"/>
        <v>3.9155289333633183</v>
      </c>
      <c r="BB289" s="32">
        <f t="shared" si="295"/>
        <v>1.3125418169839851</v>
      </c>
      <c r="BC289" s="59" t="str">
        <f t="shared" si="296"/>
        <v>-0.552100044751651+0.213594031804365i</v>
      </c>
      <c r="BD289" s="50">
        <f t="shared" si="297"/>
        <v>-4.5539020751399031</v>
      </c>
      <c r="BE289" s="62">
        <f t="shared" si="298"/>
        <v>158.84976231779174</v>
      </c>
      <c r="BF289" s="59" t="str">
        <f t="shared" si="299"/>
        <v>0.563087645629361+0.894041797767891i</v>
      </c>
      <c r="BG289" s="65">
        <f t="shared" si="300"/>
        <v>0.47811437813658475</v>
      </c>
      <c r="BH289" s="62">
        <f t="shared" si="301"/>
        <v>57.796353016091992</v>
      </c>
      <c r="BI289" s="59" t="str">
        <f t="shared" si="255"/>
        <v>1.04199737248382+2.79625254907616i</v>
      </c>
      <c r="BJ289" s="65">
        <f t="shared" si="302"/>
        <v>9.4962352803918311</v>
      </c>
      <c r="BK289" s="62">
        <f t="shared" si="256"/>
        <v>69.562561192586486</v>
      </c>
      <c r="BL289" s="50">
        <f t="shared" si="303"/>
        <v>0.47811437813658475</v>
      </c>
      <c r="BM289" s="62">
        <f t="shared" si="304"/>
        <v>57.796353016091992</v>
      </c>
    </row>
    <row r="290" spans="14:65" x14ac:dyDescent="0.3">
      <c r="N290" s="11">
        <v>72</v>
      </c>
      <c r="O290" s="51">
        <f t="shared" si="305"/>
        <v>5248.0746024977261</v>
      </c>
      <c r="P290" s="49" t="str">
        <f t="shared" si="257"/>
        <v>27.9103246607183</v>
      </c>
      <c r="Q290" s="18" t="str">
        <f t="shared" si="258"/>
        <v>1+16.1978519266009i</v>
      </c>
      <c r="R290" s="18">
        <f t="shared" si="270"/>
        <v>16.228690860204608</v>
      </c>
      <c r="S290" s="18">
        <f t="shared" si="271"/>
        <v>1.5091380011405158</v>
      </c>
      <c r="T290" s="18" t="str">
        <f t="shared" si="259"/>
        <v>1+0.0145088351026943i</v>
      </c>
      <c r="U290" s="18">
        <f t="shared" si="272"/>
        <v>1.0001052476094889</v>
      </c>
      <c r="V290" s="18">
        <f t="shared" si="273"/>
        <v>1.4507817164214922E-2</v>
      </c>
      <c r="W290" s="32" t="str">
        <f t="shared" si="260"/>
        <v>1-0.191334245181434i</v>
      </c>
      <c r="X290" s="18">
        <f t="shared" si="274"/>
        <v>1.0181398692611683</v>
      </c>
      <c r="Y290" s="18">
        <f t="shared" si="275"/>
        <v>-0.18904938794721998</v>
      </c>
      <c r="Z290" s="32" t="str">
        <f t="shared" si="261"/>
        <v>0.999430944482781+0.0874951703636134i</v>
      </c>
      <c r="AA290" s="18">
        <f t="shared" si="276"/>
        <v>1.0032535161297476</v>
      </c>
      <c r="AB290" s="18">
        <f t="shared" si="277"/>
        <v>8.7322359272494585E-2</v>
      </c>
      <c r="AC290" s="67" t="str">
        <f t="shared" si="278"/>
        <v>-0.347132241541693-1.71065066195535i</v>
      </c>
      <c r="AD290" s="65">
        <f t="shared" si="279"/>
        <v>4.8384772144769386</v>
      </c>
      <c r="AE290" s="62">
        <f t="shared" si="280"/>
        <v>-101.4709361670499</v>
      </c>
      <c r="AF290" s="50" t="str">
        <f t="shared" si="262"/>
        <v>79.1527877025864</v>
      </c>
      <c r="AG290" s="50" t="str">
        <f t="shared" si="263"/>
        <v>1+16.0713250368306i</v>
      </c>
      <c r="AH290" s="50">
        <f t="shared" si="281"/>
        <v>16.102406293453726</v>
      </c>
      <c r="AI290" s="50">
        <f t="shared" si="282"/>
        <v>1.5086538192057335</v>
      </c>
      <c r="AJ290" s="50" t="str">
        <f t="shared" si="264"/>
        <v>1+0.0145088351026943i</v>
      </c>
      <c r="AK290" s="50">
        <f t="shared" si="283"/>
        <v>1.0001052476094889</v>
      </c>
      <c r="AL290" s="50">
        <f t="shared" si="284"/>
        <v>1.4507817164214922E-2</v>
      </c>
      <c r="AM290" s="50" t="str">
        <f t="shared" si="265"/>
        <v>1-0.0669398847782711i</v>
      </c>
      <c r="AN290" s="50">
        <f t="shared" si="285"/>
        <v>1.0022379698325783</v>
      </c>
      <c r="AO290" s="50">
        <f t="shared" si="286"/>
        <v>-6.6840168018512461E-2</v>
      </c>
      <c r="AP290" s="59" t="str">
        <f t="shared" si="287"/>
        <v>0.0483349164874783-4.92686989749302i</v>
      </c>
      <c r="AQ290" s="50">
        <f t="shared" si="288"/>
        <v>13.851839850743893</v>
      </c>
      <c r="AR290" s="62">
        <f t="shared" si="289"/>
        <v>-89.43791942273036</v>
      </c>
      <c r="AS290" s="32" t="str">
        <f t="shared" si="266"/>
        <v>-0.0000166666666666667</v>
      </c>
      <c r="AT290" s="32" t="str">
        <f t="shared" si="267"/>
        <v>0.000112113725793547i</v>
      </c>
      <c r="AU290" s="32">
        <f t="shared" si="290"/>
        <v>1.12113725793547E-4</v>
      </c>
      <c r="AV290" s="32">
        <f t="shared" si="291"/>
        <v>1.5707963267948966</v>
      </c>
      <c r="AW290" s="32" t="str">
        <f t="shared" si="268"/>
        <v>1+0.11393702860057i</v>
      </c>
      <c r="AX290" s="32">
        <f t="shared" si="292"/>
        <v>1.0064698934823273</v>
      </c>
      <c r="AY290" s="32">
        <f t="shared" si="293"/>
        <v>0.11344780347724724</v>
      </c>
      <c r="AZ290" s="32" t="str">
        <f t="shared" si="269"/>
        <v>1+3.87385897241937i</v>
      </c>
      <c r="BA290" s="32">
        <f t="shared" si="294"/>
        <v>4.0008478274228398</v>
      </c>
      <c r="BB290" s="32">
        <f t="shared" si="295"/>
        <v>1.3181707866938643</v>
      </c>
      <c r="BC290" s="59" t="str">
        <f t="shared" si="296"/>
        <v>-0.551781602970774+0.211526930853107i</v>
      </c>
      <c r="BD290" s="50">
        <f t="shared" si="297"/>
        <v>-4.5691758178495281</v>
      </c>
      <c r="BE290" s="62">
        <f t="shared" si="298"/>
        <v>159.02554242072208</v>
      </c>
      <c r="BF290" s="59" t="str">
        <f t="shared" si="299"/>
        <v>0.553389868965964+0.870477746723265i</v>
      </c>
      <c r="BG290" s="65">
        <f t="shared" si="300"/>
        <v>0.26930139662740776</v>
      </c>
      <c r="BH290" s="62">
        <f t="shared" si="301"/>
        <v>57.554606253672205</v>
      </c>
      <c r="BI290" s="59" t="str">
        <f t="shared" si="255"/>
        <v>1.01549535043034+2.72878030620479i</v>
      </c>
      <c r="BJ290" s="65">
        <f t="shared" si="302"/>
        <v>9.282664032894365</v>
      </c>
      <c r="BK290" s="62">
        <f t="shared" si="256"/>
        <v>69.587622997991772</v>
      </c>
      <c r="BL290" s="50">
        <f t="shared" si="303"/>
        <v>0.26930139662740776</v>
      </c>
      <c r="BM290" s="62">
        <f t="shared" si="304"/>
        <v>57.554606253672205</v>
      </c>
    </row>
    <row r="291" spans="14:65" x14ac:dyDescent="0.3">
      <c r="N291" s="11">
        <v>73</v>
      </c>
      <c r="O291" s="51">
        <f t="shared" si="305"/>
        <v>5370.3179637025269</v>
      </c>
      <c r="P291" s="49" t="str">
        <f t="shared" si="257"/>
        <v>27.9103246607183</v>
      </c>
      <c r="Q291" s="18" t="str">
        <f t="shared" si="258"/>
        <v>1+16.575148366492i</v>
      </c>
      <c r="R291" s="18">
        <f t="shared" si="270"/>
        <v>16.605286609126097</v>
      </c>
      <c r="S291" s="18">
        <f t="shared" si="271"/>
        <v>1.510538081572292</v>
      </c>
      <c r="T291" s="18" t="str">
        <f t="shared" si="259"/>
        <v>1+0.0148467892867441i</v>
      </c>
      <c r="U291" s="18">
        <f t="shared" si="272"/>
        <v>1.0001102075032156</v>
      </c>
      <c r="V291" s="18">
        <f t="shared" si="273"/>
        <v>1.4845698552503372E-2</v>
      </c>
      <c r="W291" s="32" t="str">
        <f t="shared" si="260"/>
        <v>1-0.195790992277489i</v>
      </c>
      <c r="X291" s="18">
        <f t="shared" si="274"/>
        <v>1.0189868069101797</v>
      </c>
      <c r="Y291" s="18">
        <f t="shared" si="275"/>
        <v>-0.19334518069521223</v>
      </c>
      <c r="Z291" s="32" t="str">
        <f t="shared" si="261"/>
        <v>0.999404125722494+0.0895331946914962i</v>
      </c>
      <c r="AA291" s="18">
        <f t="shared" si="276"/>
        <v>1.0034065972788937</v>
      </c>
      <c r="AB291" s="18">
        <f t="shared" si="277"/>
        <v>8.9348057923610003E-2</v>
      </c>
      <c r="AC291" s="67" t="str">
        <f t="shared" si="278"/>
        <v>-0.351835164985804-1.67044582670215i</v>
      </c>
      <c r="AD291" s="65">
        <f t="shared" si="279"/>
        <v>4.6451596247583353</v>
      </c>
      <c r="AE291" s="62">
        <f t="shared" si="280"/>
        <v>-101.89399046664167</v>
      </c>
      <c r="AF291" s="50" t="str">
        <f t="shared" si="262"/>
        <v>79.1527877025864</v>
      </c>
      <c r="AG291" s="50" t="str">
        <f t="shared" si="263"/>
        <v>1+16.4456742868549i</v>
      </c>
      <c r="AH291" s="50">
        <f t="shared" si="281"/>
        <v>16.476049367166887</v>
      </c>
      <c r="AI291" s="50">
        <f t="shared" si="282"/>
        <v>1.5100648394555709</v>
      </c>
      <c r="AJ291" s="50" t="str">
        <f t="shared" si="264"/>
        <v>1+0.0148467892867441i</v>
      </c>
      <c r="AK291" s="50">
        <f t="shared" si="283"/>
        <v>1.0001102075032156</v>
      </c>
      <c r="AL291" s="50">
        <f t="shared" si="284"/>
        <v>1.4845698552503372E-2</v>
      </c>
      <c r="AM291" s="50" t="str">
        <f t="shared" si="265"/>
        <v>1-0.0684991149976858i</v>
      </c>
      <c r="AN291" s="50">
        <f t="shared" si="285"/>
        <v>1.0023433188062194</v>
      </c>
      <c r="AO291" s="50">
        <f t="shared" si="286"/>
        <v>-6.8392280051045806E-2</v>
      </c>
      <c r="AP291" s="59" t="str">
        <f t="shared" si="287"/>
        <v>0.0346014927059749-4.81577602562964i</v>
      </c>
      <c r="AQ291" s="50">
        <f t="shared" si="288"/>
        <v>13.653549804172604</v>
      </c>
      <c r="AR291" s="62">
        <f t="shared" si="289"/>
        <v>-89.588335219124232</v>
      </c>
      <c r="AS291" s="32" t="str">
        <f t="shared" si="266"/>
        <v>-0.0000166666666666667</v>
      </c>
      <c r="AT291" s="32" t="str">
        <f t="shared" si="267"/>
        <v>0.000114725189943022i</v>
      </c>
      <c r="AU291" s="32">
        <f t="shared" si="290"/>
        <v>1.14725189943022E-4</v>
      </c>
      <c r="AV291" s="32">
        <f t="shared" si="291"/>
        <v>1.5707963267948966</v>
      </c>
      <c r="AW291" s="32" t="str">
        <f t="shared" si="268"/>
        <v>1+0.116590962928255i</v>
      </c>
      <c r="AX291" s="32">
        <f t="shared" si="292"/>
        <v>1.0067737842417916</v>
      </c>
      <c r="AY291" s="32">
        <f t="shared" si="293"/>
        <v>0.116066939066201</v>
      </c>
      <c r="AZ291" s="32" t="str">
        <f t="shared" si="269"/>
        <v>1+3.96409273956066i</v>
      </c>
      <c r="BA291" s="32">
        <f t="shared" si="294"/>
        <v>4.0882797418764705</v>
      </c>
      <c r="BB291" s="32">
        <f t="shared" si="295"/>
        <v>1.323687477626432</v>
      </c>
      <c r="BC291" s="59" t="str">
        <f t="shared" si="296"/>
        <v>-0.551448546973431+0.209568609385122i</v>
      </c>
      <c r="BD291" s="50">
        <f t="shared" si="297"/>
        <v>-4.5840265833274092</v>
      </c>
      <c r="BE291" s="62">
        <f t="shared" si="298"/>
        <v>159.19156011281675</v>
      </c>
      <c r="BF291" s="59" t="str">
        <f t="shared" si="299"/>
        <v>0.544091999460729+0.847431317673872i</v>
      </c>
      <c r="BG291" s="65">
        <f t="shared" si="300"/>
        <v>6.1133041430922332E-2</v>
      </c>
      <c r="BH291" s="62">
        <f t="shared" si="301"/>
        <v>57.29756964617507</v>
      </c>
      <c r="BI291" s="59" t="str">
        <f t="shared" si="255"/>
        <v>0.990154541925592+2.66290407859199i</v>
      </c>
      <c r="BJ291" s="65">
        <f t="shared" si="302"/>
        <v>9.069523220845193</v>
      </c>
      <c r="BK291" s="62">
        <f t="shared" si="256"/>
        <v>69.603224893692513</v>
      </c>
      <c r="BL291" s="50">
        <f t="shared" si="303"/>
        <v>6.1133041430922332E-2</v>
      </c>
      <c r="BM291" s="62">
        <f t="shared" si="304"/>
        <v>57.29756964617507</v>
      </c>
    </row>
    <row r="292" spans="14:65" x14ac:dyDescent="0.3">
      <c r="N292" s="11">
        <v>74</v>
      </c>
      <c r="O292" s="51">
        <f t="shared" si="305"/>
        <v>5495.4087385762541</v>
      </c>
      <c r="P292" s="49" t="str">
        <f t="shared" si="257"/>
        <v>27.9103246607183</v>
      </c>
      <c r="Q292" s="18" t="str">
        <f t="shared" si="258"/>
        <v>1+16.9612331694451i</v>
      </c>
      <c r="R292" s="18">
        <f t="shared" si="270"/>
        <v>16.990686584958382</v>
      </c>
      <c r="S292" s="18">
        <f t="shared" si="271"/>
        <v>1.5119065208719467</v>
      </c>
      <c r="T292" s="18" t="str">
        <f t="shared" si="259"/>
        <v>1+0.0151926154349942i</v>
      </c>
      <c r="U292" s="18">
        <f t="shared" si="272"/>
        <v>1.0001154011231681</v>
      </c>
      <c r="V292" s="18">
        <f t="shared" si="273"/>
        <v>1.5191446699481822E-2</v>
      </c>
      <c r="W292" s="32" t="str">
        <f t="shared" si="260"/>
        <v>1-0.20035155034925i</v>
      </c>
      <c r="X292" s="18">
        <f t="shared" si="274"/>
        <v>1.0198729056737157</v>
      </c>
      <c r="Y292" s="18">
        <f t="shared" si="275"/>
        <v>-0.19773356616777901</v>
      </c>
      <c r="Z292" s="32" t="str">
        <f t="shared" si="261"/>
        <v>0.999376043032975+0.0916186907043166i</v>
      </c>
      <c r="AA292" s="18">
        <f t="shared" si="276"/>
        <v>1.0035668686612864</v>
      </c>
      <c r="AB292" s="18">
        <f t="shared" si="277"/>
        <v>9.1420350825316826E-2</v>
      </c>
      <c r="AC292" s="67" t="str">
        <f t="shared" si="278"/>
        <v>-0.35631631830795-1.63110151645433i</v>
      </c>
      <c r="AD292" s="65">
        <f t="shared" si="279"/>
        <v>4.4520762747236828</v>
      </c>
      <c r="AE292" s="62">
        <f t="shared" si="280"/>
        <v>-102.32275595707276</v>
      </c>
      <c r="AF292" s="50" t="str">
        <f t="shared" si="262"/>
        <v>79.1527877025864</v>
      </c>
      <c r="AG292" s="50" t="str">
        <f t="shared" si="263"/>
        <v>1+16.8287432510705i</v>
      </c>
      <c r="AH292" s="50">
        <f t="shared" si="281"/>
        <v>16.858428141747108</v>
      </c>
      <c r="AI292" s="50">
        <f t="shared" si="282"/>
        <v>1.5114439749673343</v>
      </c>
      <c r="AJ292" s="50" t="str">
        <f t="shared" si="264"/>
        <v>1+0.0151926154349942i</v>
      </c>
      <c r="AK292" s="50">
        <f t="shared" si="283"/>
        <v>1.0001154011231681</v>
      </c>
      <c r="AL292" s="50">
        <f t="shared" si="284"/>
        <v>1.5191446699481822E-2</v>
      </c>
      <c r="AM292" s="50" t="str">
        <f t="shared" si="265"/>
        <v>1-0.0700946643545655i</v>
      </c>
      <c r="AN292" s="50">
        <f t="shared" si="285"/>
        <v>1.0024536208578327</v>
      </c>
      <c r="AO292" s="50">
        <f t="shared" si="286"/>
        <v>-6.9980203774213157E-2</v>
      </c>
      <c r="AP292" s="59" t="str">
        <f t="shared" si="287"/>
        <v>0.0214817226224242-4.70716061717133i</v>
      </c>
      <c r="AQ292" s="50">
        <f t="shared" si="288"/>
        <v>13.455270798282694</v>
      </c>
      <c r="AR292" s="62">
        <f t="shared" si="289"/>
        <v>-89.738525281254738</v>
      </c>
      <c r="AS292" s="32" t="str">
        <f t="shared" si="266"/>
        <v>-0.0000166666666666667</v>
      </c>
      <c r="AT292" s="32" t="str">
        <f t="shared" si="267"/>
        <v>0.000117397482906773i</v>
      </c>
      <c r="AU292" s="32">
        <f t="shared" si="290"/>
        <v>1.17397482906773E-4</v>
      </c>
      <c r="AV292" s="32">
        <f t="shared" si="291"/>
        <v>1.5707963267948966</v>
      </c>
      <c r="AW292" s="32" t="str">
        <f t="shared" si="268"/>
        <v>1+0.119306715327748i</v>
      </c>
      <c r="AX292" s="32">
        <f t="shared" si="292"/>
        <v>1.0070918986479318</v>
      </c>
      <c r="AY292" s="32">
        <f t="shared" si="293"/>
        <v>0.11874542697711188</v>
      </c>
      <c r="AZ292" s="32" t="str">
        <f t="shared" si="269"/>
        <v>1+4.05642832114345i</v>
      </c>
      <c r="BA292" s="32">
        <f t="shared" si="294"/>
        <v>4.1778715543413574</v>
      </c>
      <c r="BB292" s="32">
        <f t="shared" si="295"/>
        <v>1.3290934710827158</v>
      </c>
      <c r="BC292" s="59" t="str">
        <f t="shared" si="296"/>
        <v>-0.551100225193954+0.207717794251109i</v>
      </c>
      <c r="BD292" s="50">
        <f t="shared" si="297"/>
        <v>-4.5984810878337887</v>
      </c>
      <c r="BE292" s="62">
        <f t="shared" si="298"/>
        <v>159.34783466916511</v>
      </c>
      <c r="BF292" s="59" t="str">
        <f t="shared" si="299"/>
        <v>0.535174812457324+0.824887173337578i</v>
      </c>
      <c r="BG292" s="65">
        <f t="shared" si="300"/>
        <v>-0.14640481311010659</v>
      </c>
      <c r="BH292" s="62">
        <f t="shared" si="301"/>
        <v>57.025078712092373</v>
      </c>
      <c r="BI292" s="59" t="str">
        <f t="shared" si="255"/>
        <v>0.965922438409746+2.59857941218708i</v>
      </c>
      <c r="BJ292" s="65">
        <f t="shared" si="302"/>
        <v>8.8567897104489166</v>
      </c>
      <c r="BK292" s="62">
        <f t="shared" si="256"/>
        <v>69.6093093879104</v>
      </c>
      <c r="BL292" s="50">
        <f t="shared" si="303"/>
        <v>-0.14640481311010659</v>
      </c>
      <c r="BM292" s="62">
        <f t="shared" si="304"/>
        <v>57.025078712092373</v>
      </c>
    </row>
    <row r="293" spans="14:65" x14ac:dyDescent="0.3">
      <c r="N293" s="11">
        <v>75</v>
      </c>
      <c r="O293" s="51">
        <f t="shared" si="305"/>
        <v>5623.4132519034993</v>
      </c>
      <c r="P293" s="49" t="str">
        <f t="shared" si="257"/>
        <v>27.9103246607183</v>
      </c>
      <c r="Q293" s="18" t="str">
        <f t="shared" si="258"/>
        <v>1+17.356311042733i</v>
      </c>
      <c r="R293" s="18">
        <f t="shared" si="270"/>
        <v>17.385095139575611</v>
      </c>
      <c r="S293" s="18">
        <f t="shared" si="271"/>
        <v>1.5132440240919225</v>
      </c>
      <c r="T293" s="18" t="str">
        <f t="shared" si="259"/>
        <v>1+0.015546496909046i</v>
      </c>
      <c r="U293" s="18">
        <f t="shared" si="272"/>
        <v>1.0001208394819812</v>
      </c>
      <c r="V293" s="18">
        <f t="shared" si="273"/>
        <v>1.5545244594553805E-2</v>
      </c>
      <c r="W293" s="32" t="str">
        <f t="shared" si="260"/>
        <v>1-0.205018337464972i</v>
      </c>
      <c r="X293" s="18">
        <f t="shared" si="274"/>
        <v>1.0207999405842954</v>
      </c>
      <c r="Y293" s="18">
        <f t="shared" si="275"/>
        <v>-0.20221619473206534</v>
      </c>
      <c r="Z293" s="32" t="str">
        <f t="shared" si="261"/>
        <v>0.999346636847073+0.093752764159665i</v>
      </c>
      <c r="AA293" s="18">
        <f t="shared" si="276"/>
        <v>1.0037346668144593</v>
      </c>
      <c r="AB293" s="18">
        <f t="shared" si="277"/>
        <v>9.3540281477794363E-2</v>
      </c>
      <c r="AC293" s="67" t="str">
        <f t="shared" si="278"/>
        <v>-0.360585010616139-1.59259867270701i</v>
      </c>
      <c r="AD293" s="65">
        <f t="shared" si="279"/>
        <v>4.259240110235142</v>
      </c>
      <c r="AE293" s="62">
        <f t="shared" si="280"/>
        <v>-102.75741689758</v>
      </c>
      <c r="AF293" s="50" t="str">
        <f t="shared" si="262"/>
        <v>79.1527877025864</v>
      </c>
      <c r="AG293" s="50" t="str">
        <f t="shared" si="263"/>
        <v>1+17.2207350377124i</v>
      </c>
      <c r="AH293" s="50">
        <f t="shared" si="281"/>
        <v>17.24974536736979</v>
      </c>
      <c r="AI293" s="50">
        <f t="shared" si="282"/>
        <v>1.5127919359799809</v>
      </c>
      <c r="AJ293" s="50" t="str">
        <f t="shared" si="264"/>
        <v>1+0.015546496909046i</v>
      </c>
      <c r="AK293" s="50">
        <f t="shared" si="283"/>
        <v>1.0001208394819812</v>
      </c>
      <c r="AL293" s="50">
        <f t="shared" si="284"/>
        <v>1.5545244594553805E-2</v>
      </c>
      <c r="AM293" s="50" t="str">
        <f t="shared" si="265"/>
        <v>1-0.0717273788302984i</v>
      </c>
      <c r="AN293" s="50">
        <f t="shared" si="285"/>
        <v>1.0025691082782597</v>
      </c>
      <c r="AO293" s="50">
        <f t="shared" si="286"/>
        <v>-7.1604749076573118E-2</v>
      </c>
      <c r="AP293" s="59" t="str">
        <f t="shared" si="287"/>
        <v>0.00894837699368581-4.6009710488828i</v>
      </c>
      <c r="AQ293" s="50">
        <f t="shared" si="288"/>
        <v>13.257006437997209</v>
      </c>
      <c r="AR293" s="62">
        <f t="shared" si="289"/>
        <v>-89.888566221492368</v>
      </c>
      <c r="AS293" s="32" t="str">
        <f t="shared" si="266"/>
        <v>-0.0000166666666666667</v>
      </c>
      <c r="AT293" s="32" t="str">
        <f t="shared" si="267"/>
        <v>0.000120132021569901i</v>
      </c>
      <c r="AU293" s="32">
        <f t="shared" si="290"/>
        <v>1.20132021569901E-4</v>
      </c>
      <c r="AV293" s="32">
        <f t="shared" si="291"/>
        <v>1.5707963267948966</v>
      </c>
      <c r="AW293" s="32" t="str">
        <f t="shared" si="268"/>
        <v>1+0.12208572572692i</v>
      </c>
      <c r="AX293" s="32">
        <f t="shared" si="292"/>
        <v>1.0074248976604998</v>
      </c>
      <c r="AY293" s="32">
        <f t="shared" si="293"/>
        <v>0.12148453356677411</v>
      </c>
      <c r="AZ293" s="32" t="str">
        <f t="shared" si="269"/>
        <v>1+4.15091467471527i</v>
      </c>
      <c r="BA293" s="32">
        <f t="shared" si="294"/>
        <v>4.2696712562873707</v>
      </c>
      <c r="BB293" s="32">
        <f t="shared" si="295"/>
        <v>1.3343903689395944</v>
      </c>
      <c r="BC293" s="59" t="str">
        <f t="shared" si="296"/>
        <v>-0.550735958832966+0.205973253289717i</v>
      </c>
      <c r="BD293" s="50">
        <f t="shared" si="297"/>
        <v>-4.612565557825274</v>
      </c>
      <c r="BE293" s="62">
        <f t="shared" si="298"/>
        <v>159.494385313652</v>
      </c>
      <c r="BF293" s="59" t="str">
        <f t="shared" si="299"/>
        <v>0.526619861364823+0.802830489325291i</v>
      </c>
      <c r="BG293" s="65">
        <f t="shared" si="300"/>
        <v>-0.35332544759012846</v>
      </c>
      <c r="BH293" s="62">
        <f t="shared" si="301"/>
        <v>56.73696841607201</v>
      </c>
      <c r="BI293" s="59" t="str">
        <f t="shared" si="255"/>
        <v>0.942748782246575+2.53576332849024i</v>
      </c>
      <c r="BJ293" s="65">
        <f t="shared" si="302"/>
        <v>8.6444408801719401</v>
      </c>
      <c r="BK293" s="62">
        <f t="shared" si="256"/>
        <v>69.605819092159692</v>
      </c>
      <c r="BL293" s="50">
        <f t="shared" si="303"/>
        <v>-0.35332544759012846</v>
      </c>
      <c r="BM293" s="62">
        <f t="shared" si="304"/>
        <v>56.73696841607201</v>
      </c>
    </row>
    <row r="294" spans="14:65" x14ac:dyDescent="0.3">
      <c r="N294" s="11">
        <v>76</v>
      </c>
      <c r="O294" s="51">
        <f t="shared" si="305"/>
        <v>5754.399373371567</v>
      </c>
      <c r="P294" s="49" t="str">
        <f t="shared" si="257"/>
        <v>27.9103246607183</v>
      </c>
      <c r="Q294" s="18" t="str">
        <f t="shared" si="258"/>
        <v>1+17.7605914618737i</v>
      </c>
      <c r="R294" s="18">
        <f t="shared" si="270"/>
        <v>17.788721400808463</v>
      </c>
      <c r="S294" s="18">
        <f t="shared" si="271"/>
        <v>1.5145512812418702</v>
      </c>
      <c r="T294" s="18" t="str">
        <f t="shared" si="259"/>
        <v>1+0.0159086213415411i</v>
      </c>
      <c r="U294" s="18">
        <f t="shared" si="272"/>
        <v>1.0001265341110537</v>
      </c>
      <c r="V294" s="18">
        <f t="shared" si="273"/>
        <v>1.590727947155551E-2</v>
      </c>
      <c r="W294" s="32" t="str">
        <f t="shared" si="260"/>
        <v>1-0.209793828016956i</v>
      </c>
      <c r="X294" s="18">
        <f t="shared" si="274"/>
        <v>1.0217697638284313</v>
      </c>
      <c r="Y294" s="18">
        <f t="shared" si="275"/>
        <v>-0.20679472220551645</v>
      </c>
      <c r="Z294" s="32" t="str">
        <f t="shared" si="261"/>
        <v>0.999315844790325+0.0959365465715352i</v>
      </c>
      <c r="AA294" s="18">
        <f t="shared" si="276"/>
        <v>1.0039103439137746</v>
      </c>
      <c r="AB294" s="18">
        <f t="shared" si="277"/>
        <v>9.5708914745044033E-2</v>
      </c>
      <c r="AC294" s="67" t="str">
        <f t="shared" si="278"/>
        <v>-0.364650119608114-1.55491857353849i</v>
      </c>
      <c r="AD294" s="65">
        <f t="shared" si="279"/>
        <v>4.0666644470524895</v>
      </c>
      <c r="AE294" s="62">
        <f t="shared" si="280"/>
        <v>-103.19815797866008</v>
      </c>
      <c r="AF294" s="50" t="str">
        <f t="shared" si="262"/>
        <v>79.1527877025864</v>
      </c>
      <c r="AG294" s="50" t="str">
        <f t="shared" si="263"/>
        <v>1+17.6218574860147i</v>
      </c>
      <c r="AH294" s="50">
        <f t="shared" si="281"/>
        <v>17.650208532972417</v>
      </c>
      <c r="AI294" s="50">
        <f t="shared" si="282"/>
        <v>1.5141094175952545</v>
      </c>
      <c r="AJ294" s="50" t="str">
        <f t="shared" si="264"/>
        <v>1+0.0159086213415411i</v>
      </c>
      <c r="AK294" s="50">
        <f t="shared" si="283"/>
        <v>1.0001265341110537</v>
      </c>
      <c r="AL294" s="50">
        <f t="shared" si="284"/>
        <v>1.590727947155551E-2</v>
      </c>
      <c r="AM294" s="50" t="str">
        <f t="shared" si="265"/>
        <v>1-0.0733981241117111i</v>
      </c>
      <c r="AN294" s="50">
        <f t="shared" si="285"/>
        <v>1.0026900241964702</v>
      </c>
      <c r="AO294" s="50">
        <f t="shared" si="286"/>
        <v>-7.326674299497983E-2</v>
      </c>
      <c r="AP294" s="59" t="str">
        <f t="shared" si="287"/>
        <v>-0.00302458193722843-4.49715565604191i</v>
      </c>
      <c r="AQ294" s="50">
        <f t="shared" si="288"/>
        <v>13.058760357962427</v>
      </c>
      <c r="AR294" s="62">
        <f t="shared" si="289"/>
        <v>-90.038534524245989</v>
      </c>
      <c r="AS294" s="32" t="str">
        <f t="shared" si="266"/>
        <v>-0.0000166666666666667</v>
      </c>
      <c r="AT294" s="32" t="str">
        <f t="shared" si="267"/>
        <v>0.000122930255821i</v>
      </c>
      <c r="AU294" s="32">
        <f t="shared" si="290"/>
        <v>1.2293025582100001E-4</v>
      </c>
      <c r="AV294" s="32">
        <f t="shared" si="291"/>
        <v>1.5707963267948966</v>
      </c>
      <c r="AW294" s="32" t="str">
        <f t="shared" si="268"/>
        <v>1+0.124929467593867i</v>
      </c>
      <c r="AX294" s="32">
        <f t="shared" si="292"/>
        <v>1.0077734724992948</v>
      </c>
      <c r="AY294" s="32">
        <f t="shared" si="293"/>
        <v>0.12428554665180956</v>
      </c>
      <c r="AZ294" s="32" t="str">
        <f t="shared" si="269"/>
        <v>1+4.24760189819147i</v>
      </c>
      <c r="BA294" s="32">
        <f t="shared" si="294"/>
        <v>4.36372798023889</v>
      </c>
      <c r="BB294" s="32">
        <f t="shared" si="295"/>
        <v>1.3395797902404214</v>
      </c>
      <c r="BC294" s="59" t="str">
        <f t="shared" si="296"/>
        <v>-0.550355040892649+0.20433379362115i</v>
      </c>
      <c r="BD294" s="50">
        <f t="shared" si="297"/>
        <v>-4.6263057546688584</v>
      </c>
      <c r="BE294" s="62">
        <f t="shared" si="298"/>
        <v>159.63123102417131</v>
      </c>
      <c r="BF294" s="59" t="str">
        <f t="shared" si="299"/>
        <v>0.51840944239154+0.781246932840583i</v>
      </c>
      <c r="BG294" s="65">
        <f t="shared" si="300"/>
        <v>-0.55964130761636854</v>
      </c>
      <c r="BH294" s="62">
        <f t="shared" si="301"/>
        <v>56.433073045511215</v>
      </c>
      <c r="BI294" s="59" t="str">
        <f t="shared" si="255"/>
        <v>0.920585469619602+2.4744142606802i</v>
      </c>
      <c r="BJ294" s="65">
        <f t="shared" si="302"/>
        <v>8.4324546032935661</v>
      </c>
      <c r="BK294" s="62">
        <f t="shared" si="256"/>
        <v>69.59269649992531</v>
      </c>
      <c r="BL294" s="50">
        <f t="shared" si="303"/>
        <v>-0.55964130761636854</v>
      </c>
      <c r="BM294" s="62">
        <f t="shared" si="304"/>
        <v>56.433073045511215</v>
      </c>
    </row>
    <row r="295" spans="14:65" x14ac:dyDescent="0.3">
      <c r="N295" s="11">
        <v>77</v>
      </c>
      <c r="O295" s="51">
        <f t="shared" si="305"/>
        <v>5888.4365535558973</v>
      </c>
      <c r="P295" s="49" t="str">
        <f t="shared" si="257"/>
        <v>27.9103246607183</v>
      </c>
      <c r="Q295" s="18" t="str">
        <f t="shared" si="258"/>
        <v>1+18.1742887816968i</v>
      </c>
      <c r="R295" s="18">
        <f t="shared" si="270"/>
        <v>18.201779383360027</v>
      </c>
      <c r="S295" s="18">
        <f t="shared" si="271"/>
        <v>1.5158289675647236</v>
      </c>
      <c r="T295" s="18" t="str">
        <f t="shared" si="259"/>
        <v>1+0.0162791807356471i</v>
      </c>
      <c r="U295" s="18">
        <f t="shared" si="272"/>
        <v>1.0001324970849732</v>
      </c>
      <c r="V295" s="18">
        <f t="shared" si="273"/>
        <v>1.627774290634007E-2</v>
      </c>
      <c r="W295" s="32" t="str">
        <f t="shared" si="260"/>
        <v>1-0.214680554033505i</v>
      </c>
      <c r="X295" s="18">
        <f t="shared" si="274"/>
        <v>1.0227843077991237</v>
      </c>
      <c r="Y295" s="18">
        <f t="shared" si="275"/>
        <v>-0.21147080798921292</v>
      </c>
      <c r="Z295" s="32" t="str">
        <f t="shared" si="261"/>
        <v>0.999283601548652+0.0981711958102685i</v>
      </c>
      <c r="AA295" s="18">
        <f t="shared" si="276"/>
        <v>1.004094268488205</v>
      </c>
      <c r="AB295" s="18">
        <f t="shared" si="277"/>
        <v>9.7927337147915738E-2</v>
      </c>
      <c r="AC295" s="67" t="str">
        <f t="shared" si="278"/>
        <v>-0.368520108924875-1.51804283150974i</v>
      </c>
      <c r="AD295" s="65">
        <f t="shared" si="279"/>
        <v>3.8743629851995638</v>
      </c>
      <c r="AE295" s="62">
        <f t="shared" si="280"/>
        <v>-103.64516424213288</v>
      </c>
      <c r="AF295" s="50" t="str">
        <f t="shared" si="262"/>
        <v>79.1527877025864</v>
      </c>
      <c r="AG295" s="50" t="str">
        <f t="shared" si="263"/>
        <v>1+18.0323232764091i</v>
      </c>
      <c r="AH295" s="50">
        <f t="shared" si="281"/>
        <v>18.060029976301962</v>
      </c>
      <c r="AI295" s="50">
        <f t="shared" si="282"/>
        <v>1.5153971000543636</v>
      </c>
      <c r="AJ295" s="50" t="str">
        <f t="shared" si="264"/>
        <v>1+0.0162791807356471i</v>
      </c>
      <c r="AK295" s="50">
        <f t="shared" si="283"/>
        <v>1.0001324970849732</v>
      </c>
      <c r="AL295" s="50">
        <f t="shared" si="284"/>
        <v>1.627774290634007E-2</v>
      </c>
      <c r="AM295" s="50" t="str">
        <f t="shared" si="265"/>
        <v>1-0.0751077860500673i</v>
      </c>
      <c r="AN295" s="50">
        <f t="shared" si="285"/>
        <v>1.0028166230798843</v>
      </c>
      <c r="AO295" s="50">
        <f t="shared" si="286"/>
        <v>-7.4967029993623716E-2</v>
      </c>
      <c r="AP295" s="59" t="str">
        <f t="shared" si="287"/>
        <v>-0.0144620511057634-4.39566372651247i</v>
      </c>
      <c r="AQ295" s="50">
        <f t="shared" si="288"/>
        <v>12.860536229865708</v>
      </c>
      <c r="AR295" s="62">
        <f t="shared" si="289"/>
        <v>-90.188506572212162</v>
      </c>
      <c r="AS295" s="32" t="str">
        <f t="shared" si="266"/>
        <v>-0.0000166666666666667</v>
      </c>
      <c r="AT295" s="32" t="str">
        <f t="shared" si="267"/>
        <v>0.000125793669320909i</v>
      </c>
      <c r="AU295" s="32">
        <f t="shared" si="290"/>
        <v>1.2579366932090899E-4</v>
      </c>
      <c r="AV295" s="32">
        <f t="shared" si="291"/>
        <v>1.5707963267948966</v>
      </c>
      <c r="AW295" s="32" t="str">
        <f t="shared" si="268"/>
        <v>1+0.12783944871817i</v>
      </c>
      <c r="AX295" s="32">
        <f t="shared" si="292"/>
        <v>1.008138345986584</v>
      </c>
      <c r="AY295" s="32">
        <f t="shared" si="293"/>
        <v>0.12714977546564379</v>
      </c>
      <c r="AZ295" s="32" t="str">
        <f t="shared" si="269"/>
        <v>1+4.34654125641778i</v>
      </c>
      <c r="BA295" s="32">
        <f t="shared" si="294"/>
        <v>4.46009202749695</v>
      </c>
      <c r="BB295" s="32">
        <f t="shared" si="295"/>
        <v>1.3446633679806175</v>
      </c>
      <c r="BC295" s="59" t="str">
        <f t="shared" si="296"/>
        <v>-0.549956735194943+0.20279825989701i</v>
      </c>
      <c r="BD295" s="50">
        <f t="shared" si="297"/>
        <v>-4.6397270003110318</v>
      </c>
      <c r="BE295" s="62">
        <f t="shared" si="298"/>
        <v>159.75839035091875</v>
      </c>
      <c r="BF295" s="59" t="str">
        <f t="shared" si="299"/>
        <v>0.510526560637314+0.760122642676162i</v>
      </c>
      <c r="BG295" s="65">
        <f t="shared" si="300"/>
        <v>-0.76536401511147067</v>
      </c>
      <c r="BH295" s="62">
        <f t="shared" si="301"/>
        <v>56.113226108785874</v>
      </c>
      <c r="BI295" s="59" t="str">
        <f t="shared" si="255"/>
        <v>0.899386457239483+2.41449199324884i</v>
      </c>
      <c r="BJ295" s="65">
        <f t="shared" si="302"/>
        <v>8.2208092295546642</v>
      </c>
      <c r="BK295" s="62">
        <f t="shared" si="256"/>
        <v>69.569883778706568</v>
      </c>
      <c r="BL295" s="50">
        <f t="shared" si="303"/>
        <v>-0.76536401511147067</v>
      </c>
      <c r="BM295" s="62">
        <f t="shared" si="304"/>
        <v>56.113226108785874</v>
      </c>
    </row>
    <row r="296" spans="14:65" x14ac:dyDescent="0.3">
      <c r="N296" s="11">
        <v>78</v>
      </c>
      <c r="O296" s="51">
        <f t="shared" si="305"/>
        <v>6025.595860743585</v>
      </c>
      <c r="P296" s="49" t="str">
        <f t="shared" si="257"/>
        <v>27.9103246607183</v>
      </c>
      <c r="Q296" s="18" t="str">
        <f t="shared" si="258"/>
        <v>1+18.5976223499971i</v>
      </c>
      <c r="R296" s="18">
        <f t="shared" si="270"/>
        <v>18.624488102310668</v>
      </c>
      <c r="S296" s="18">
        <f t="shared" si="271"/>
        <v>1.5170777438108305</v>
      </c>
      <c r="T296" s="18" t="str">
        <f t="shared" si="259"/>
        <v>1+0.0166583715668595i</v>
      </c>
      <c r="U296" s="18">
        <f t="shared" si="272"/>
        <v>1.0001387410470908</v>
      </c>
      <c r="V296" s="18">
        <f t="shared" si="273"/>
        <v>1.6656830916542111E-2</v>
      </c>
      <c r="W296" s="32" t="str">
        <f t="shared" si="260"/>
        <v>1-0.219681106521436i</v>
      </c>
      <c r="X296" s="18">
        <f t="shared" si="274"/>
        <v>1.0238455882419393</v>
      </c>
      <c r="Y296" s="18">
        <f t="shared" si="275"/>
        <v>-0.21624611305526867</v>
      </c>
      <c r="Z296" s="32" t="str">
        <f t="shared" si="261"/>
        <v>0.999249838729814+0.100457896716469i</v>
      </c>
      <c r="AA296" s="18">
        <f t="shared" si="276"/>
        <v>1.0042868261678313</v>
      </c>
      <c r="AB296" s="18">
        <f t="shared" si="277"/>
        <v>0.10019665715002321</v>
      </c>
      <c r="AC296" s="67" t="str">
        <f t="shared" si="278"/>
        <v>-0.372203044772724-1.48195339127777i</v>
      </c>
      <c r="AD296" s="65">
        <f t="shared" si="279"/>
        <v>3.6823498230041514</v>
      </c>
      <c r="AE296" s="62">
        <f t="shared" si="280"/>
        <v>-104.09862099220018</v>
      </c>
      <c r="AF296" s="50" t="str">
        <f t="shared" si="262"/>
        <v>79.1527877025864</v>
      </c>
      <c r="AG296" s="50" t="str">
        <f t="shared" si="263"/>
        <v>1+18.4523500432905i</v>
      </c>
      <c r="AH296" s="50">
        <f t="shared" si="281"/>
        <v>18.479426996531117</v>
      </c>
      <c r="AI296" s="50">
        <f t="shared" si="282"/>
        <v>1.5166556490128007</v>
      </c>
      <c r="AJ296" s="50" t="str">
        <f t="shared" si="264"/>
        <v>1+0.0166583715668595i</v>
      </c>
      <c r="AK296" s="50">
        <f t="shared" si="283"/>
        <v>1.0001387410470908</v>
      </c>
      <c r="AL296" s="50">
        <f t="shared" si="284"/>
        <v>1.6656830916542111E-2</v>
      </c>
      <c r="AM296" s="50" t="str">
        <f t="shared" si="265"/>
        <v>1-0.076857271130756i</v>
      </c>
      <c r="AN296" s="50">
        <f t="shared" si="285"/>
        <v>1.0029491712572809</v>
      </c>
      <c r="AO296" s="50">
        <f t="shared" si="286"/>
        <v>-7.67064722412443E-2</v>
      </c>
      <c r="AP296" s="59" t="str">
        <f t="shared" si="287"/>
        <v>-0.0253878352664175-4.29644549393309i</v>
      </c>
      <c r="AQ296" s="50">
        <f t="shared" si="288"/>
        <v>12.662337769817693</v>
      </c>
      <c r="AR296" s="62">
        <f t="shared" si="289"/>
        <v>-90.338558672288002</v>
      </c>
      <c r="AS296" s="32" t="str">
        <f t="shared" si="266"/>
        <v>-0.0000166666666666667</v>
      </c>
      <c r="AT296" s="32" t="str">
        <f t="shared" si="267"/>
        <v>0.000128723780289369i</v>
      </c>
      <c r="AU296" s="32">
        <f t="shared" si="290"/>
        <v>1.28723780289369E-4</v>
      </c>
      <c r="AV296" s="32">
        <f t="shared" si="291"/>
        <v>1.5707963267948966</v>
      </c>
      <c r="AW296" s="32" t="str">
        <f t="shared" si="268"/>
        <v>1+0.130817212010338i</v>
      </c>
      <c r="AX296" s="32">
        <f t="shared" si="292"/>
        <v>1.0085202739450296</v>
      </c>
      <c r="AY296" s="32">
        <f t="shared" si="293"/>
        <v>0.1300785505793913</v>
      </c>
      <c r="AZ296" s="32" t="str">
        <f t="shared" si="269"/>
        <v>1+4.44778520835149i</v>
      </c>
      <c r="BA296" s="32">
        <f t="shared" si="294"/>
        <v>4.558814896399098</v>
      </c>
      <c r="BB296" s="32">
        <f t="shared" si="295"/>
        <v>1.3496427460829576</v>
      </c>
      <c r="BC296" s="59" t="str">
        <f t="shared" si="296"/>
        <v>-0.549540275384285+0.201365532502029i</v>
      </c>
      <c r="BD296" s="50">
        <f t="shared" si="297"/>
        <v>-4.6528542038031988</v>
      </c>
      <c r="BE296" s="62">
        <f t="shared" si="298"/>
        <v>159.87588124762189</v>
      </c>
      <c r="BF296" s="59" t="str">
        <f t="shared" si="299"/>
        <v>0.502954897501108+0.739444210439925i</v>
      </c>
      <c r="BG296" s="65">
        <f t="shared" si="300"/>
        <v>-0.97050438079904644</v>
      </c>
      <c r="BH296" s="62">
        <f t="shared" si="301"/>
        <v>55.777260255421716</v>
      </c>
      <c r="BI296" s="59" t="str">
        <f t="shared" si="255"/>
        <v>0.879107672735498+2.35595760494206i</v>
      </c>
      <c r="BJ296" s="65">
        <f t="shared" si="302"/>
        <v>8.0094835660144774</v>
      </c>
      <c r="BK296" s="62">
        <f t="shared" si="256"/>
        <v>69.537322575333846</v>
      </c>
      <c r="BL296" s="50">
        <f t="shared" si="303"/>
        <v>-0.97050438079904644</v>
      </c>
      <c r="BM296" s="62">
        <f t="shared" si="304"/>
        <v>55.777260255421716</v>
      </c>
    </row>
    <row r="297" spans="14:65" x14ac:dyDescent="0.3">
      <c r="N297" s="11">
        <v>79</v>
      </c>
      <c r="O297" s="51">
        <f t="shared" si="305"/>
        <v>6165.9500186148289</v>
      </c>
      <c r="P297" s="49" t="str">
        <f t="shared" si="257"/>
        <v>27.9103246607183</v>
      </c>
      <c r="Q297" s="18" t="str">
        <f t="shared" si="258"/>
        <v>1+19.030816623836i</v>
      </c>
      <c r="R297" s="18">
        <f t="shared" si="270"/>
        <v>19.057071689272533</v>
      </c>
      <c r="S297" s="18">
        <f t="shared" si="271"/>
        <v>1.5182982565099026</v>
      </c>
      <c r="T297" s="18" t="str">
        <f t="shared" si="259"/>
        <v>1+0.0170463948871764i</v>
      </c>
      <c r="U297" s="18">
        <f t="shared" si="272"/>
        <v>1.0001452792362966</v>
      </c>
      <c r="V297" s="18">
        <f t="shared" si="273"/>
        <v>1.7044744063569619E-2</v>
      </c>
      <c r="W297" s="32" t="str">
        <f t="shared" si="260"/>
        <v>1-0.224798136839867i</v>
      </c>
      <c r="X297" s="18">
        <f t="shared" si="274"/>
        <v>1.0249557074950486</v>
      </c>
      <c r="Y297" s="18">
        <f t="shared" si="275"/>
        <v>-0.22112229778174405</v>
      </c>
      <c r="Z297" s="32" t="str">
        <f t="shared" si="261"/>
        <v>0.999214484718346+0.102797861729227i</v>
      </c>
      <c r="AA297" s="18">
        <f t="shared" si="276"/>
        <v>1.0044884204643929</v>
      </c>
      <c r="AB297" s="18">
        <f t="shared" si="277"/>
        <v>0.10251800543547902</v>
      </c>
      <c r="AC297" s="67" t="str">
        <f t="shared" si="278"/>
        <v>-0.37570661183819-1.44663252695388i</v>
      </c>
      <c r="AD297" s="65">
        <f t="shared" si="279"/>
        <v>3.4906394707530626</v>
      </c>
      <c r="AE297" s="62">
        <f t="shared" si="280"/>
        <v>-104.55871369704657</v>
      </c>
      <c r="AF297" s="50" t="str">
        <f t="shared" si="262"/>
        <v>79.1527877025864</v>
      </c>
      <c r="AG297" s="50" t="str">
        <f t="shared" si="263"/>
        <v>1+18.8821604904107i</v>
      </c>
      <c r="AH297" s="50">
        <f t="shared" si="281"/>
        <v>18.908621969504463</v>
      </c>
      <c r="AI297" s="50">
        <f t="shared" si="282"/>
        <v>1.5178857158130643</v>
      </c>
      <c r="AJ297" s="50" t="str">
        <f t="shared" si="264"/>
        <v>1+0.0170463948871764i</v>
      </c>
      <c r="AK297" s="50">
        <f t="shared" si="283"/>
        <v>1.0001452792362966</v>
      </c>
      <c r="AL297" s="50">
        <f t="shared" si="284"/>
        <v>1.7044744063569619E-2</v>
      </c>
      <c r="AM297" s="50" t="str">
        <f t="shared" si="265"/>
        <v>1-0.0786475069539246i</v>
      </c>
      <c r="AN297" s="50">
        <f t="shared" si="285"/>
        <v>1.0030879474652596</v>
      </c>
      <c r="AO297" s="50">
        <f t="shared" si="286"/>
        <v>-7.8485949885917464E-2</v>
      </c>
      <c r="AP297" s="59" t="str">
        <f t="shared" si="287"/>
        <v>-0.0358246936784616-4.19945213010604i</v>
      </c>
      <c r="AQ297" s="50">
        <f t="shared" si="288"/>
        <v>12.464168745810136</v>
      </c>
      <c r="AR297" s="62">
        <f t="shared" si="289"/>
        <v>-90.488767081097606</v>
      </c>
      <c r="AS297" s="32" t="str">
        <f t="shared" si="266"/>
        <v>-0.0000166666666666667</v>
      </c>
      <c r="AT297" s="32" t="str">
        <f t="shared" si="267"/>
        <v>0.000131722142309999i</v>
      </c>
      <c r="AU297" s="32">
        <f t="shared" si="290"/>
        <v>1.3172214230999899E-4</v>
      </c>
      <c r="AV297" s="32">
        <f t="shared" si="291"/>
        <v>1.5707963267948966</v>
      </c>
      <c r="AW297" s="32" t="str">
        <f t="shared" si="268"/>
        <v>1+0.133864336319885i</v>
      </c>
      <c r="AX297" s="32">
        <f t="shared" si="292"/>
        <v>1.0089200466530355</v>
      </c>
      <c r="AY297" s="32">
        <f t="shared" si="293"/>
        <v>0.13307322378376171</v>
      </c>
      <c r="AZ297" s="32" t="str">
        <f t="shared" si="269"/>
        <v>1+4.55138743487608i</v>
      </c>
      <c r="BA297" s="32">
        <f t="shared" si="294"/>
        <v>4.6599493111350325</v>
      </c>
      <c r="BB297" s="32">
        <f t="shared" si="295"/>
        <v>1.3545195765569196</v>
      </c>
      <c r="BC297" s="59" t="str">
        <f t="shared" si="296"/>
        <v>-0.549104863916848+0.20003452570326i</v>
      </c>
      <c r="BD297" s="50">
        <f t="shared" si="297"/>
        <v>-4.6657118885903763</v>
      </c>
      <c r="BE297" s="62">
        <f t="shared" si="298"/>
        <v>159.98372091554947</v>
      </c>
      <c r="BF297" s="59" t="str">
        <f t="shared" si="299"/>
        <v>0.495678779362197+0.719198662948065i</v>
      </c>
      <c r="BG297" s="65">
        <f t="shared" si="300"/>
        <v>-1.175072417837316</v>
      </c>
      <c r="BH297" s="62">
        <f t="shared" si="301"/>
        <v>55.425007218502905</v>
      </c>
      <c r="BI297" s="59" t="str">
        <f t="shared" si="255"/>
        <v>0.859706928606481+2.29877341481876i</v>
      </c>
      <c r="BJ297" s="65">
        <f t="shared" si="302"/>
        <v>7.7984568572197617</v>
      </c>
      <c r="BK297" s="62">
        <f t="shared" si="256"/>
        <v>69.494953834451877</v>
      </c>
      <c r="BL297" s="50">
        <f t="shared" si="303"/>
        <v>-1.175072417837316</v>
      </c>
      <c r="BM297" s="62">
        <f t="shared" si="304"/>
        <v>55.425007218502905</v>
      </c>
    </row>
    <row r="298" spans="14:65" x14ac:dyDescent="0.3">
      <c r="N298" s="11">
        <v>80</v>
      </c>
      <c r="O298" s="51">
        <f t="shared" si="305"/>
        <v>6309.5734448019384</v>
      </c>
      <c r="P298" s="49" t="str">
        <f t="shared" si="257"/>
        <v>27.9103246607183</v>
      </c>
      <c r="Q298" s="18" t="str">
        <f t="shared" si="258"/>
        <v>1+19.4741012885514i</v>
      </c>
      <c r="R298" s="18">
        <f t="shared" si="270"/>
        <v>19.499759511254471</v>
      </c>
      <c r="S298" s="18">
        <f t="shared" si="271"/>
        <v>1.5194911382405749</v>
      </c>
      <c r="T298" s="18" t="str">
        <f t="shared" si="259"/>
        <v>1+0.017443456431698i</v>
      </c>
      <c r="U298" s="18">
        <f t="shared" si="272"/>
        <v>1.0001521255150561</v>
      </c>
      <c r="V298" s="18">
        <f t="shared" si="273"/>
        <v>1.744168755686468E-2</v>
      </c>
      <c r="W298" s="32" t="str">
        <f t="shared" si="260"/>
        <v>1-0.230034358106006i</v>
      </c>
      <c r="X298" s="18">
        <f t="shared" si="274"/>
        <v>1.0261168578233388</v>
      </c>
      <c r="Y298" s="18">
        <f t="shared" si="275"/>
        <v>-0.22610101962853749</v>
      </c>
      <c r="Z298" s="32" t="str">
        <f t="shared" si="261"/>
        <v>0.99917746452365+0.105192331528964i</v>
      </c>
      <c r="AA298" s="18">
        <f t="shared" si="276"/>
        <v>1.0046994735862109</v>
      </c>
      <c r="AB298" s="18">
        <f t="shared" si="277"/>
        <v>0.10489253517727208</v>
      </c>
      <c r="AC298" s="67" t="str">
        <f t="shared" si="278"/>
        <v>-0.379038128519708-1.41206283923572i</v>
      </c>
      <c r="AD298" s="65">
        <f t="shared" si="279"/>
        <v>3.2992468638973564</v>
      </c>
      <c r="AE298" s="62">
        <f t="shared" si="280"/>
        <v>-105.02562788052526</v>
      </c>
      <c r="AF298" s="50" t="str">
        <f t="shared" si="262"/>
        <v>79.1527877025864</v>
      </c>
      <c r="AG298" s="50" t="str">
        <f t="shared" si="263"/>
        <v>1+19.3219825089578i</v>
      </c>
      <c r="AH298" s="50">
        <f t="shared" si="281"/>
        <v>19.347842465672269</v>
      </c>
      <c r="AI298" s="50">
        <f t="shared" si="282"/>
        <v>1.5190879377550501</v>
      </c>
      <c r="AJ298" s="50" t="str">
        <f t="shared" si="264"/>
        <v>1+0.017443456431698i</v>
      </c>
      <c r="AK298" s="50">
        <f t="shared" si="283"/>
        <v>1.0001521255150561</v>
      </c>
      <c r="AL298" s="50">
        <f t="shared" si="284"/>
        <v>1.744168755686468E-2</v>
      </c>
      <c r="AM298" s="50" t="str">
        <f t="shared" si="265"/>
        <v>1-0.0804794427263028i</v>
      </c>
      <c r="AN298" s="50">
        <f t="shared" si="285"/>
        <v>1.0032332434192639</v>
      </c>
      <c r="AO298" s="50">
        <f t="shared" si="286"/>
        <v>-8.0306361326754089E-2</v>
      </c>
      <c r="AP298" s="59" t="str">
        <f t="shared" si="287"/>
        <v>-0.0457943849045469-4.10463573666586i</v>
      </c>
      <c r="AQ298" s="50">
        <f t="shared" si="288"/>
        <v>12.266032985264122</v>
      </c>
      <c r="AR298" s="62">
        <f t="shared" si="289"/>
        <v>-90.639208030077697</v>
      </c>
      <c r="AS298" s="32" t="str">
        <f t="shared" si="266"/>
        <v>-0.0000166666666666667</v>
      </c>
      <c r="AT298" s="32" t="str">
        <f t="shared" si="267"/>
        <v>0.00013479034515403i</v>
      </c>
      <c r="AU298" s="32">
        <f t="shared" si="290"/>
        <v>1.3479034515403001E-4</v>
      </c>
      <c r="AV298" s="32">
        <f t="shared" si="291"/>
        <v>1.5707963267948966</v>
      </c>
      <c r="AW298" s="32" t="str">
        <f t="shared" si="268"/>
        <v>1+0.136982437272452i</v>
      </c>
      <c r="AX298" s="32">
        <f t="shared" si="292"/>
        <v>1.0093384903594538</v>
      </c>
      <c r="AY298" s="32">
        <f t="shared" si="293"/>
        <v>0.13613516792888172</v>
      </c>
      <c r="AZ298" s="32" t="str">
        <f t="shared" si="269"/>
        <v>1+4.65740286726336i</v>
      </c>
      <c r="BA298" s="32">
        <f t="shared" si="294"/>
        <v>4.7635492511354354</v>
      </c>
      <c r="BB298" s="32">
        <f t="shared" si="295"/>
        <v>1.3592955168360983</v>
      </c>
      <c r="BC298" s="59" t="str">
        <f t="shared" si="296"/>
        <v>-0.54864967103826+0.198804185742099i</v>
      </c>
      <c r="BD298" s="50">
        <f t="shared" si="297"/>
        <v>-4.6783242204809703</v>
      </c>
      <c r="BE298" s="62">
        <f t="shared" si="298"/>
        <v>160.08192566013278</v>
      </c>
      <c r="BF298" s="59" t="str">
        <f t="shared" si="299"/>
        <v>0.488683147494229+0.69937344572646i</v>
      </c>
      <c r="BG298" s="65">
        <f t="shared" si="300"/>
        <v>-1.3790773565836107</v>
      </c>
      <c r="BH298" s="62">
        <f t="shared" si="301"/>
        <v>55.056297779607569</v>
      </c>
      <c r="BI298" s="59" t="str">
        <f t="shared" si="255"/>
        <v>0.841143839609056+2.2429029312511i</v>
      </c>
      <c r="BJ298" s="65">
        <f t="shared" si="302"/>
        <v>7.5877087647831489</v>
      </c>
      <c r="BK298" s="62">
        <f t="shared" si="256"/>
        <v>69.442717630055085</v>
      </c>
      <c r="BL298" s="50">
        <f t="shared" si="303"/>
        <v>-1.3790773565836107</v>
      </c>
      <c r="BM298" s="62">
        <f t="shared" si="304"/>
        <v>55.056297779607569</v>
      </c>
    </row>
    <row r="299" spans="14:65" x14ac:dyDescent="0.3">
      <c r="N299" s="11">
        <v>81</v>
      </c>
      <c r="O299" s="51">
        <f t="shared" si="305"/>
        <v>6456.5422903465615</v>
      </c>
      <c r="P299" s="49" t="str">
        <f t="shared" si="257"/>
        <v>27.9103246607183</v>
      </c>
      <c r="Q299" s="18" t="str">
        <f t="shared" si="258"/>
        <v>1+19.9277113795403i</v>
      </c>
      <c r="R299" s="18">
        <f t="shared" si="270"/>
        <v>19.952786292301635</v>
      </c>
      <c r="S299" s="18">
        <f t="shared" si="271"/>
        <v>1.5206570078973769</v>
      </c>
      <c r="T299" s="18" t="str">
        <f t="shared" si="259"/>
        <v>1+0.0178497667277113i</v>
      </c>
      <c r="U299" s="18">
        <f t="shared" si="272"/>
        <v>1.0001592943987641</v>
      </c>
      <c r="V299" s="18">
        <f t="shared" si="273"/>
        <v>1.7847871360482454E-2</v>
      </c>
      <c r="W299" s="32" t="str">
        <f t="shared" si="260"/>
        <v>1-0.235392546633678i</v>
      </c>
      <c r="X299" s="18">
        <f t="shared" si="274"/>
        <v>1.027331324846414</v>
      </c>
      <c r="Y299" s="18">
        <f t="shared" si="275"/>
        <v>-0.23118393064777323</v>
      </c>
      <c r="Z299" s="32" t="str">
        <f t="shared" si="261"/>
        <v>0.999138699620929+0.107642575695263i</v>
      </c>
      <c r="AA299" s="18">
        <f t="shared" si="276"/>
        <v>1.004920427288903</v>
      </c>
      <c r="AB299" s="18">
        <f t="shared" si="277"/>
        <v>0.10732142229506404</v>
      </c>
      <c r="AC299" s="67" t="str">
        <f t="shared" si="278"/>
        <v>-0.382204561499566-1.37822725234031i</v>
      </c>
      <c r="AD299" s="65">
        <f t="shared" si="279"/>
        <v>3.1081873757363647</v>
      </c>
      <c r="AE299" s="62">
        <f t="shared" si="280"/>
        <v>-105.4995490034745</v>
      </c>
      <c r="AF299" s="50" t="str">
        <f t="shared" si="262"/>
        <v>79.1527877025864</v>
      </c>
      <c r="AG299" s="50" t="str">
        <f t="shared" si="263"/>
        <v>1+19.7720492983878i</v>
      </c>
      <c r="AH299" s="50">
        <f t="shared" si="281"/>
        <v>19.797321370778356</v>
      </c>
      <c r="AI299" s="50">
        <f t="shared" si="282"/>
        <v>1.5202629383639272</v>
      </c>
      <c r="AJ299" s="50" t="str">
        <f t="shared" si="264"/>
        <v>1+0.0178497667277113i</v>
      </c>
      <c r="AK299" s="50">
        <f t="shared" si="283"/>
        <v>1.0001592943987641</v>
      </c>
      <c r="AL299" s="50">
        <f t="shared" si="284"/>
        <v>1.7847871360482454E-2</v>
      </c>
      <c r="AM299" s="50" t="str">
        <f t="shared" si="265"/>
        <v>1-0.0823540497644861i</v>
      </c>
      <c r="AN299" s="50">
        <f t="shared" si="285"/>
        <v>1.0033853644102109</v>
      </c>
      <c r="AO299" s="50">
        <f t="shared" si="286"/>
        <v>-8.2168623481810782E-2</v>
      </c>
      <c r="AP299" s="59" t="str">
        <f t="shared" si="287"/>
        <v>-0.0553177097887765-4.01194933609978i</v>
      </c>
      <c r="AQ299" s="50">
        <f t="shared" si="288"/>
        <v>12.067934382678732</v>
      </c>
      <c r="AR299" s="62">
        <f t="shared" si="289"/>
        <v>-90.789957750069476</v>
      </c>
      <c r="AS299" s="32" t="str">
        <f t="shared" si="266"/>
        <v>-0.0000166666666666667</v>
      </c>
      <c r="AT299" s="32" t="str">
        <f t="shared" si="267"/>
        <v>0.000137930015623223i</v>
      </c>
      <c r="AU299" s="32">
        <f t="shared" si="290"/>
        <v>1.3793001562322299E-4</v>
      </c>
      <c r="AV299" s="32">
        <f t="shared" si="291"/>
        <v>1.5707963267948966</v>
      </c>
      <c r="AW299" s="32" t="str">
        <f t="shared" si="268"/>
        <v>1+0.140173168126438i</v>
      </c>
      <c r="AX299" s="32">
        <f t="shared" si="292"/>
        <v>1.0097764688596198</v>
      </c>
      <c r="AY299" s="32">
        <f t="shared" si="293"/>
        <v>0.13926577671879758</v>
      </c>
      <c r="AZ299" s="32" t="str">
        <f t="shared" si="269"/>
        <v>1+4.7658877162989i</v>
      </c>
      <c r="BA299" s="32">
        <f t="shared" si="294"/>
        <v>4.8696699810530015</v>
      </c>
      <c r="BB299" s="32">
        <f t="shared" si="295"/>
        <v>1.363972227287533</v>
      </c>
      <c r="BC299" s="59" t="str">
        <f t="shared" si="296"/>
        <v>-0.548173833752446+0.197673488864429i</v>
      </c>
      <c r="BD299" s="50">
        <f t="shared" si="297"/>
        <v>-4.6907150362168384</v>
      </c>
      <c r="BE299" s="62">
        <f t="shared" si="298"/>
        <v>160.17051076003585</v>
      </c>
      <c r="BF299" s="59" t="str">
        <f t="shared" si="299"/>
        <v>0.481953529173034+0.679956407565969i</v>
      </c>
      <c r="BG299" s="65">
        <f t="shared" si="300"/>
        <v>-1.5825276604804783</v>
      </c>
      <c r="BH299" s="62">
        <f t="shared" si="301"/>
        <v>54.670961756561361</v>
      </c>
      <c r="BI299" s="59" t="str">
        <f t="shared" si="255"/>
        <v>0.823379743463492+2.18831080370046i</v>
      </c>
      <c r="BJ299" s="65">
        <f t="shared" si="302"/>
        <v>7.3772193464618976</v>
      </c>
      <c r="BK299" s="62">
        <f t="shared" si="256"/>
        <v>69.380553009966363</v>
      </c>
      <c r="BL299" s="50">
        <f t="shared" si="303"/>
        <v>-1.5825276604804783</v>
      </c>
      <c r="BM299" s="62">
        <f t="shared" si="304"/>
        <v>54.670961756561361</v>
      </c>
    </row>
    <row r="300" spans="14:65" x14ac:dyDescent="0.3">
      <c r="N300" s="11">
        <v>82</v>
      </c>
      <c r="O300" s="51">
        <f t="shared" si="305"/>
        <v>6606.9344800759654</v>
      </c>
      <c r="P300" s="49" t="str">
        <f t="shared" si="257"/>
        <v>27.9103246607183</v>
      </c>
      <c r="Q300" s="18" t="str">
        <f t="shared" si="258"/>
        <v>1+20.391887406877i</v>
      </c>
      <c r="R300" s="18">
        <f t="shared" si="270"/>
        <v>20.416392237972623</v>
      </c>
      <c r="S300" s="18">
        <f t="shared" si="271"/>
        <v>1.5217964709549494</v>
      </c>
      <c r="T300" s="18" t="str">
        <f t="shared" si="259"/>
        <v>1+0.0182655412063131i</v>
      </c>
      <c r="U300" s="18">
        <f t="shared" si="272"/>
        <v>1.0001668010864784</v>
      </c>
      <c r="V300" s="18">
        <f t="shared" si="273"/>
        <v>1.8263510302029433E-2</v>
      </c>
      <c r="W300" s="32" t="str">
        <f t="shared" si="260"/>
        <v>1-0.240875543405363i</v>
      </c>
      <c r="X300" s="18">
        <f t="shared" si="274"/>
        <v>1.0286014910599872</v>
      </c>
      <c r="Y300" s="18">
        <f t="shared" si="275"/>
        <v>-0.23637267482233618</v>
      </c>
      <c r="Z300" s="32" t="str">
        <f t="shared" si="261"/>
        <v>0.999098107784628+0.110149893380013i</v>
      </c>
      <c r="AA300" s="18">
        <f t="shared" si="276"/>
        <v>1.0051517437633248</v>
      </c>
      <c r="AB300" s="18">
        <f t="shared" si="277"/>
        <v>0.10980586570104908</v>
      </c>
      <c r="AC300" s="67" t="str">
        <f t="shared" si="278"/>
        <v>-0.385212539679081-1.34510901076335i</v>
      </c>
      <c r="AD300" s="65">
        <f t="shared" si="279"/>
        <v>2.9174768295016555</v>
      </c>
      <c r="AE300" s="62">
        <f t="shared" si="280"/>
        <v>-105.98066233421012</v>
      </c>
      <c r="AF300" s="50" t="str">
        <f t="shared" si="262"/>
        <v>79.1527877025864</v>
      </c>
      <c r="AG300" s="50" t="str">
        <f t="shared" si="263"/>
        <v>1+20.2325994900698i</v>
      </c>
      <c r="AH300" s="50">
        <f t="shared" si="281"/>
        <v>20.257297009363629</v>
      </c>
      <c r="AI300" s="50">
        <f t="shared" si="282"/>
        <v>1.5214113276553103</v>
      </c>
      <c r="AJ300" s="50" t="str">
        <f t="shared" si="264"/>
        <v>1+0.0182655412063131i</v>
      </c>
      <c r="AK300" s="50">
        <f t="shared" si="283"/>
        <v>1.0001668010864784</v>
      </c>
      <c r="AL300" s="50">
        <f t="shared" si="284"/>
        <v>1.8263510302029433E-2</v>
      </c>
      <c r="AM300" s="50" t="str">
        <f t="shared" si="265"/>
        <v>1-0.084272322009939i</v>
      </c>
      <c r="AN300" s="50">
        <f t="shared" si="285"/>
        <v>1.0035446299278108</v>
      </c>
      <c r="AO300" s="50">
        <f t="shared" si="286"/>
        <v>-8.4073672051441381E-2</v>
      </c>
      <c r="AP300" s="59" t="str">
        <f t="shared" si="287"/>
        <v>-0.0644145526792874-3.92134686218854i</v>
      </c>
      <c r="AQ300" s="50">
        <f t="shared" si="288"/>
        <v>11.869876907393763</v>
      </c>
      <c r="AR300" s="62">
        <f t="shared" si="289"/>
        <v>-90.941092495359086</v>
      </c>
      <c r="AS300" s="32" t="str">
        <f t="shared" si="266"/>
        <v>-0.0000166666666666667</v>
      </c>
      <c r="AT300" s="32" t="str">
        <f t="shared" si="267"/>
        <v>0.000141142818412419i</v>
      </c>
      <c r="AU300" s="32">
        <f t="shared" si="290"/>
        <v>1.41142818412419E-4</v>
      </c>
      <c r="AV300" s="32">
        <f t="shared" si="291"/>
        <v>1.5707963267948966</v>
      </c>
      <c r="AW300" s="32" t="str">
        <f t="shared" si="268"/>
        <v>1+0.143438220649576i</v>
      </c>
      <c r="AX300" s="32">
        <f t="shared" si="292"/>
        <v>1.0102348851346981</v>
      </c>
      <c r="AY300" s="32">
        <f t="shared" si="293"/>
        <v>0.14246646445720509</v>
      </c>
      <c r="AZ300" s="32" t="str">
        <f t="shared" si="269"/>
        <v>1+4.87689950208559i</v>
      </c>
      <c r="BA300" s="32">
        <f t="shared" si="294"/>
        <v>4.9783680813538362</v>
      </c>
      <c r="BB300" s="32">
        <f t="shared" si="295"/>
        <v>1.3685513688865585</v>
      </c>
      <c r="BC300" s="59" t="str">
        <f t="shared" si="296"/>
        <v>-0.547676454784303+0.196641439284047i</v>
      </c>
      <c r="BD300" s="50">
        <f t="shared" si="297"/>
        <v>-4.7029078725727134</v>
      </c>
      <c r="BE300" s="62">
        <f t="shared" si="298"/>
        <v>160.24949034850292</v>
      </c>
      <c r="BF300" s="59" t="str">
        <f t="shared" si="299"/>
        <v>0.475476009940343+0.660935786080535i</v>
      </c>
      <c r="BG300" s="65">
        <f t="shared" si="300"/>
        <v>-1.7854310430710549</v>
      </c>
      <c r="BH300" s="62">
        <f t="shared" si="301"/>
        <v>54.268828014292765</v>
      </c>
      <c r="BI300" s="59" t="str">
        <f t="shared" si="255"/>
        <v>0.806377624760645+2.13496277711328i</v>
      </c>
      <c r="BJ300" s="65">
        <f t="shared" si="302"/>
        <v>7.1669690348210597</v>
      </c>
      <c r="BK300" s="62">
        <f t="shared" si="256"/>
        <v>69.308397853143845</v>
      </c>
      <c r="BL300" s="50">
        <f t="shared" si="303"/>
        <v>-1.7854310430710549</v>
      </c>
      <c r="BM300" s="62">
        <f t="shared" si="304"/>
        <v>54.268828014292765</v>
      </c>
    </row>
    <row r="301" spans="14:65" x14ac:dyDescent="0.3">
      <c r="N301" s="11">
        <v>83</v>
      </c>
      <c r="O301" s="51">
        <f t="shared" si="305"/>
        <v>6760.8297539198229</v>
      </c>
      <c r="P301" s="49" t="str">
        <f t="shared" si="257"/>
        <v>27.9103246607183</v>
      </c>
      <c r="Q301" s="18" t="str">
        <f t="shared" si="258"/>
        <v>1+20.8668754828354i</v>
      </c>
      <c r="R301" s="18">
        <f t="shared" si="270"/>
        <v>20.890823162722839</v>
      </c>
      <c r="S301" s="18">
        <f t="shared" si="271"/>
        <v>1.5229101197293535</v>
      </c>
      <c r="T301" s="18" t="str">
        <f t="shared" si="259"/>
        <v>1+0.0186910003166355i</v>
      </c>
      <c r="U301" s="18">
        <f t="shared" si="272"/>
        <v>1.0001746614930997</v>
      </c>
      <c r="V301" s="18">
        <f t="shared" si="273"/>
        <v>1.86888241840126E-2</v>
      </c>
      <c r="W301" s="32" t="str">
        <f t="shared" si="260"/>
        <v>1-0.246486255578526i</v>
      </c>
      <c r="X301" s="18">
        <f t="shared" si="274"/>
        <v>1.0299298394498153</v>
      </c>
      <c r="Y301" s="18">
        <f t="shared" si="275"/>
        <v>-0.24166888522636207</v>
      </c>
      <c r="Z301" s="32" t="str">
        <f t="shared" si="261"/>
        <v>0.999055602914019+0.112715613996239i</v>
      </c>
      <c r="AA301" s="18">
        <f t="shared" si="276"/>
        <v>1.0053939065622206</v>
      </c>
      <c r="AB301" s="18">
        <f t="shared" si="277"/>
        <v>0.11234708753246135</v>
      </c>
      <c r="AC301" s="67" t="str">
        <f t="shared" si="278"/>
        <v>-0.388068367499587-1.31269167588869i</v>
      </c>
      <c r="AD301" s="65">
        <f t="shared" si="279"/>
        <v>2.7271315097556914</v>
      </c>
      <c r="AE301" s="62">
        <f t="shared" si="280"/>
        <v>-106.46915280774783</v>
      </c>
      <c r="AF301" s="50" t="str">
        <f t="shared" si="262"/>
        <v>79.1527877025864</v>
      </c>
      <c r="AG301" s="50" t="str">
        <f t="shared" si="263"/>
        <v>1+20.7038772738116i</v>
      </c>
      <c r="AH301" s="50">
        <f t="shared" si="281"/>
        <v>20.728013271151976</v>
      </c>
      <c r="AI301" s="50">
        <f t="shared" si="282"/>
        <v>1.5225337023975736</v>
      </c>
      <c r="AJ301" s="50" t="str">
        <f t="shared" si="264"/>
        <v>1+0.0186910003166355i</v>
      </c>
      <c r="AK301" s="50">
        <f t="shared" si="283"/>
        <v>1.0001746614930997</v>
      </c>
      <c r="AL301" s="50">
        <f t="shared" si="284"/>
        <v>1.86888241840126E-2</v>
      </c>
      <c r="AM301" s="50" t="str">
        <f t="shared" si="265"/>
        <v>1-0.0862352765559977i</v>
      </c>
      <c r="AN301" s="50">
        <f t="shared" si="285"/>
        <v>1.0037113743117039</v>
      </c>
      <c r="AO301" s="50">
        <f t="shared" si="286"/>
        <v>-8.6022461776271264E-2</v>
      </c>
      <c r="AP301" s="59" t="str">
        <f t="shared" si="287"/>
        <v>-0.0731039209589419-3.83278314993073i</v>
      </c>
      <c r="AQ301" s="50">
        <f t="shared" si="288"/>
        <v>11.671864611478673</v>
      </c>
      <c r="AR301" s="62">
        <f t="shared" si="289"/>
        <v>-91.092688567108112</v>
      </c>
      <c r="AS301" s="32" t="str">
        <f t="shared" si="266"/>
        <v>-0.0000166666666666667</v>
      </c>
      <c r="AT301" s="32" t="str">
        <f t="shared" si="267"/>
        <v>0.000144430456992183i</v>
      </c>
      <c r="AU301" s="32">
        <f t="shared" si="290"/>
        <v>1.44430456992183E-4</v>
      </c>
      <c r="AV301" s="32">
        <f t="shared" si="291"/>
        <v>1.5707963267948966</v>
      </c>
      <c r="AW301" s="32" t="str">
        <f t="shared" si="268"/>
        <v>1+0.146779326015932i</v>
      </c>
      <c r="AX301" s="32">
        <f t="shared" si="292"/>
        <v>1.0107146830563467</v>
      </c>
      <c r="AY301" s="32">
        <f t="shared" si="293"/>
        <v>0.14573866574080305</v>
      </c>
      <c r="AZ301" s="32" t="str">
        <f t="shared" si="269"/>
        <v>1+4.99049708454168i</v>
      </c>
      <c r="BA301" s="32">
        <f t="shared" si="294"/>
        <v>5.089701479538757</v>
      </c>
      <c r="BB301" s="32">
        <f t="shared" si="295"/>
        <v>1.3730346010507353</v>
      </c>
      <c r="BC301" s="59" t="str">
        <f t="shared" si="296"/>
        <v>-0.547156601539438+0.195707067074449i</v>
      </c>
      <c r="BD301" s="50">
        <f t="shared" si="297"/>
        <v>-4.7149259959173753</v>
      </c>
      <c r="BE301" s="62">
        <f t="shared" si="298"/>
        <v>160.31887730682001</v>
      </c>
      <c r="BF301" s="59" t="str">
        <f t="shared" si="299"/>
        <v>0.46923720698725+0.642300194220651i</v>
      </c>
      <c r="BG301" s="65">
        <f t="shared" si="300"/>
        <v>-1.9877944861616894</v>
      </c>
      <c r="BH301" s="62">
        <f t="shared" si="301"/>
        <v>53.849724499072174</v>
      </c>
      <c r="BI301" s="59" t="str">
        <f t="shared" si="255"/>
        <v>0.790102041956414+2.0828256487912i</v>
      </c>
      <c r="BJ301" s="65">
        <f t="shared" si="302"/>
        <v>6.9569386155612865</v>
      </c>
      <c r="BK301" s="62">
        <f t="shared" si="256"/>
        <v>69.226188739711844</v>
      </c>
      <c r="BL301" s="50">
        <f t="shared" si="303"/>
        <v>-1.9877944861616894</v>
      </c>
      <c r="BM301" s="62">
        <f t="shared" si="304"/>
        <v>53.849724499072174</v>
      </c>
    </row>
    <row r="302" spans="14:65" x14ac:dyDescent="0.3">
      <c r="N302" s="11">
        <v>84</v>
      </c>
      <c r="O302" s="51">
        <f t="shared" si="305"/>
        <v>6918.3097091893687</v>
      </c>
      <c r="P302" s="49" t="str">
        <f t="shared" si="257"/>
        <v>27.9103246607183</v>
      </c>
      <c r="Q302" s="18" t="str">
        <f t="shared" si="258"/>
        <v>1+21.3529274523805i</v>
      </c>
      <c r="R302" s="18">
        <f t="shared" si="270"/>
        <v>21.376330620259054</v>
      </c>
      <c r="S302" s="18">
        <f t="shared" si="271"/>
        <v>1.523998533636332</v>
      </c>
      <c r="T302" s="18" t="str">
        <f t="shared" si="259"/>
        <v>1+0.0191263696427305i</v>
      </c>
      <c r="U302" s="18">
        <f t="shared" si="272"/>
        <v>1.0001828922830616</v>
      </c>
      <c r="V302" s="18">
        <f t="shared" si="273"/>
        <v>1.9124037897642242E-2</v>
      </c>
      <c r="W302" s="32" t="str">
        <f t="shared" si="260"/>
        <v>1-0.252227658027029i</v>
      </c>
      <c r="X302" s="18">
        <f t="shared" si="274"/>
        <v>1.0313189571969477</v>
      </c>
      <c r="Y302" s="18">
        <f t="shared" si="275"/>
        <v>-0.24707418100171655</v>
      </c>
      <c r="Z302" s="32" t="str">
        <f t="shared" si="261"/>
        <v>0.999011094850573+0.115341097922974i</v>
      </c>
      <c r="AA302" s="18">
        <f t="shared" si="276"/>
        <v>1.0056474215671305</v>
      </c>
      <c r="AB302" s="18">
        <f t="shared" si="277"/>
        <v>0.11494633336918836</v>
      </c>
      <c r="AC302" s="67" t="str">
        <f t="shared" si="278"/>
        <v>-0.390778037671212-1.28095912247033i</v>
      </c>
      <c r="AD302" s="65">
        <f t="shared" si="279"/>
        <v>2.537168173012315</v>
      </c>
      <c r="AE302" s="62">
        <f t="shared" si="280"/>
        <v>-106.96520487331294</v>
      </c>
      <c r="AF302" s="50" t="str">
        <f t="shared" si="262"/>
        <v>79.1527877025864</v>
      </c>
      <c r="AG302" s="50" t="str">
        <f t="shared" si="263"/>
        <v>1+21.1861325273322i</v>
      </c>
      <c r="AH302" s="50">
        <f t="shared" si="281"/>
        <v>21.20971974038515</v>
      </c>
      <c r="AI302" s="50">
        <f t="shared" si="282"/>
        <v>1.5236306463711666</v>
      </c>
      <c r="AJ302" s="50" t="str">
        <f t="shared" si="264"/>
        <v>1+0.0191263696427305i</v>
      </c>
      <c r="AK302" s="50">
        <f t="shared" si="283"/>
        <v>1.0001828922830616</v>
      </c>
      <c r="AL302" s="50">
        <f t="shared" si="284"/>
        <v>1.9124037897642242E-2</v>
      </c>
      <c r="AM302" s="50" t="str">
        <f t="shared" si="265"/>
        <v>1-0.0882439541871453i</v>
      </c>
      <c r="AN302" s="50">
        <f t="shared" si="285"/>
        <v>1.0038859474315709</v>
      </c>
      <c r="AO302" s="50">
        <f t="shared" si="286"/>
        <v>-8.8015966688898828E-2</v>
      </c>
      <c r="AP302" s="59" t="str">
        <f t="shared" si="287"/>
        <v>-0.0814039829461672-3.74621392500944i</v>
      </c>
      <c r="AQ302" s="50">
        <f t="shared" si="288"/>
        <v>11.473901637760333</v>
      </c>
      <c r="AR302" s="62">
        <f t="shared" si="289"/>
        <v>-91.244822336112264</v>
      </c>
      <c r="AS302" s="32" t="str">
        <f t="shared" si="266"/>
        <v>-0.0000166666666666667</v>
      </c>
      <c r="AT302" s="32" t="str">
        <f t="shared" si="267"/>
        <v>0.000147794674512008i</v>
      </c>
      <c r="AU302" s="32">
        <f t="shared" si="290"/>
        <v>1.4779467451200799E-4</v>
      </c>
      <c r="AV302" s="32">
        <f t="shared" si="291"/>
        <v>1.5707963267948966</v>
      </c>
      <c r="AW302" s="32" t="str">
        <f t="shared" si="268"/>
        <v>1+0.150198255723795i</v>
      </c>
      <c r="AX302" s="32">
        <f t="shared" si="292"/>
        <v>1.0112168491587106</v>
      </c>
      <c r="AY302" s="32">
        <f t="shared" si="293"/>
        <v>0.14908383509645579</v>
      </c>
      <c r="AZ302" s="32" t="str">
        <f t="shared" si="269"/>
        <v>1+5.10674069460903i</v>
      </c>
      <c r="BA302" s="32">
        <f t="shared" si="294"/>
        <v>5.2037294820134461</v>
      </c>
      <c r="BB302" s="32">
        <f t="shared" si="295"/>
        <v>1.3774235796262979</v>
      </c>
      <c r="BC302" s="59" t="str">
        <f t="shared" si="296"/>
        <v>-0.546613305064504+0.194869425983867i</v>
      </c>
      <c r="BD302" s="50">
        <f t="shared" si="297"/>
        <v>-4.7267924321758201</v>
      </c>
      <c r="BE302" s="62">
        <f t="shared" si="298"/>
        <v>160.37868316973774</v>
      </c>
      <c r="BF302" s="59" t="str">
        <f t="shared" si="299"/>
        <v>0.463224243622674+0.624038607697943i</v>
      </c>
      <c r="BG302" s="65">
        <f t="shared" si="300"/>
        <v>-2.1896242591635007</v>
      </c>
      <c r="BH302" s="62">
        <f t="shared" si="301"/>
        <v>53.413478296424778</v>
      </c>
      <c r="BI302" s="59" t="str">
        <f t="shared" si="255"/>
        <v>0.774519057342978+2.03186722759856i</v>
      </c>
      <c r="BJ302" s="65">
        <f t="shared" si="302"/>
        <v>6.7471092055845183</v>
      </c>
      <c r="BK302" s="62">
        <f t="shared" si="256"/>
        <v>69.133860833625505</v>
      </c>
      <c r="BL302" s="50">
        <f t="shared" si="303"/>
        <v>-2.1896242591635007</v>
      </c>
      <c r="BM302" s="62">
        <f t="shared" si="304"/>
        <v>53.413478296424778</v>
      </c>
    </row>
    <row r="303" spans="14:65" x14ac:dyDescent="0.3">
      <c r="N303" s="11">
        <v>85</v>
      </c>
      <c r="O303" s="51">
        <f t="shared" si="305"/>
        <v>7079.4578438413828</v>
      </c>
      <c r="P303" s="49" t="str">
        <f t="shared" si="257"/>
        <v>27.9103246607183</v>
      </c>
      <c r="Q303" s="18" t="str">
        <f t="shared" si="258"/>
        <v>1+21.8503010267003i</v>
      </c>
      <c r="R303" s="18">
        <f t="shared" si="270"/>
        <v>21.873172036936484</v>
      </c>
      <c r="S303" s="18">
        <f t="shared" si="271"/>
        <v>1.525062279446409</v>
      </c>
      <c r="T303" s="18" t="str">
        <f t="shared" si="259"/>
        <v>1+0.0195718800231774i</v>
      </c>
      <c r="U303" s="18">
        <f t="shared" si="272"/>
        <v>1.0001915109056074</v>
      </c>
      <c r="V303" s="18">
        <f t="shared" si="273"/>
        <v>1.9569381539137582E-2</v>
      </c>
      <c r="W303" s="32" t="str">
        <f t="shared" si="260"/>
        <v>1-0.258102794918445i</v>
      </c>
      <c r="X303" s="18">
        <f t="shared" si="274"/>
        <v>1.0327715394726527</v>
      </c>
      <c r="Y303" s="18">
        <f t="shared" si="275"/>
        <v>-0.25259016414480745</v>
      </c>
      <c r="Z303" s="32" t="str">
        <f t="shared" si="261"/>
        <v>0.998964489186721+0.118027737226548i</v>
      </c>
      <c r="AA303" s="18">
        <f t="shared" si="276"/>
        <v>1.0059128179971193</v>
      </c>
      <c r="AB303" s="18">
        <f t="shared" si="277"/>
        <v>0.11760487243485458</v>
      </c>
      <c r="AC303" s="67" t="str">
        <f t="shared" si="278"/>
        <v>-0.393347243331047-1.24989553500791i</v>
      </c>
      <c r="AD303" s="65">
        <f t="shared" si="279"/>
        <v>2.3476040574785646</v>
      </c>
      <c r="AE303" s="62">
        <f t="shared" si="280"/>
        <v>-107.46900232971221</v>
      </c>
      <c r="AF303" s="50" t="str">
        <f t="shared" si="262"/>
        <v>79.1527877025864</v>
      </c>
      <c r="AG303" s="50" t="str">
        <f t="shared" si="263"/>
        <v>1+21.6796209487503i</v>
      </c>
      <c r="AH303" s="50">
        <f t="shared" si="281"/>
        <v>21.702671828175742</v>
      </c>
      <c r="AI303" s="50">
        <f t="shared" si="282"/>
        <v>1.5247027306248013</v>
      </c>
      <c r="AJ303" s="50" t="str">
        <f t="shared" si="264"/>
        <v>1+0.0195718800231774i</v>
      </c>
      <c r="AK303" s="50">
        <f t="shared" si="283"/>
        <v>1.0001915109056074</v>
      </c>
      <c r="AL303" s="50">
        <f t="shared" si="284"/>
        <v>1.9569381539137582E-2</v>
      </c>
      <c r="AM303" s="50" t="str">
        <f t="shared" si="265"/>
        <v>1-0.0902994199308496i</v>
      </c>
      <c r="AN303" s="50">
        <f t="shared" si="285"/>
        <v>1.0040687153974313</v>
      </c>
      <c r="AO303" s="50">
        <f t="shared" si="286"/>
        <v>-9.0055180358370734E-2</v>
      </c>
      <c r="AP303" s="59" t="str">
        <f t="shared" si="287"/>
        <v>-0.0893321042264069-3.66159579285542i</v>
      </c>
      <c r="AQ303" s="50">
        <f t="shared" si="288"/>
        <v>11.275992228001483</v>
      </c>
      <c r="AR303" s="62">
        <f t="shared" si="289"/>
        <v>-91.397570264823415</v>
      </c>
      <c r="AS303" s="32" t="str">
        <f t="shared" si="266"/>
        <v>-0.0000166666666666667</v>
      </c>
      <c r="AT303" s="32" t="str">
        <f t="shared" si="267"/>
        <v>0.000151237254724553i</v>
      </c>
      <c r="AU303" s="32">
        <f t="shared" si="290"/>
        <v>1.51237254724553E-4</v>
      </c>
      <c r="AV303" s="32">
        <f t="shared" si="291"/>
        <v>1.5707963267948966</v>
      </c>
      <c r="AW303" s="32" t="str">
        <f t="shared" si="268"/>
        <v>1+0.153696822534952i</v>
      </c>
      <c r="AX303" s="32">
        <f t="shared" si="292"/>
        <v>1.0117424144797631</v>
      </c>
      <c r="AY303" s="32">
        <f t="shared" si="293"/>
        <v>0.15250344655817291</v>
      </c>
      <c r="AZ303" s="32" t="str">
        <f t="shared" si="269"/>
        <v>1+5.22569196618837i</v>
      </c>
      <c r="BA303" s="32">
        <f t="shared" si="294"/>
        <v>5.3205128066273524</v>
      </c>
      <c r="BB303" s="32">
        <f t="shared" si="295"/>
        <v>1.3817199550205868</v>
      </c>
      <c r="BC303" s="59" t="str">
        <f t="shared" si="296"/>
        <v>-0.546045559012211+0.194127591168519i</v>
      </c>
      <c r="BD303" s="50">
        <f t="shared" si="297"/>
        <v>-4.7385299971340515</v>
      </c>
      <c r="BE303" s="62">
        <f t="shared" si="298"/>
        <v>160.42891804270326</v>
      </c>
      <c r="BF303" s="59" t="str">
        <f t="shared" si="299"/>
        <v>0.457424724793987+0.606140353279627i</v>
      </c>
      <c r="BG303" s="65">
        <f t="shared" si="300"/>
        <v>-2.3909259396554865</v>
      </c>
      <c r="BH303" s="62">
        <f t="shared" si="301"/>
        <v>52.959915712991034</v>
      </c>
      <c r="BI303" s="59" t="str">
        <f t="shared" si="255"/>
        <v>0.759596169889852+1.98205629537901i</v>
      </c>
      <c r="BJ303" s="65">
        <f t="shared" si="302"/>
        <v>6.5374622308674324</v>
      </c>
      <c r="BK303" s="62">
        <f t="shared" si="256"/>
        <v>69.031347777879844</v>
      </c>
      <c r="BL303" s="50">
        <f t="shared" si="303"/>
        <v>-2.3909259396554865</v>
      </c>
      <c r="BM303" s="62">
        <f t="shared" si="304"/>
        <v>52.959915712991034</v>
      </c>
    </row>
    <row r="304" spans="14:65" x14ac:dyDescent="0.3">
      <c r="N304" s="11">
        <v>86</v>
      </c>
      <c r="O304" s="51">
        <f t="shared" si="305"/>
        <v>7244.3596007499036</v>
      </c>
      <c r="P304" s="49" t="str">
        <f t="shared" si="257"/>
        <v>27.9103246607183</v>
      </c>
      <c r="Q304" s="18" t="str">
        <f t="shared" si="258"/>
        <v>1+22.3592599198474i</v>
      </c>
      <c r="R304" s="18">
        <f t="shared" si="270"/>
        <v>22.381610848267698</v>
      </c>
      <c r="S304" s="18">
        <f t="shared" si="271"/>
        <v>1.5261019115367196</v>
      </c>
      <c r="T304" s="18" t="str">
        <f t="shared" si="259"/>
        <v>1+0.0200277676734772i</v>
      </c>
      <c r="U304" s="18">
        <f t="shared" si="272"/>
        <v>1.0002005356317216</v>
      </c>
      <c r="V304" s="18">
        <f t="shared" si="273"/>
        <v>2.0025090528583728E-2</v>
      </c>
      <c r="W304" s="32" t="str">
        <f t="shared" si="260"/>
        <v>1-0.264114781328122i</v>
      </c>
      <c r="X304" s="18">
        <f t="shared" si="274"/>
        <v>1.0342903933209482</v>
      </c>
      <c r="Y304" s="18">
        <f t="shared" si="275"/>
        <v>-0.25821841609846086</v>
      </c>
      <c r="Z304" s="32" t="str">
        <f t="shared" si="261"/>
        <v>0.9989156870656+0.120776956398681i</v>
      </c>
      <c r="AA304" s="18">
        <f t="shared" si="276"/>
        <v>1.00619064946096</v>
      </c>
      <c r="AB304" s="18">
        <f t="shared" si="277"/>
        <v>0.12032399777962982</v>
      </c>
      <c r="AC304" s="67" t="str">
        <f t="shared" si="278"/>
        <v>-0.395781389651738-1.21948540403537i</v>
      </c>
      <c r="AD304" s="65">
        <f t="shared" si="279"/>
        <v>2.1584568918093119</v>
      </c>
      <c r="AE304" s="62">
        <f t="shared" si="280"/>
        <v>-107.98072814815518</v>
      </c>
      <c r="AF304" s="50" t="str">
        <f t="shared" si="262"/>
        <v>79.1527877025864</v>
      </c>
      <c r="AG304" s="50" t="str">
        <f t="shared" si="263"/>
        <v>1+22.1846041921593i</v>
      </c>
      <c r="AH304" s="50">
        <f t="shared" si="281"/>
        <v>22.207130907948734</v>
      </c>
      <c r="AI304" s="50">
        <f t="shared" si="282"/>
        <v>1.5257505137284078</v>
      </c>
      <c r="AJ304" s="50" t="str">
        <f t="shared" si="264"/>
        <v>1+0.0200277676734772i</v>
      </c>
      <c r="AK304" s="50">
        <f t="shared" si="283"/>
        <v>1.0002005356317216</v>
      </c>
      <c r="AL304" s="50">
        <f t="shared" si="284"/>
        <v>2.0025090528583728E-2</v>
      </c>
      <c r="AM304" s="50" t="str">
        <f t="shared" si="265"/>
        <v>1-0.0924027636222556i</v>
      </c>
      <c r="AN304" s="50">
        <f t="shared" si="285"/>
        <v>1.0042600613013695</v>
      </c>
      <c r="AO304" s="50">
        <f t="shared" si="286"/>
        <v>-9.2141116126400441E-2</v>
      </c>
      <c r="AP304" s="59" t="str">
        <f t="shared" si="287"/>
        <v>-0.0969048824730191-3.57888622735757i</v>
      </c>
      <c r="AQ304" s="50">
        <f t="shared" si="288"/>
        <v>11.078140731242909</v>
      </c>
      <c r="AR304" s="62">
        <f t="shared" si="289"/>
        <v>-91.551008928567242</v>
      </c>
      <c r="AS304" s="32" t="str">
        <f t="shared" si="266"/>
        <v>-0.0000166666666666667</v>
      </c>
      <c r="AT304" s="32" t="str">
        <f t="shared" si="267"/>
        <v>0.000154760022931414i</v>
      </c>
      <c r="AU304" s="32">
        <f t="shared" si="290"/>
        <v>1.54760022931414E-4</v>
      </c>
      <c r="AV304" s="32">
        <f t="shared" si="291"/>
        <v>1.5707963267948966</v>
      </c>
      <c r="AW304" s="32" t="str">
        <f t="shared" si="268"/>
        <v>1+0.157276881435835i</v>
      </c>
      <c r="AX304" s="32">
        <f t="shared" si="292"/>
        <v>1.0122924564740081</v>
      </c>
      <c r="AY304" s="32">
        <f t="shared" si="293"/>
        <v>0.15599899317970153</v>
      </c>
      <c r="AZ304" s="32" t="str">
        <f t="shared" si="269"/>
        <v>1+5.3474139688184i</v>
      </c>
      <c r="BA304" s="32">
        <f t="shared" si="294"/>
        <v>5.4401136159012475</v>
      </c>
      <c r="BB304" s="32">
        <f t="shared" si="295"/>
        <v>1.3859253704739174</v>
      </c>
      <c r="BC304" s="59" t="str">
        <f t="shared" si="296"/>
        <v>-0.545452318615418+0.193480656838789i</v>
      </c>
      <c r="BD304" s="50">
        <f t="shared" si="297"/>
        <v>-4.7501613270348724</v>
      </c>
      <c r="BE304" s="62">
        <f t="shared" si="298"/>
        <v>160.46959053077344</v>
      </c>
      <c r="BF304" s="59" t="str">
        <f t="shared" si="299"/>
        <v>0.451826713628452+0.588595097914365i</v>
      </c>
      <c r="BG304" s="65">
        <f t="shared" si="300"/>
        <v>-2.591704435225564</v>
      </c>
      <c r="BH304" s="62">
        <f t="shared" si="301"/>
        <v>52.488862382618265</v>
      </c>
      <c r="BI304" s="59" t="str">
        <f t="shared" si="255"/>
        <v>0.745302250850501+1.93336257046121i</v>
      </c>
      <c r="BJ304" s="65">
        <f t="shared" si="302"/>
        <v>6.3279794042080475</v>
      </c>
      <c r="BK304" s="62">
        <f t="shared" si="256"/>
        <v>68.91858160220626</v>
      </c>
      <c r="BL304" s="50">
        <f t="shared" si="303"/>
        <v>-2.591704435225564</v>
      </c>
      <c r="BM304" s="62">
        <f t="shared" si="304"/>
        <v>52.488862382618265</v>
      </c>
    </row>
    <row r="305" spans="14:65" x14ac:dyDescent="0.3">
      <c r="N305" s="11">
        <v>87</v>
      </c>
      <c r="O305" s="51">
        <f t="shared" si="305"/>
        <v>7413.1024130091773</v>
      </c>
      <c r="P305" s="49" t="str">
        <f t="shared" si="257"/>
        <v>27.9103246607183</v>
      </c>
      <c r="Q305" s="18" t="str">
        <f t="shared" si="258"/>
        <v>1+22.8800739885638i</v>
      </c>
      <c r="R305" s="18">
        <f t="shared" si="270"/>
        <v>22.901916638616814</v>
      </c>
      <c r="S305" s="18">
        <f t="shared" si="271"/>
        <v>1.5271179721394781</v>
      </c>
      <c r="T305" s="18" t="str">
        <f t="shared" si="259"/>
        <v>1+0.0204942743112962i</v>
      </c>
      <c r="U305" s="18">
        <f t="shared" si="272"/>
        <v>1.0002099855927986</v>
      </c>
      <c r="V305" s="18">
        <f t="shared" si="273"/>
        <v>2.0491405731385286E-2</v>
      </c>
      <c r="W305" s="32" t="str">
        <f t="shared" si="260"/>
        <v>1-0.270266804890831i</v>
      </c>
      <c r="X305" s="18">
        <f t="shared" si="274"/>
        <v>1.0358784416261875</v>
      </c>
      <c r="Y305" s="18">
        <f t="shared" si="275"/>
        <v>-0.26396049414402101</v>
      </c>
      <c r="Z305" s="32" t="str">
        <f t="shared" si="261"/>
        <v>0.998864584971369+0.123590213111768i</v>
      </c>
      <c r="AA305" s="18">
        <f t="shared" si="276"/>
        <v>1.0064814950544483</v>
      </c>
      <c r="AB305" s="18">
        <f t="shared" si="277"/>
        <v>0.12310502644289054</v>
      </c>
      <c r="AC305" s="67" t="str">
        <f t="shared" si="278"/>
        <v>-0.398085604921074-1.18971352234128i</v>
      </c>
      <c r="AD305" s="65">
        <f t="shared" si="279"/>
        <v>1.9697449027583278</v>
      </c>
      <c r="AE305" s="62">
        <f t="shared" si="280"/>
        <v>-108.50056428213446</v>
      </c>
      <c r="AF305" s="50" t="str">
        <f t="shared" si="262"/>
        <v>79.1527877025864</v>
      </c>
      <c r="AG305" s="50" t="str">
        <f t="shared" si="263"/>
        <v>1+22.7013500063588i</v>
      </c>
      <c r="AH305" s="50">
        <f t="shared" si="281"/>
        <v>22.723364454041722</v>
      </c>
      <c r="AI305" s="50">
        <f t="shared" si="282"/>
        <v>1.5267745420227548</v>
      </c>
      <c r="AJ305" s="50" t="str">
        <f t="shared" si="264"/>
        <v>1+0.0204942743112962i</v>
      </c>
      <c r="AK305" s="50">
        <f t="shared" si="283"/>
        <v>1.0002099855927986</v>
      </c>
      <c r="AL305" s="50">
        <f t="shared" si="284"/>
        <v>2.0491405731385286E-2</v>
      </c>
      <c r="AM305" s="50" t="str">
        <f t="shared" si="265"/>
        <v>1-0.0945551004820291i</v>
      </c>
      <c r="AN305" s="50">
        <f t="shared" si="285"/>
        <v>1.0044603859919845</v>
      </c>
      <c r="AO305" s="50">
        <f t="shared" si="286"/>
        <v>-9.4274807334220515E-2</v>
      </c>
      <c r="AP305" s="59" t="str">
        <f t="shared" si="287"/>
        <v>-0.104138180814819-3.4980435592675i</v>
      </c>
      <c r="AQ305" s="50">
        <f t="shared" si="288"/>
        <v>10.880351612321702</v>
      </c>
      <c r="AR305" s="62">
        <f t="shared" si="289"/>
        <v>-91.705215035884251</v>
      </c>
      <c r="AS305" s="32" t="str">
        <f t="shared" si="266"/>
        <v>-0.0000166666666666667</v>
      </c>
      <c r="AT305" s="32" t="str">
        <f t="shared" si="267"/>
        <v>0.000158364846950925i</v>
      </c>
      <c r="AU305" s="32">
        <f t="shared" si="290"/>
        <v>1.5836484695092501E-4</v>
      </c>
      <c r="AV305" s="32">
        <f t="shared" si="291"/>
        <v>1.5707963267948966</v>
      </c>
      <c r="AW305" s="32" t="str">
        <f t="shared" si="268"/>
        <v>1+0.160940330621061i</v>
      </c>
      <c r="AX305" s="32">
        <f t="shared" si="292"/>
        <v>1.0128681009985536</v>
      </c>
      <c r="AY305" s="32">
        <f t="shared" si="293"/>
        <v>0.15957198647834814</v>
      </c>
      <c r="AZ305" s="32" t="str">
        <f t="shared" si="269"/>
        <v>1+5.47197124111608i</v>
      </c>
      <c r="BA305" s="32">
        <f t="shared" si="294"/>
        <v>5.562595550963727</v>
      </c>
      <c r="BB305" s="32">
        <f t="shared" si="295"/>
        <v>1.390041460464414</v>
      </c>
      <c r="BC305" s="59" t="str">
        <f t="shared" si="296"/>
        <v>-0.544832499675313+0.192927733813175i</v>
      </c>
      <c r="BD305" s="50">
        <f t="shared" si="297"/>
        <v>-4.7617089094145753</v>
      </c>
      <c r="BE305" s="62">
        <f t="shared" si="298"/>
        <v>160.50070767908394</v>
      </c>
      <c r="BF305" s="59" t="str">
        <f t="shared" si="299"/>
        <v>0.446418708966101+0.571392838653651i</v>
      </c>
      <c r="BG305" s="65">
        <f t="shared" si="300"/>
        <v>-2.7919640066562517</v>
      </c>
      <c r="BH305" s="62">
        <f t="shared" si="301"/>
        <v>52.00014339694949</v>
      </c>
      <c r="BI305" s="59" t="str">
        <f t="shared" si="255"/>
        <v>0.731607482034229+1.88575667314081i</v>
      </c>
      <c r="BJ305" s="65">
        <f t="shared" si="302"/>
        <v>6.1186427029071231</v>
      </c>
      <c r="BK305" s="62">
        <f t="shared" si="256"/>
        <v>68.795492643199694</v>
      </c>
      <c r="BL305" s="50">
        <f t="shared" si="303"/>
        <v>-2.7919640066562517</v>
      </c>
      <c r="BM305" s="62">
        <f t="shared" si="304"/>
        <v>52.00014339694949</v>
      </c>
    </row>
    <row r="306" spans="14:65" x14ac:dyDescent="0.3">
      <c r="N306" s="11">
        <v>88</v>
      </c>
      <c r="O306" s="51">
        <f t="shared" si="305"/>
        <v>7585.7757502918394</v>
      </c>
      <c r="P306" s="49" t="str">
        <f t="shared" si="257"/>
        <v>27.9103246607183</v>
      </c>
      <c r="Q306" s="18" t="str">
        <f t="shared" si="258"/>
        <v>1+23.4130193753625i</v>
      </c>
      <c r="R306" s="18">
        <f t="shared" si="270"/>
        <v>23.434365284152666</v>
      </c>
      <c r="S306" s="18">
        <f t="shared" si="271"/>
        <v>1.5281109915870095</v>
      </c>
      <c r="T306" s="18" t="str">
        <f t="shared" si="259"/>
        <v>1+0.0209716472846289i</v>
      </c>
      <c r="U306" s="18">
        <f t="shared" si="272"/>
        <v>1.0002198808211276</v>
      </c>
      <c r="V306" s="18">
        <f t="shared" si="273"/>
        <v>2.0968573582368786E-2</v>
      </c>
      <c r="W306" s="32" t="str">
        <f t="shared" si="260"/>
        <v>1-0.276562127490897i</v>
      </c>
      <c r="X306" s="18">
        <f t="shared" si="274"/>
        <v>1.0375387271626497</v>
      </c>
      <c r="Y306" s="18">
        <f t="shared" si="275"/>
        <v>-0.26981792758942891</v>
      </c>
      <c r="Z306" s="32" t="str">
        <f t="shared" si="261"/>
        <v>0.998811074509634+0.126468998991757i</v>
      </c>
      <c r="AA306" s="18">
        <f t="shared" si="276"/>
        <v>1.0067859605045488</v>
      </c>
      <c r="AB306" s="18">
        <f t="shared" si="277"/>
        <v>0.12594929959374568</v>
      </c>
      <c r="AC306" s="67" t="str">
        <f t="shared" si="278"/>
        <v>-0.400264751112661-1.16056498113825i</v>
      </c>
      <c r="AD306" s="65">
        <f t="shared" si="279"/>
        <v>1.7814868216013011</v>
      </c>
      <c r="AE306" s="62">
        <f t="shared" si="280"/>
        <v>-109.0286914639988</v>
      </c>
      <c r="AF306" s="50" t="str">
        <f t="shared" si="262"/>
        <v>79.1527877025864</v>
      </c>
      <c r="AG306" s="50" t="str">
        <f t="shared" si="263"/>
        <v>1+23.2301323768196i</v>
      </c>
      <c r="AH306" s="50">
        <f t="shared" si="281"/>
        <v>23.251646183540689</v>
      </c>
      <c r="AI306" s="50">
        <f t="shared" si="282"/>
        <v>1.5277753498656623</v>
      </c>
      <c r="AJ306" s="50" t="str">
        <f t="shared" si="264"/>
        <v>1+0.0209716472846289i</v>
      </c>
      <c r="AK306" s="50">
        <f t="shared" si="283"/>
        <v>1.0002198808211276</v>
      </c>
      <c r="AL306" s="50">
        <f t="shared" si="284"/>
        <v>2.0968573582368786E-2</v>
      </c>
      <c r="AM306" s="50" t="str">
        <f t="shared" si="265"/>
        <v>1-0.0967575717076629i</v>
      </c>
      <c r="AN306" s="50">
        <f t="shared" si="285"/>
        <v>1.0046701088828927</v>
      </c>
      <c r="AO306" s="50">
        <f t="shared" si="286"/>
        <v>-9.6457307538885151E-2</v>
      </c>
      <c r="AP306" s="59" t="str">
        <f t="shared" si="287"/>
        <v>-0.111047159805834-3.4190269643413i</v>
      </c>
      <c r="AQ306" s="50">
        <f t="shared" si="288"/>
        <v>10.682629460577626</v>
      </c>
      <c r="AR306" s="62">
        <f t="shared" si="289"/>
        <v>-91.860265447919474</v>
      </c>
      <c r="AS306" s="32" t="str">
        <f t="shared" si="266"/>
        <v>-0.0000166666666666667</v>
      </c>
      <c r="AT306" s="32" t="str">
        <f t="shared" si="267"/>
        <v>0.000162053638108496i</v>
      </c>
      <c r="AU306" s="32">
        <f t="shared" si="290"/>
        <v>1.62053638108496E-4</v>
      </c>
      <c r="AV306" s="32">
        <f t="shared" si="291"/>
        <v>1.5707963267948966</v>
      </c>
      <c r="AW306" s="32" t="str">
        <f t="shared" si="268"/>
        <v>1+0.16468911249988i</v>
      </c>
      <c r="AX306" s="32">
        <f t="shared" si="292"/>
        <v>1.0134705243745366</v>
      </c>
      <c r="AY306" s="32">
        <f t="shared" si="293"/>
        <v>0.16322395580543034</v>
      </c>
      <c r="AZ306" s="32" t="str">
        <f t="shared" si="269"/>
        <v>1+5.59942982499591i</v>
      </c>
      <c r="BA306" s="32">
        <f t="shared" si="294"/>
        <v>5.6880237662173769</v>
      </c>
      <c r="BB306" s="32">
        <f t="shared" si="295"/>
        <v>1.3940698492394126</v>
      </c>
      <c r="BC306" s="59" t="str">
        <f t="shared" si="296"/>
        <v>-0.544184977569238+0.19246794697471i</v>
      </c>
      <c r="BD306" s="50">
        <f t="shared" si="297"/>
        <v>-4.7731951141337241</v>
      </c>
      <c r="BE306" s="62">
        <f t="shared" si="298"/>
        <v>160.52227492477624</v>
      </c>
      <c r="BF306" s="59" t="str">
        <f t="shared" si="299"/>
        <v>0.441189623856422+0.554523893335364i</v>
      </c>
      <c r="BG306" s="65">
        <f t="shared" si="300"/>
        <v>-2.9917082925324294</v>
      </c>
      <c r="BH306" s="62">
        <f t="shared" si="301"/>
        <v>51.49358346077743</v>
      </c>
      <c r="BI306" s="59" t="str">
        <f t="shared" ref="BI306:BI369" si="306">IMPRODUCT(AP306,BC306)</f>
        <v>0.71848329664601+1.83921009303349i</v>
      </c>
      <c r="BJ306" s="65">
        <f t="shared" si="302"/>
        <v>5.9094343464439048</v>
      </c>
      <c r="BK306" s="62">
        <f t="shared" ref="BK306:BK369" si="307">(180/PI())*IMARGUMENT(BI306)</f>
        <v>68.662009476856795</v>
      </c>
      <c r="BL306" s="50">
        <f t="shared" si="303"/>
        <v>-2.9917082925324294</v>
      </c>
      <c r="BM306" s="62">
        <f t="shared" si="304"/>
        <v>51.49358346077743</v>
      </c>
    </row>
    <row r="307" spans="14:65" x14ac:dyDescent="0.3">
      <c r="N307" s="11">
        <v>89</v>
      </c>
      <c r="O307" s="51">
        <f t="shared" si="305"/>
        <v>7762.4711662869322</v>
      </c>
      <c r="P307" s="49" t="str">
        <f t="shared" si="257"/>
        <v>27.9103246607183</v>
      </c>
      <c r="Q307" s="18" t="str">
        <f t="shared" si="258"/>
        <v>1+23.958378654942i</v>
      </c>
      <c r="R307" s="18">
        <f t="shared" si="270"/>
        <v>23.979239099136997</v>
      </c>
      <c r="S307" s="18">
        <f t="shared" si="271"/>
        <v>1.5290814885532735</v>
      </c>
      <c r="T307" s="18" t="str">
        <f t="shared" si="259"/>
        <v>1+0.0214601397029445i</v>
      </c>
      <c r="U307" s="18">
        <f t="shared" si="272"/>
        <v>1.0002302422922784</v>
      </c>
      <c r="V307" s="18">
        <f t="shared" si="273"/>
        <v>2.1456846212578921E-2</v>
      </c>
      <c r="W307" s="32" t="str">
        <f t="shared" si="260"/>
        <v>1-0.283004086991691i</v>
      </c>
      <c r="X307" s="18">
        <f t="shared" si="274"/>
        <v>1.0392744167225521</v>
      </c>
      <c r="Y307" s="18">
        <f t="shared" si="275"/>
        <v>-0.2757922137496478</v>
      </c>
      <c r="Z307" s="32" t="str">
        <f t="shared" si="261"/>
        <v>0.998755042177532+0.129414840409027i</v>
      </c>
      <c r="AA307" s="18">
        <f t="shared" si="276"/>
        <v>1.0071046793621494</v>
      </c>
      <c r="AB307" s="18">
        <f t="shared" si="277"/>
        <v>0.12885818264730192</v>
      </c>
      <c r="AC307" s="67" t="str">
        <f t="shared" si="278"/>
        <v>-0.402323433967289-1.13202516619779i</v>
      </c>
      <c r="AD307" s="65">
        <f t="shared" si="279"/>
        <v>1.5937018891980392</v>
      </c>
      <c r="AE307" s="62">
        <f t="shared" si="280"/>
        <v>-109.56528898788305</v>
      </c>
      <c r="AF307" s="50" t="str">
        <f t="shared" si="262"/>
        <v>79.1527877025864</v>
      </c>
      <c r="AG307" s="50" t="str">
        <f t="shared" si="263"/>
        <v>1+23.7712316709538i</v>
      </c>
      <c r="AH307" s="50">
        <f t="shared" si="281"/>
        <v>23.792256201423122</v>
      </c>
      <c r="AI307" s="50">
        <f t="shared" si="282"/>
        <v>1.5287534598747248</v>
      </c>
      <c r="AJ307" s="50" t="str">
        <f t="shared" si="264"/>
        <v>1+0.0214601397029445i</v>
      </c>
      <c r="AK307" s="50">
        <f t="shared" si="283"/>
        <v>1.0002302422922784</v>
      </c>
      <c r="AL307" s="50">
        <f t="shared" si="284"/>
        <v>2.1456846212578921E-2</v>
      </c>
      <c r="AM307" s="50" t="str">
        <f t="shared" si="265"/>
        <v>1-0.0990113450785541i</v>
      </c>
      <c r="AN307" s="50">
        <f t="shared" si="285"/>
        <v>1.0048896687966618</v>
      </c>
      <c r="AO307" s="50">
        <f t="shared" si="286"/>
        <v>-9.8689690717743944E-2</v>
      </c>
      <c r="AP307" s="59" t="str">
        <f t="shared" si="287"/>
        <v>-0.117646308051162-3.34179645125873i</v>
      </c>
      <c r="AQ307" s="50">
        <f t="shared" si="288"/>
        <v>10.484978998760235</v>
      </c>
      <c r="AR307" s="62">
        <f t="shared" si="289"/>
        <v>-92.016237196780068</v>
      </c>
      <c r="AS307" s="32" t="str">
        <f t="shared" si="266"/>
        <v>-0.0000166666666666667</v>
      </c>
      <c r="AT307" s="32" t="str">
        <f t="shared" si="267"/>
        <v>0.000165828352250025i</v>
      </c>
      <c r="AU307" s="32">
        <f t="shared" si="290"/>
        <v>1.6582835225002499E-4</v>
      </c>
      <c r="AV307" s="32">
        <f t="shared" si="291"/>
        <v>1.5707963267948966</v>
      </c>
      <c r="AW307" s="32" t="str">
        <f t="shared" si="268"/>
        <v>1+0.168525214726064i</v>
      </c>
      <c r="AX307" s="32">
        <f t="shared" si="292"/>
        <v>1.0141009555258618</v>
      </c>
      <c r="AY307" s="32">
        <f t="shared" si="293"/>
        <v>0.16695644763856407</v>
      </c>
      <c r="AZ307" s="32" t="str">
        <f t="shared" si="269"/>
        <v>1+5.72985730068617i</v>
      </c>
      <c r="BA307" s="32">
        <f t="shared" si="294"/>
        <v>5.8164649647553626</v>
      </c>
      <c r="BB307" s="32">
        <f t="shared" si="295"/>
        <v>1.3980121494671396</v>
      </c>
      <c r="BC307" s="59" t="str">
        <f t="shared" si="296"/>
        <v>-0.543508586284144+0.192100432624622i</v>
      </c>
      <c r="BD307" s="50">
        <f t="shared" si="297"/>
        <v>-4.7846422245596223</v>
      </c>
      <c r="BE307" s="62">
        <f t="shared" si="298"/>
        <v>160.53429606029295</v>
      </c>
      <c r="BF307" s="59" t="str">
        <f t="shared" si="299"/>
        <v>0.436128764993098+0.537978891998094i</v>
      </c>
      <c r="BG307" s="65">
        <f t="shared" si="300"/>
        <v>-3.1909403353615873</v>
      </c>
      <c r="BH307" s="62">
        <f t="shared" si="301"/>
        <v>50.969007072409887</v>
      </c>
      <c r="BI307" s="59" t="str">
        <f t="shared" si="306"/>
        <v>0.705902322600665+1.79369515819968i</v>
      </c>
      <c r="BJ307" s="65">
        <f t="shared" si="302"/>
        <v>5.7003367742005988</v>
      </c>
      <c r="BK307" s="62">
        <f t="shared" si="307"/>
        <v>68.518058863512806</v>
      </c>
      <c r="BL307" s="50">
        <f t="shared" si="303"/>
        <v>-3.1909403353615873</v>
      </c>
      <c r="BM307" s="62">
        <f t="shared" si="304"/>
        <v>50.969007072409887</v>
      </c>
    </row>
    <row r="308" spans="14:65" x14ac:dyDescent="0.3">
      <c r="N308" s="11">
        <v>90</v>
      </c>
      <c r="O308" s="51">
        <f t="shared" si="305"/>
        <v>7943.2823472428154</v>
      </c>
      <c r="P308" s="49" t="str">
        <f t="shared" si="257"/>
        <v>27.9103246607183</v>
      </c>
      <c r="Q308" s="18" t="str">
        <f t="shared" si="258"/>
        <v>1+24.5164409840109i</v>
      </c>
      <c r="R308" s="18">
        <f t="shared" si="270"/>
        <v>24.536826985624881</v>
      </c>
      <c r="S308" s="18">
        <f t="shared" si="271"/>
        <v>1.5300299702918292</v>
      </c>
      <c r="T308" s="18" t="str">
        <f t="shared" si="259"/>
        <v>1+0.021960010571389i</v>
      </c>
      <c r="U308" s="18">
        <f t="shared" si="272"/>
        <v>1.0002410919694789</v>
      </c>
      <c r="V308" s="18">
        <f t="shared" si="273"/>
        <v>2.1956481578819968E-2</v>
      </c>
      <c r="W308" s="32" t="str">
        <f t="shared" si="260"/>
        <v>1-0.28959609900541i</v>
      </c>
      <c r="X308" s="18">
        <f t="shared" si="274"/>
        <v>1.0410888053183318</v>
      </c>
      <c r="Y308" s="18">
        <f t="shared" si="275"/>
        <v>-0.28188481371658564</v>
      </c>
      <c r="Z308" s="32" t="str">
        <f t="shared" si="261"/>
        <v>0.998696369122975+0.132429299287689i</v>
      </c>
      <c r="AA308" s="18">
        <f t="shared" si="276"/>
        <v>1.0074383142452157</v>
      </c>
      <c r="AB308" s="18">
        <f t="shared" si="277"/>
        <v>0.13183306535441758</v>
      </c>
      <c r="AC308" s="67" t="str">
        <f t="shared" si="278"/>
        <v>-0.404266012604167-1.10407975396599i</v>
      </c>
      <c r="AD308" s="65">
        <f t="shared" si="279"/>
        <v>1.4064098595524641</v>
      </c>
      <c r="AE308" s="62">
        <f t="shared" si="280"/>
        <v>-110.1105344786976</v>
      </c>
      <c r="AF308" s="50" t="str">
        <f t="shared" si="262"/>
        <v>79.1527877025864</v>
      </c>
      <c r="AG308" s="50" t="str">
        <f t="shared" si="263"/>
        <v>1+24.3249347867693i</v>
      </c>
      <c r="AH308" s="50">
        <f t="shared" si="281"/>
        <v>24.34548114908759</v>
      </c>
      <c r="AI308" s="50">
        <f t="shared" si="282"/>
        <v>1.5297093831664945</v>
      </c>
      <c r="AJ308" s="50" t="str">
        <f t="shared" si="264"/>
        <v>1+0.021960010571389i</v>
      </c>
      <c r="AK308" s="50">
        <f t="shared" si="283"/>
        <v>1.0002410919694789</v>
      </c>
      <c r="AL308" s="50">
        <f t="shared" si="284"/>
        <v>2.1956481578819968E-2</v>
      </c>
      <c r="AM308" s="50" t="str">
        <f t="shared" si="265"/>
        <v>1-0.101317615575176i</v>
      </c>
      <c r="AN308" s="50">
        <f t="shared" si="285"/>
        <v>1.0051195248455973</v>
      </c>
      <c r="AO308" s="50">
        <f t="shared" si="286"/>
        <v>-0.100973051459724</v>
      </c>
      <c r="AP308" s="59" t="str">
        <f t="shared" si="287"/>
        <v>-0.123949471541175-3.26631284935687i</v>
      </c>
      <c r="AQ308" s="50">
        <f t="shared" si="288"/>
        <v>10.287405092149227</v>
      </c>
      <c r="AR308" s="62">
        <f t="shared" si="289"/>
        <v>-92.173207502776975</v>
      </c>
      <c r="AS308" s="32" t="str">
        <f t="shared" si="266"/>
        <v>-0.0000166666666666667</v>
      </c>
      <c r="AT308" s="32" t="str">
        <f t="shared" si="267"/>
        <v>0.000169690990778915i</v>
      </c>
      <c r="AU308" s="32">
        <f t="shared" si="290"/>
        <v>1.69690990778915E-4</v>
      </c>
      <c r="AV308" s="32">
        <f t="shared" si="291"/>
        <v>1.5707963267948966</v>
      </c>
      <c r="AW308" s="32" t="str">
        <f t="shared" si="268"/>
        <v>1+0.17245067125179i</v>
      </c>
      <c r="AX308" s="32">
        <f t="shared" si="292"/>
        <v>1.0147606781971761</v>
      </c>
      <c r="AY308" s="32">
        <f t="shared" si="293"/>
        <v>0.17077102479079836</v>
      </c>
      <c r="AZ308" s="32" t="str">
        <f t="shared" si="269"/>
        <v>1+5.86332282256086i</v>
      </c>
      <c r="BA308" s="32">
        <f t="shared" si="294"/>
        <v>5.9479874345498613</v>
      </c>
      <c r="BB308" s="32">
        <f t="shared" si="295"/>
        <v>1.4018699610025214</v>
      </c>
      <c r="BC308" s="59" t="str">
        <f t="shared" si="296"/>
        <v>-0.542802117482449+0.191824335728037i</v>
      </c>
      <c r="BD308" s="50">
        <f t="shared" si="297"/>
        <v>-4.7960724688575205</v>
      </c>
      <c r="BE308" s="62">
        <f t="shared" si="298"/>
        <v>160.53677320797703</v>
      </c>
      <c r="BF308" s="59" t="str">
        <f t="shared" si="299"/>
        <v>0.431225813063029+0.521748768997024i</v>
      </c>
      <c r="BG308" s="65">
        <f t="shared" si="300"/>
        <v>-3.3896626093050553</v>
      </c>
      <c r="BH308" s="62">
        <f t="shared" si="301"/>
        <v>50.426238729279412</v>
      </c>
      <c r="BI308" s="59" t="str">
        <f t="shared" si="306"/>
        <v>0.693838328221214+1.74918500594881i</v>
      </c>
      <c r="BJ308" s="65">
        <f t="shared" si="302"/>
        <v>5.4913326232916919</v>
      </c>
      <c r="BK308" s="62">
        <f t="shared" si="307"/>
        <v>68.363565705200017</v>
      </c>
      <c r="BL308" s="50">
        <f t="shared" si="303"/>
        <v>-3.3896626093050553</v>
      </c>
      <c r="BM308" s="62">
        <f t="shared" si="304"/>
        <v>50.426238729279412</v>
      </c>
    </row>
    <row r="309" spans="14:65" x14ac:dyDescent="0.3">
      <c r="N309" s="11">
        <v>91</v>
      </c>
      <c r="O309" s="51">
        <f t="shared" si="305"/>
        <v>8128.3051616410066</v>
      </c>
      <c r="P309" s="49" t="str">
        <f t="shared" si="257"/>
        <v>27.9103246607183</v>
      </c>
      <c r="Q309" s="18" t="str">
        <f t="shared" si="258"/>
        <v>1+25.0875022546031i</v>
      </c>
      <c r="R309" s="18">
        <f t="shared" si="270"/>
        <v>25.107424586657938</v>
      </c>
      <c r="S309" s="18">
        <f t="shared" si="271"/>
        <v>1.5309569328701913</v>
      </c>
      <c r="T309" s="18" t="str">
        <f t="shared" si="259"/>
        <v>1+0.0224715249281137i</v>
      </c>
      <c r="U309" s="18">
        <f t="shared" si="272"/>
        <v>1.0002524528500767</v>
      </c>
      <c r="V309" s="18">
        <f t="shared" si="273"/>
        <v>2.246774359599105E-2</v>
      </c>
      <c r="W309" s="32" t="str">
        <f t="shared" si="260"/>
        <v>1-0.296341658704081i</v>
      </c>
      <c r="X309" s="18">
        <f t="shared" si="274"/>
        <v>1.0429853204544568</v>
      </c>
      <c r="Y309" s="18">
        <f t="shared" si="275"/>
        <v>-0.28809714791652641</v>
      </c>
      <c r="Z309" s="32" t="str">
        <f t="shared" si="261"/>
        <v>0.998634930892546+0.135513973933743i</v>
      </c>
      <c r="AA309" s="18">
        <f t="shared" si="276"/>
        <v>1.0077875581341909</v>
      </c>
      <c r="AB309" s="18">
        <f t="shared" si="277"/>
        <v>0.13487536186255072</v>
      </c>
      <c r="AC309" s="67" t="str">
        <f t="shared" si="278"/>
        <v>-0.406096608680768-1.0767147076746i</v>
      </c>
      <c r="AD309" s="65">
        <f t="shared" si="279"/>
        <v>1.2196310017216043</v>
      </c>
      <c r="AE309" s="62">
        <f t="shared" si="280"/>
        <v>-110.66460364691987</v>
      </c>
      <c r="AF309" s="50" t="str">
        <f t="shared" si="262"/>
        <v>79.1527877025864</v>
      </c>
      <c r="AG309" s="50" t="str">
        <f t="shared" si="263"/>
        <v>1+24.8915353049875i</v>
      </c>
      <c r="AH309" s="50">
        <f t="shared" si="281"/>
        <v>24.911614356348711</v>
      </c>
      <c r="AI309" s="50">
        <f t="shared" si="282"/>
        <v>1.5306436195920716</v>
      </c>
      <c r="AJ309" s="50" t="str">
        <f t="shared" si="264"/>
        <v>1+0.0224715249281137i</v>
      </c>
      <c r="AK309" s="50">
        <f t="shared" si="283"/>
        <v>1.0002524528500767</v>
      </c>
      <c r="AL309" s="50">
        <f t="shared" si="284"/>
        <v>2.246774359599105E-2</v>
      </c>
      <c r="AM309" s="50" t="str">
        <f t="shared" si="265"/>
        <v>1-0.103677606012673i</v>
      </c>
      <c r="AN309" s="50">
        <f t="shared" si="285"/>
        <v>1.0053601573508466</v>
      </c>
      <c r="AO309" s="50">
        <f t="shared" si="286"/>
        <v>-0.10330850514195875</v>
      </c>
      <c r="AP309" s="59" t="str">
        <f t="shared" si="287"/>
        <v>-0.129969881744689-3.19253779621216i</v>
      </c>
      <c r="AQ309" s="50">
        <f t="shared" si="288"/>
        <v>10.089912757899587</v>
      </c>
      <c r="AR309" s="62">
        <f t="shared" si="289"/>
        <v>-92.331253790461005</v>
      </c>
      <c r="AS309" s="32" t="str">
        <f t="shared" si="266"/>
        <v>-0.0000166666666666667</v>
      </c>
      <c r="AT309" s="32" t="str">
        <f t="shared" si="267"/>
        <v>0.000173643601717242i</v>
      </c>
      <c r="AU309" s="32">
        <f t="shared" si="290"/>
        <v>1.73643601717242E-4</v>
      </c>
      <c r="AV309" s="32">
        <f t="shared" si="291"/>
        <v>1.5707963267948966</v>
      </c>
      <c r="AW309" s="32" t="str">
        <f t="shared" si="268"/>
        <v>1+0.176467563406069i</v>
      </c>
      <c r="AX309" s="32">
        <f t="shared" si="292"/>
        <v>1.0154510332529456</v>
      </c>
      <c r="AY309" s="32">
        <f t="shared" si="293"/>
        <v>0.17466926553139878</v>
      </c>
      <c r="AZ309" s="32" t="str">
        <f t="shared" si="269"/>
        <v>1+5.99989715580636i</v>
      </c>
      <c r="BA309" s="32">
        <f t="shared" si="294"/>
        <v>6.08266108543401</v>
      </c>
      <c r="BB309" s="32">
        <f t="shared" si="295"/>
        <v>1.4056448697611117</v>
      </c>
      <c r="BC309" s="59" t="str">
        <f t="shared" si="296"/>
        <v>-0.542064319607619+0.191638807046594i</v>
      </c>
      <c r="BD309" s="50">
        <f t="shared" si="297"/>
        <v>-4.8075080513506885</v>
      </c>
      <c r="BE309" s="62">
        <f t="shared" si="298"/>
        <v>160.52970680592892</v>
      </c>
      <c r="BF309" s="59" t="str">
        <f t="shared" si="299"/>
        <v>0.426470803987785+0.505824755793899i</v>
      </c>
      <c r="BG309" s="65">
        <f t="shared" si="300"/>
        <v>-3.5878770496290779</v>
      </c>
      <c r="BH309" s="62">
        <f t="shared" si="301"/>
        <v>49.865103159009045</v>
      </c>
      <c r="BI309" s="59" t="str">
        <f t="shared" si="306"/>
        <v>0.682266170234678+1.70565355523581i</v>
      </c>
      <c r="BJ309" s="65">
        <f t="shared" si="302"/>
        <v>5.2824047065488848</v>
      </c>
      <c r="BK309" s="62">
        <f t="shared" si="307"/>
        <v>68.198453015467905</v>
      </c>
      <c r="BL309" s="50">
        <f t="shared" si="303"/>
        <v>-3.5878770496290779</v>
      </c>
      <c r="BM309" s="62">
        <f t="shared" si="304"/>
        <v>49.865103159009045</v>
      </c>
    </row>
    <row r="310" spans="14:65" x14ac:dyDescent="0.3">
      <c r="N310" s="11">
        <v>92</v>
      </c>
      <c r="O310" s="51">
        <f t="shared" si="305"/>
        <v>8317.6377110267094</v>
      </c>
      <c r="P310" s="49" t="str">
        <f t="shared" si="257"/>
        <v>27.9103246607183</v>
      </c>
      <c r="Q310" s="18" t="str">
        <f t="shared" si="258"/>
        <v>1+25.6718652509629i</v>
      </c>
      <c r="R310" s="18">
        <f t="shared" si="270"/>
        <v>25.69133444302955</v>
      </c>
      <c r="S310" s="18">
        <f t="shared" si="271"/>
        <v>1.5318628614005425</v>
      </c>
      <c r="T310" s="18" t="str">
        <f t="shared" si="259"/>
        <v>1+0.022994953984801i</v>
      </c>
      <c r="U310" s="18">
        <f t="shared" si="272"/>
        <v>1.0002643490141809</v>
      </c>
      <c r="V310" s="18">
        <f t="shared" si="273"/>
        <v>2.2990902272262463E-2</v>
      </c>
      <c r="W310" s="32" t="str">
        <f t="shared" si="260"/>
        <v>1-0.30324434267274i</v>
      </c>
      <c r="X310" s="18">
        <f t="shared" si="274"/>
        <v>1.0449675264633931</v>
      </c>
      <c r="Y310" s="18">
        <f t="shared" si="275"/>
        <v>-0.29443059145406708</v>
      </c>
      <c r="Z310" s="32" t="str">
        <f t="shared" si="261"/>
        <v>0.998570597167523+0.138670499882516i</v>
      </c>
      <c r="AA310" s="18">
        <f t="shared" si="276"/>
        <v>1.0081531357215383</v>
      </c>
      <c r="AB310" s="18">
        <f t="shared" si="277"/>
        <v>0.13798651074514112</v>
      </c>
      <c r="AC310" s="67" t="str">
        <f t="shared" si="278"/>
        <v>-0.407819115119536-1.04991627346122i</v>
      </c>
      <c r="AD310" s="65">
        <f t="shared" si="279"/>
        <v>1.0333860999161146</v>
      </c>
      <c r="AE310" s="62">
        <f t="shared" si="280"/>
        <v>-111.22767002897834</v>
      </c>
      <c r="AF310" s="50" t="str">
        <f t="shared" si="262"/>
        <v>79.1527877025864</v>
      </c>
      <c r="AG310" s="50" t="str">
        <f t="shared" si="263"/>
        <v>1+25.4713336447026i</v>
      </c>
      <c r="AH310" s="50">
        <f t="shared" si="281"/>
        <v>25.490955996975842</v>
      </c>
      <c r="AI310" s="50">
        <f t="shared" si="282"/>
        <v>1.5315566579690596</v>
      </c>
      <c r="AJ310" s="50" t="str">
        <f t="shared" si="264"/>
        <v>1+0.022994953984801i</v>
      </c>
      <c r="AK310" s="50">
        <f t="shared" si="283"/>
        <v>1.0002643490141809</v>
      </c>
      <c r="AL310" s="50">
        <f t="shared" si="284"/>
        <v>2.2990902272262463E-2</v>
      </c>
      <c r="AM310" s="50" t="str">
        <f t="shared" si="265"/>
        <v>1-0.106092567689213i</v>
      </c>
      <c r="AN310" s="50">
        <f t="shared" si="285"/>
        <v>1.0056120688013297</v>
      </c>
      <c r="AO310" s="50">
        <f t="shared" si="286"/>
        <v>-0.10569718809019921</v>
      </c>
      <c r="AP310" s="59" t="str">
        <f t="shared" si="287"/>
        <v>-0.135720182510077-3.12043372510275i</v>
      </c>
      <c r="AQ310" s="50">
        <f t="shared" si="288"/>
        <v>9.8925071746248339</v>
      </c>
      <c r="AR310" s="62">
        <f t="shared" si="289"/>
        <v>-92.490453703358938</v>
      </c>
      <c r="AS310" s="32" t="str">
        <f t="shared" si="266"/>
        <v>-0.0000166666666666667</v>
      </c>
      <c r="AT310" s="32" t="str">
        <f t="shared" si="267"/>
        <v>0.000177688280791644i</v>
      </c>
      <c r="AU310" s="32">
        <f t="shared" si="290"/>
        <v>1.7768828079164399E-4</v>
      </c>
      <c r="AV310" s="32">
        <f t="shared" si="291"/>
        <v>1.5707963267948966</v>
      </c>
      <c r="AW310" s="32" t="str">
        <f t="shared" si="268"/>
        <v>1+0.18057802099829i</v>
      </c>
      <c r="AX310" s="32">
        <f t="shared" si="292"/>
        <v>1.0161734210594464</v>
      </c>
      <c r="AY310" s="32">
        <f t="shared" si="293"/>
        <v>0.17865276261289148</v>
      </c>
      <c r="AZ310" s="32" t="str">
        <f t="shared" si="269"/>
        <v>1+6.13965271394186i</v>
      </c>
      <c r="BA310" s="32">
        <f t="shared" si="294"/>
        <v>6.2205574868988744</v>
      </c>
      <c r="BB310" s="32">
        <f t="shared" si="295"/>
        <v>1.4093384466952876</v>
      </c>
      <c r="BC310" s="59" t="str">
        <f t="shared" si="296"/>
        <v>-0.541293897037473+0.191543000153i</v>
      </c>
      <c r="BD310" s="50">
        <f t="shared" si="297"/>
        <v>-4.8189711839101923</v>
      </c>
      <c r="BE310" s="62">
        <f t="shared" si="298"/>
        <v>160.51309560509191</v>
      </c>
      <c r="BF310" s="59" t="str">
        <f t="shared" si="299"/>
        <v>0.421854111037647+0.490198374395147i</v>
      </c>
      <c r="BG310" s="65">
        <f t="shared" si="300"/>
        <v>-3.7855850839940812</v>
      </c>
      <c r="BH310" s="62">
        <f t="shared" si="301"/>
        <v>49.285425576113575</v>
      </c>
      <c r="BI310" s="59" t="str">
        <f t="shared" si="306"/>
        <v>0.671161743982299+1.66307548056873i</v>
      </c>
      <c r="BJ310" s="65">
        <f t="shared" si="302"/>
        <v>5.0735359907146247</v>
      </c>
      <c r="BK310" s="62">
        <f t="shared" si="307"/>
        <v>68.022641901732953</v>
      </c>
      <c r="BL310" s="50">
        <f t="shared" si="303"/>
        <v>-3.7855850839940812</v>
      </c>
      <c r="BM310" s="62">
        <f t="shared" si="304"/>
        <v>49.285425576113575</v>
      </c>
    </row>
    <row r="311" spans="14:65" x14ac:dyDescent="0.3">
      <c r="N311" s="11">
        <v>93</v>
      </c>
      <c r="O311" s="51">
        <f t="shared" si="305"/>
        <v>8511.3803820237772</v>
      </c>
      <c r="P311" s="49" t="str">
        <f t="shared" si="257"/>
        <v>27.9103246607183</v>
      </c>
      <c r="Q311" s="18" t="str">
        <f t="shared" si="258"/>
        <v>1+26.2698398100862i</v>
      </c>
      <c r="R311" s="18">
        <f t="shared" si="270"/>
        <v>26.288866153708298</v>
      </c>
      <c r="S311" s="18">
        <f t="shared" si="271"/>
        <v>1.5327482302667776</v>
      </c>
      <c r="T311" s="18" t="str">
        <f t="shared" si="259"/>
        <v>1+0.0235305752704653i</v>
      </c>
      <c r="U311" s="18">
        <f t="shared" si="272"/>
        <v>1.0002768056755884</v>
      </c>
      <c r="V311" s="18">
        <f t="shared" si="273"/>
        <v>2.3526233847145504E-2</v>
      </c>
      <c r="W311" s="32" t="str">
        <f t="shared" si="260"/>
        <v>1-0.310307810805799i</v>
      </c>
      <c r="X311" s="18">
        <f t="shared" si="274"/>
        <v>1.0470391288997214</v>
      </c>
      <c r="Y311" s="18">
        <f t="shared" si="275"/>
        <v>-0.30088646924271489</v>
      </c>
      <c r="Z311" s="32" t="str">
        <f t="shared" si="261"/>
        <v>0.998503231487448+0.141900550765848i</v>
      </c>
      <c r="AA311" s="18">
        <f t="shared" si="276"/>
        <v>1.0085358048173239</v>
      </c>
      <c r="AB311" s="18">
        <f t="shared" si="277"/>
        <v>0.1411679749968465</v>
      </c>
      <c r="AC311" s="67" t="str">
        <f t="shared" si="278"/>
        <v>-0.409437204419459-1.02367097651153i</v>
      </c>
      <c r="AD311" s="65">
        <f t="shared" si="279"/>
        <v>0.84769645162741325</v>
      </c>
      <c r="AE311" s="62">
        <f t="shared" si="280"/>
        <v>-111.79990471308109</v>
      </c>
      <c r="AF311" s="50" t="str">
        <f t="shared" si="262"/>
        <v>79.1527877025864</v>
      </c>
      <c r="AG311" s="50" t="str">
        <f t="shared" si="263"/>
        <v>1+26.0646372226692i</v>
      </c>
      <c r="AH311" s="50">
        <f t="shared" si="281"/>
        <v>26.083813247862228</v>
      </c>
      <c r="AI311" s="50">
        <f t="shared" si="282"/>
        <v>1.5324489763098639</v>
      </c>
      <c r="AJ311" s="50" t="str">
        <f t="shared" si="264"/>
        <v>1+0.0235305752704653i</v>
      </c>
      <c r="AK311" s="50">
        <f t="shared" si="283"/>
        <v>1.0002768056755884</v>
      </c>
      <c r="AL311" s="50">
        <f t="shared" si="284"/>
        <v>2.3526233847145504E-2</v>
      </c>
      <c r="AM311" s="50" t="str">
        <f t="shared" si="265"/>
        <v>1-0.108563781049444i</v>
      </c>
      <c r="AN311" s="50">
        <f t="shared" si="285"/>
        <v>1.0058757848540503</v>
      </c>
      <c r="AO311" s="50">
        <f t="shared" si="286"/>
        <v>-0.10814025772134005</v>
      </c>
      <c r="AP311" s="59" t="str">
        <f t="shared" si="287"/>
        <v>-0.141212455821681-3.04996385237951i</v>
      </c>
      <c r="AQ311" s="50">
        <f t="shared" si="288"/>
        <v>9.6951936922285835</v>
      </c>
      <c r="AR311" s="62">
        <f t="shared" si="289"/>
        <v>-92.650885117309187</v>
      </c>
      <c r="AS311" s="32" t="str">
        <f t="shared" si="266"/>
        <v>-0.0000166666666666667</v>
      </c>
      <c r="AT311" s="32" t="str">
        <f t="shared" si="267"/>
        <v>0.000181827172544504i</v>
      </c>
      <c r="AU311" s="32">
        <f t="shared" si="290"/>
        <v>1.8182717254450401E-4</v>
      </c>
      <c r="AV311" s="32">
        <f t="shared" si="291"/>
        <v>1.5707963267948966</v>
      </c>
      <c r="AW311" s="32" t="str">
        <f t="shared" si="268"/>
        <v>1+0.184784223447477i</v>
      </c>
      <c r="AX311" s="32">
        <f t="shared" si="292"/>
        <v>1.016929303951404</v>
      </c>
      <c r="AY311" s="32">
        <f t="shared" si="293"/>
        <v>0.18272312219880518</v>
      </c>
      <c r="AZ311" s="32" t="str">
        <f t="shared" si="269"/>
        <v>1+6.28266359721423i</v>
      </c>
      <c r="BA311" s="32">
        <f t="shared" si="294"/>
        <v>6.3617499067285603</v>
      </c>
      <c r="BB311" s="32">
        <f t="shared" si="295"/>
        <v>1.4129522468670619</v>
      </c>
      <c r="BC311" s="59" t="str">
        <f t="shared" si="296"/>
        <v>-0.540489509293991+0.191536068322677i</v>
      </c>
      <c r="BD311" s="50">
        <f t="shared" si="297"/>
        <v>-4.8304841173352333</v>
      </c>
      <c r="BE311" s="62">
        <f t="shared" si="298"/>
        <v>160.48693667756467</v>
      </c>
      <c r="BF311" s="59" t="str">
        <f t="shared" si="299"/>
        <v>0.417366427800431+0.474861431413686i</v>
      </c>
      <c r="BG311" s="65">
        <f t="shared" si="300"/>
        <v>-3.9827876657078196</v>
      </c>
      <c r="BH311" s="62">
        <f t="shared" si="301"/>
        <v>48.687031964483566</v>
      </c>
      <c r="BI311" s="59" t="str">
        <f t="shared" si="306"/>
        <v>0.660501935764317+1.62142618735074i</v>
      </c>
      <c r="BJ311" s="65">
        <f t="shared" si="302"/>
        <v>4.8647095748933644</v>
      </c>
      <c r="BK311" s="62">
        <f t="shared" si="307"/>
        <v>67.836051560255513</v>
      </c>
      <c r="BL311" s="50">
        <f t="shared" si="303"/>
        <v>-3.9827876657078196</v>
      </c>
      <c r="BM311" s="62">
        <f t="shared" si="304"/>
        <v>48.687031964483566</v>
      </c>
    </row>
    <row r="312" spans="14:65" x14ac:dyDescent="0.3">
      <c r="N312" s="11">
        <v>94</v>
      </c>
      <c r="O312" s="51">
        <f t="shared" si="305"/>
        <v>8709.6358995608189</v>
      </c>
      <c r="P312" s="49" t="str">
        <f t="shared" si="257"/>
        <v>27.9103246607183</v>
      </c>
      <c r="Q312" s="18" t="str">
        <f t="shared" si="258"/>
        <v>1+26.8817429859992i</v>
      </c>
      <c r="R312" s="18">
        <f t="shared" si="270"/>
        <v>26.900336540001078</v>
      </c>
      <c r="S312" s="18">
        <f t="shared" si="271"/>
        <v>1.5336135033478508</v>
      </c>
      <c r="T312" s="18" t="str">
        <f t="shared" si="259"/>
        <v>1+0.024078672778602i</v>
      </c>
      <c r="U312" s="18">
        <f t="shared" si="272"/>
        <v>1.0002898492351</v>
      </c>
      <c r="V312" s="18">
        <f t="shared" si="273"/>
        <v>2.4074020932501602E-2</v>
      </c>
      <c r="W312" s="32" t="str">
        <f t="shared" si="260"/>
        <v>1-0.317535808247556i</v>
      </c>
      <c r="X312" s="18">
        <f t="shared" si="274"/>
        <v>1.0492039789857017</v>
      </c>
      <c r="Y312" s="18">
        <f t="shared" si="275"/>
        <v>-0.3074660509234784</v>
      </c>
      <c r="Z312" s="32" t="str">
        <f t="shared" si="261"/>
        <v>0.998432690960684+0.145205839199472i</v>
      </c>
      <c r="AA312" s="18">
        <f t="shared" si="276"/>
        <v>1.0089363578128283</v>
      </c>
      <c r="AB312" s="18">
        <f t="shared" si="277"/>
        <v>0.14442124199175621</v>
      </c>
      <c r="AC312" s="67" t="str">
        <f t="shared" si="278"/>
        <v>-0.410954336569978-0.9979656172358i</v>
      </c>
      <c r="AD312" s="65">
        <f t="shared" si="279"/>
        <v>0.66258386360863575</v>
      </c>
      <c r="AE312" s="62">
        <f t="shared" si="280"/>
        <v>-112.3814760503972</v>
      </c>
      <c r="AF312" s="50" t="str">
        <f t="shared" si="262"/>
        <v>79.1527877025864</v>
      </c>
      <c r="AG312" s="50" t="str">
        <f t="shared" si="263"/>
        <v>1+26.6717606162975i</v>
      </c>
      <c r="AH312" s="50">
        <f t="shared" si="281"/>
        <v>26.690500451903826</v>
      </c>
      <c r="AI312" s="50">
        <f t="shared" si="282"/>
        <v>1.533321042046297</v>
      </c>
      <c r="AJ312" s="50" t="str">
        <f t="shared" si="264"/>
        <v>1+0.024078672778602i</v>
      </c>
      <c r="AK312" s="50">
        <f t="shared" si="283"/>
        <v>1.0002898492351</v>
      </c>
      <c r="AL312" s="50">
        <f t="shared" si="284"/>
        <v>2.4074020932501602E-2</v>
      </c>
      <c r="AM312" s="50" t="str">
        <f t="shared" si="265"/>
        <v>1-0.111092556363398i</v>
      </c>
      <c r="AN312" s="50">
        <f t="shared" si="285"/>
        <v>1.0061518553773852</v>
      </c>
      <c r="AO312" s="50">
        <f t="shared" si="286"/>
        <v>-0.11063889266626978</v>
      </c>
      <c r="AP312" s="59" t="str">
        <f t="shared" si="287"/>
        <v>-0.146458246457299-2.98109216477314i</v>
      </c>
      <c r="AQ312" s="50">
        <f t="shared" si="288"/>
        <v>9.4979778419982619</v>
      </c>
      <c r="AR312" s="62">
        <f t="shared" si="289"/>
        <v>-92.812626152290491</v>
      </c>
      <c r="AS312" s="32" t="str">
        <f t="shared" si="266"/>
        <v>-0.0000166666666666667</v>
      </c>
      <c r="AT312" s="32" t="str">
        <f t="shared" si="267"/>
        <v>0.000186062471471015i</v>
      </c>
      <c r="AU312" s="32">
        <f t="shared" si="290"/>
        <v>1.86062471471015E-4</v>
      </c>
      <c r="AV312" s="32">
        <f t="shared" si="291"/>
        <v>1.5707963267948966</v>
      </c>
      <c r="AW312" s="32" t="str">
        <f t="shared" si="268"/>
        <v>1+0.189088400937845i</v>
      </c>
      <c r="AX312" s="32">
        <f t="shared" si="292"/>
        <v>1.0177202087849251</v>
      </c>
      <c r="AY312" s="32">
        <f t="shared" si="293"/>
        <v>0.18688196268634555</v>
      </c>
      <c r="AZ312" s="32" t="str">
        <f t="shared" si="269"/>
        <v>1+6.42900563188672i</v>
      </c>
      <c r="BA312" s="32">
        <f t="shared" si="294"/>
        <v>6.5063133504951303</v>
      </c>
      <c r="BB312" s="32">
        <f t="shared" si="295"/>
        <v>1.4164878086120058</v>
      </c>
      <c r="BC312" s="59" t="str">
        <f t="shared" si="296"/>
        <v>-0.539649770319104+0.191617161297924i</v>
      </c>
      <c r="BD312" s="50">
        <f t="shared" si="297"/>
        <v>-4.8420691726853518</v>
      </c>
      <c r="BE312" s="62">
        <f t="shared" si="298"/>
        <v>160.45122543615366</v>
      </c>
      <c r="BF312" s="59" t="str">
        <f t="shared" si="299"/>
        <v>0.412998751989283+0.459806012731051i</v>
      </c>
      <c r="BG312" s="65">
        <f t="shared" si="300"/>
        <v>-4.1794853090767194</v>
      </c>
      <c r="BH312" s="62">
        <f t="shared" si="301"/>
        <v>48.069749385756417</v>
      </c>
      <c r="BI312" s="59" t="str">
        <f t="shared" si="306"/>
        <v>0.650264577243332+1.58068178858509i</v>
      </c>
      <c r="BJ312" s="65">
        <f t="shared" si="302"/>
        <v>4.6559086693129288</v>
      </c>
      <c r="BK312" s="62">
        <f t="shared" si="307"/>
        <v>67.638599283863215</v>
      </c>
      <c r="BL312" s="50">
        <f t="shared" si="303"/>
        <v>-4.1794853090767194</v>
      </c>
      <c r="BM312" s="62">
        <f t="shared" si="304"/>
        <v>48.069749385756417</v>
      </c>
    </row>
    <row r="313" spans="14:65" x14ac:dyDescent="0.3">
      <c r="N313" s="11">
        <v>95</v>
      </c>
      <c r="O313" s="51">
        <f t="shared" si="305"/>
        <v>8912.5093813374679</v>
      </c>
      <c r="P313" s="49" t="str">
        <f t="shared" si="257"/>
        <v>27.9103246607183</v>
      </c>
      <c r="Q313" s="18" t="str">
        <f t="shared" si="258"/>
        <v>1+27.5078992178653i</v>
      </c>
      <c r="R313" s="18">
        <f t="shared" si="270"/>
        <v>27.526069813546478</v>
      </c>
      <c r="S313" s="18">
        <f t="shared" si="271"/>
        <v>1.5344591342374223</v>
      </c>
      <c r="T313" s="18" t="str">
        <f t="shared" si="259"/>
        <v>1+0.0246395371177647i</v>
      </c>
      <c r="U313" s="18">
        <f t="shared" si="272"/>
        <v>1.0003035073363373</v>
      </c>
      <c r="V313" s="18">
        <f t="shared" si="273"/>
        <v>2.4634552656541808E-2</v>
      </c>
      <c r="W313" s="32" t="str">
        <f t="shared" si="260"/>
        <v>1-0.324932167377929i</v>
      </c>
      <c r="X313" s="18">
        <f t="shared" si="274"/>
        <v>1.0514660781009146</v>
      </c>
      <c r="Y313" s="18">
        <f t="shared" si="275"/>
        <v>-0.31417054557427754</v>
      </c>
      <c r="Z313" s="32" t="str">
        <f t="shared" si="261"/>
        <v>0.998358825961313+0.148588117691065i</v>
      </c>
      <c r="AA313" s="18">
        <f t="shared" si="276"/>
        <v>1.0093556232041436</v>
      </c>
      <c r="AB313" s="18">
        <f t="shared" si="277"/>
        <v>0.14774782340156778</v>
      </c>
      <c r="AC313" s="67" t="str">
        <f t="shared" si="278"/>
        <v>-0.412373766584476-0.972787267491409i</v>
      </c>
      <c r="AD313" s="65">
        <f t="shared" si="279"/>
        <v>0.47807064553121148</v>
      </c>
      <c r="AE313" s="62">
        <f t="shared" si="280"/>
        <v>-112.97254935157255</v>
      </c>
      <c r="AF313" s="50" t="str">
        <f t="shared" si="262"/>
        <v>79.1527877025864</v>
      </c>
      <c r="AG313" s="50" t="str">
        <f t="shared" si="263"/>
        <v>1+27.293025730447i</v>
      </c>
      <c r="AH313" s="50">
        <f t="shared" si="281"/>
        <v>27.311339284678844</v>
      </c>
      <c r="AI313" s="50">
        <f t="shared" si="282"/>
        <v>1.5341733122504895</v>
      </c>
      <c r="AJ313" s="50" t="str">
        <f t="shared" si="264"/>
        <v>1+0.0246395371177647i</v>
      </c>
      <c r="AK313" s="50">
        <f t="shared" si="283"/>
        <v>1.0003035073363373</v>
      </c>
      <c r="AL313" s="50">
        <f t="shared" si="284"/>
        <v>2.4634552656541808E-2</v>
      </c>
      <c r="AM313" s="50" t="str">
        <f t="shared" si="265"/>
        <v>1-0.113680234421219i</v>
      </c>
      <c r="AN313" s="50">
        <f t="shared" si="285"/>
        <v>1.0064408555389945</v>
      </c>
      <c r="AO313" s="50">
        <f t="shared" si="286"/>
        <v>-0.11319429287116013</v>
      </c>
      <c r="AP313" s="59" t="str">
        <f t="shared" si="287"/>
        <v>-0.15146858559099-2.91378340666126i</v>
      </c>
      <c r="AQ313" s="50">
        <f t="shared" si="288"/>
        <v>9.300865346970939</v>
      </c>
      <c r="AR313" s="62">
        <f t="shared" si="289"/>
        <v>-92.975755182631858</v>
      </c>
      <c r="AS313" s="32" t="str">
        <f t="shared" si="266"/>
        <v>-0.0000166666666666667</v>
      </c>
      <c r="AT313" s="32" t="str">
        <f t="shared" si="267"/>
        <v>0.000190396423182727i</v>
      </c>
      <c r="AU313" s="32">
        <f t="shared" si="290"/>
        <v>1.9039642318272699E-4</v>
      </c>
      <c r="AV313" s="32">
        <f t="shared" si="291"/>
        <v>1.5707963267948966</v>
      </c>
      <c r="AW313" s="32" t="str">
        <f t="shared" si="268"/>
        <v>1+0.19349283560127i</v>
      </c>
      <c r="AX313" s="32">
        <f t="shared" si="292"/>
        <v>1.0185477295782559</v>
      </c>
      <c r="AY313" s="32">
        <f t="shared" si="293"/>
        <v>0.19113091341807906</v>
      </c>
      <c r="AZ313" s="32" t="str">
        <f t="shared" si="269"/>
        <v>1+6.57875641044318i</v>
      </c>
      <c r="BA313" s="32">
        <f t="shared" si="294"/>
        <v>6.6543246019372422</v>
      </c>
      <c r="BB313" s="32">
        <f t="shared" si="295"/>
        <v>1.4199466527890083</v>
      </c>
      <c r="BC313" s="59" t="str">
        <f t="shared" si="296"/>
        <v>-0.538773247826831+0.191785421920319i</v>
      </c>
      <c r="BD313" s="50">
        <f t="shared" si="297"/>
        <v>-4.8537487725238702</v>
      </c>
      <c r="BE313" s="62">
        <f t="shared" si="298"/>
        <v>160.40595566520193</v>
      </c>
      <c r="BF313" s="59" t="str">
        <f t="shared" si="299"/>
        <v>0.408742370075856+0.44502447873766i</v>
      </c>
      <c r="BG313" s="65">
        <f t="shared" si="300"/>
        <v>-4.3756781269926526</v>
      </c>
      <c r="BH313" s="62">
        <f t="shared" si="301"/>
        <v>47.433406313629384</v>
      </c>
      <c r="BI313" s="59" t="str">
        <f t="shared" si="306"/>
        <v>0.640428401833548+1.54081908287557i</v>
      </c>
      <c r="BJ313" s="65">
        <f t="shared" si="302"/>
        <v>4.4471165744470564</v>
      </c>
      <c r="BK313" s="62">
        <f t="shared" si="307"/>
        <v>67.430200482570029</v>
      </c>
      <c r="BL313" s="50">
        <f t="shared" si="303"/>
        <v>-4.3756781269926526</v>
      </c>
      <c r="BM313" s="62">
        <f t="shared" si="304"/>
        <v>47.433406313629384</v>
      </c>
    </row>
    <row r="314" spans="14:65" x14ac:dyDescent="0.3">
      <c r="N314" s="11">
        <v>96</v>
      </c>
      <c r="O314" s="51">
        <f t="shared" si="305"/>
        <v>9120.1083935591087</v>
      </c>
      <c r="P314" s="49" t="str">
        <f t="shared" si="257"/>
        <v>27.9103246607183</v>
      </c>
      <c r="Q314" s="18" t="str">
        <f t="shared" si="258"/>
        <v>1+28.1486405020067i</v>
      </c>
      <c r="R314" s="18">
        <f t="shared" si="270"/>
        <v>28.166397748224959</v>
      </c>
      <c r="S314" s="18">
        <f t="shared" si="271"/>
        <v>1.5352855664597931</v>
      </c>
      <c r="T314" s="18" t="str">
        <f t="shared" si="259"/>
        <v>1+0.0252134656656502i</v>
      </c>
      <c r="U314" s="18">
        <f t="shared" si="272"/>
        <v>1.0003178089241804</v>
      </c>
      <c r="V314" s="18">
        <f t="shared" si="273"/>
        <v>2.5208124810864981E-2</v>
      </c>
      <c r="W314" s="32" t="str">
        <f t="shared" si="260"/>
        <v>1-0.332500809844432i</v>
      </c>
      <c r="X314" s="18">
        <f t="shared" si="274"/>
        <v>1.0538295823078812</v>
      </c>
      <c r="Y314" s="18">
        <f t="shared" si="275"/>
        <v>-0.32100109621445422</v>
      </c>
      <c r="Z314" s="32" t="str">
        <f t="shared" si="261"/>
        <v>0.998281479811771+0.152049179569455i</v>
      </c>
      <c r="AA314" s="18">
        <f t="shared" si="276"/>
        <v>1.009794467177813</v>
      </c>
      <c r="AB314" s="18">
        <f t="shared" si="277"/>
        <v>0.15114925507052632</v>
      </c>
      <c r="AC314" s="67" t="str">
        <f t="shared" si="278"/>
        <v>-0.413698551670256-0.948123266862181i</v>
      </c>
      <c r="AD314" s="65">
        <f t="shared" si="279"/>
        <v>0.29417960113008729</v>
      </c>
      <c r="AE314" s="62">
        <f t="shared" si="280"/>
        <v>-113.57328656864505</v>
      </c>
      <c r="AF314" s="50" t="str">
        <f t="shared" si="262"/>
        <v>79.1527877025864</v>
      </c>
      <c r="AG314" s="50" t="str">
        <f t="shared" si="263"/>
        <v>1+27.9287619681047i</v>
      </c>
      <c r="AH314" s="50">
        <f t="shared" si="281"/>
        <v>27.946658925013761</v>
      </c>
      <c r="AI314" s="50">
        <f t="shared" si="282"/>
        <v>1.5350062338520869</v>
      </c>
      <c r="AJ314" s="50" t="str">
        <f t="shared" si="264"/>
        <v>1+0.0252134656656502i</v>
      </c>
      <c r="AK314" s="50">
        <f t="shared" si="283"/>
        <v>1.0003178089241804</v>
      </c>
      <c r="AL314" s="50">
        <f t="shared" si="284"/>
        <v>2.5208124810864981E-2</v>
      </c>
      <c r="AM314" s="50" t="str">
        <f t="shared" si="265"/>
        <v>1-0.116328187244067i</v>
      </c>
      <c r="AN314" s="50">
        <f t="shared" si="285"/>
        <v>1.006743386940034</v>
      </c>
      <c r="AO314" s="50">
        <f t="shared" si="286"/>
        <v>-0.11580767967515335</v>
      </c>
      <c r="AP314" s="59" t="str">
        <f t="shared" si="287"/>
        <v>-0.156254013383843-2.84800306731829i</v>
      </c>
      <c r="AQ314" s="50">
        <f t="shared" si="288"/>
        <v>9.1038621325834335</v>
      </c>
      <c r="AR314" s="62">
        <f t="shared" si="289"/>
        <v>-93.140350845483724</v>
      </c>
      <c r="AS314" s="32" t="str">
        <f t="shared" si="266"/>
        <v>-0.0000166666666666667</v>
      </c>
      <c r="AT314" s="32" t="str">
        <f t="shared" si="267"/>
        <v>0.000194831325598206i</v>
      </c>
      <c r="AU314" s="32">
        <f t="shared" si="290"/>
        <v>1.94831325598206E-4</v>
      </c>
      <c r="AV314" s="32">
        <f t="shared" si="291"/>
        <v>1.5707963267948966</v>
      </c>
      <c r="AW314" s="32" t="str">
        <f t="shared" si="268"/>
        <v>1+0.197999862727311i</v>
      </c>
      <c r="AX314" s="32">
        <f t="shared" si="292"/>
        <v>1.0194135302417924</v>
      </c>
      <c r="AY314" s="32">
        <f t="shared" si="293"/>
        <v>0.19547161327655788</v>
      </c>
      <c r="AZ314" s="32" t="str">
        <f t="shared" si="269"/>
        <v>1+6.73199533272859i</v>
      </c>
      <c r="BA314" s="32">
        <f t="shared" si="294"/>
        <v>6.8058622642453992</v>
      </c>
      <c r="BB314" s="32">
        <f t="shared" si="295"/>
        <v>1.4233302821107607</v>
      </c>
      <c r="BC314" s="59" t="str">
        <f t="shared" si="296"/>
        <v>-0.537858462742799+0.192039982627382i</v>
      </c>
      <c r="BD314" s="50">
        <f t="shared" si="297"/>
        <v>-4.8655454720333227</v>
      </c>
      <c r="BE314" s="62">
        <f t="shared" si="298"/>
        <v>160.35111956275117</v>
      </c>
      <c r="BF314" s="59" t="str">
        <f t="shared" si="299"/>
        <v>0.404588842737116+0.430509460129444i</v>
      </c>
      <c r="BG314" s="65">
        <f t="shared" si="300"/>
        <v>-4.5713658709032376</v>
      </c>
      <c r="BH314" s="62">
        <f t="shared" si="301"/>
        <v>46.777832994106127</v>
      </c>
      <c r="BI314" s="59" t="str">
        <f t="shared" si="306"/>
        <v>0.630973003006562+1.5018155336589i</v>
      </c>
      <c r="BJ314" s="65">
        <f t="shared" si="302"/>
        <v>4.2383166605501108</v>
      </c>
      <c r="BK314" s="62">
        <f t="shared" si="307"/>
        <v>67.210768717267428</v>
      </c>
      <c r="BL314" s="50">
        <f t="shared" si="303"/>
        <v>-4.5713658709032376</v>
      </c>
      <c r="BM314" s="62">
        <f t="shared" si="304"/>
        <v>46.777832994106127</v>
      </c>
    </row>
    <row r="315" spans="14:65" x14ac:dyDescent="0.3">
      <c r="N315" s="11">
        <v>97</v>
      </c>
      <c r="O315" s="51">
        <f t="shared" si="305"/>
        <v>9332.5430079699217</v>
      </c>
      <c r="P315" s="49" t="str">
        <f t="shared" si="257"/>
        <v>27.9103246607183</v>
      </c>
      <c r="Q315" s="18" t="str">
        <f t="shared" si="258"/>
        <v>1+28.8043065679337i</v>
      </c>
      <c r="R315" s="18">
        <f t="shared" si="270"/>
        <v>28.821659856078874</v>
      </c>
      <c r="S315" s="18">
        <f t="shared" si="271"/>
        <v>1.5360932336821265</v>
      </c>
      <c r="T315" s="18" t="str">
        <f t="shared" si="259"/>
        <v>1+0.0258007627267712i</v>
      </c>
      <c r="U315" s="18">
        <f t="shared" si="272"/>
        <v>1.0003327843059444</v>
      </c>
      <c r="V315" s="18">
        <f t="shared" si="273"/>
        <v>2.5795040000581325E-2</v>
      </c>
      <c r="W315" s="32" t="str">
        <f t="shared" si="260"/>
        <v>1-0.340245748641483i</v>
      </c>
      <c r="X315" s="18">
        <f t="shared" si="274"/>
        <v>1.0562988069048471</v>
      </c>
      <c r="Y315" s="18">
        <f t="shared" si="275"/>
        <v>-0.32795877411039914</v>
      </c>
      <c r="Z315" s="32" t="str">
        <f t="shared" si="261"/>
        <v>0.998200488450504+0.155590859935461i</v>
      </c>
      <c r="AA315" s="18">
        <f t="shared" si="276"/>
        <v>1.0102537952605182</v>
      </c>
      <c r="AB315" s="18">
        <f t="shared" si="277"/>
        <v>0.15462709684374368</v>
      </c>
      <c r="AC315" s="67" t="str">
        <f t="shared" si="278"/>
        <v>-0.414931558051581-0.923961219005167i</v>
      </c>
      <c r="AD315" s="65">
        <f t="shared" si="279"/>
        <v>0.11093401664792919</v>
      </c>
      <c r="AE315" s="62">
        <f t="shared" si="280"/>
        <v>-114.18384596250172</v>
      </c>
      <c r="AF315" s="50" t="str">
        <f t="shared" si="262"/>
        <v>79.1527877025864</v>
      </c>
      <c r="AG315" s="50" t="str">
        <f t="shared" si="263"/>
        <v>1+28.5793064050388i</v>
      </c>
      <c r="AH315" s="50">
        <f t="shared" si="281"/>
        <v>28.596796229527033</v>
      </c>
      <c r="AI315" s="50">
        <f t="shared" si="282"/>
        <v>1.535820243851737</v>
      </c>
      <c r="AJ315" s="50" t="str">
        <f t="shared" si="264"/>
        <v>1+0.0258007627267712i</v>
      </c>
      <c r="AK315" s="50">
        <f t="shared" si="283"/>
        <v>1.0003327843059444</v>
      </c>
      <c r="AL315" s="50">
        <f t="shared" si="284"/>
        <v>2.5795040000581325E-2</v>
      </c>
      <c r="AM315" s="50" t="str">
        <f t="shared" si="265"/>
        <v>1-0.119037818811577i</v>
      </c>
      <c r="AN315" s="50">
        <f t="shared" si="285"/>
        <v>1.0070600787973962</v>
      </c>
      <c r="AO315" s="50">
        <f t="shared" si="286"/>
        <v>-0.11848029586229362</v>
      </c>
      <c r="AP315" s="59" t="str">
        <f t="shared" si="287"/>
        <v>-0.160824600603874-2.78371736816867i</v>
      </c>
      <c r="AQ315" s="50">
        <f t="shared" si="288"/>
        <v>8.9069743376176884</v>
      </c>
      <c r="AR315" s="62">
        <f t="shared" si="289"/>
        <v>-93.306492047423731</v>
      </c>
      <c r="AS315" s="32" t="str">
        <f t="shared" si="266"/>
        <v>-0.0000166666666666667</v>
      </c>
      <c r="AT315" s="32" t="str">
        <f t="shared" si="267"/>
        <v>0.000199369530161414i</v>
      </c>
      <c r="AU315" s="32">
        <f t="shared" si="290"/>
        <v>1.99369530161414E-4</v>
      </c>
      <c r="AV315" s="32">
        <f t="shared" si="291"/>
        <v>1.5707963267948966</v>
      </c>
      <c r="AW315" s="32" t="str">
        <f t="shared" si="268"/>
        <v>1+0.202611872001409i</v>
      </c>
      <c r="AX315" s="32">
        <f t="shared" si="292"/>
        <v>1.020319347398605</v>
      </c>
      <c r="AY315" s="32">
        <f t="shared" si="293"/>
        <v>0.19990570915564773</v>
      </c>
      <c r="AZ315" s="32" t="str">
        <f t="shared" si="269"/>
        <v>1+6.8888036480479i</v>
      </c>
      <c r="BA315" s="32">
        <f t="shared" si="294"/>
        <v>6.9610068022778178</v>
      </c>
      <c r="BB315" s="32">
        <f t="shared" si="295"/>
        <v>1.4266401805500755</v>
      </c>
      <c r="BC315" s="59" t="str">
        <f t="shared" si="296"/>
        <v>-0.536903888743281+0.192379961810054i</v>
      </c>
      <c r="BD315" s="50">
        <f t="shared" si="297"/>
        <v>-4.8774819899581097</v>
      </c>
      <c r="BE315" s="62">
        <f t="shared" si="298"/>
        <v>160.2867077941126</v>
      </c>
      <c r="BF315" s="59" t="str">
        <f t="shared" si="299"/>
        <v>0.400529991106387+0.416253854240107i</v>
      </c>
      <c r="BG315" s="65">
        <f t="shared" si="300"/>
        <v>-4.7665479733101863</v>
      </c>
      <c r="BH315" s="62">
        <f t="shared" si="301"/>
        <v>46.102861831610902</v>
      </c>
      <c r="BI315" s="59" t="str">
        <f t="shared" si="306"/>
        <v>0.621878794448078+1.46364924960968i</v>
      </c>
      <c r="BJ315" s="65">
        <f t="shared" si="302"/>
        <v>4.0294923476595788</v>
      </c>
      <c r="BK315" s="62">
        <f t="shared" si="307"/>
        <v>66.98021574668887</v>
      </c>
      <c r="BL315" s="50">
        <f t="shared" si="303"/>
        <v>-4.7665479733101863</v>
      </c>
      <c r="BM315" s="62">
        <f t="shared" si="304"/>
        <v>46.102861831610902</v>
      </c>
    </row>
    <row r="316" spans="14:65" x14ac:dyDescent="0.3">
      <c r="N316" s="11">
        <v>98</v>
      </c>
      <c r="O316" s="51">
        <f t="shared" si="305"/>
        <v>9549.9258602143691</v>
      </c>
      <c r="P316" s="49" t="str">
        <f t="shared" si="257"/>
        <v>27.9103246607183</v>
      </c>
      <c r="Q316" s="18" t="str">
        <f t="shared" si="258"/>
        <v>1+29.4752450584731i</v>
      </c>
      <c r="R316" s="18">
        <f t="shared" si="270"/>
        <v>29.492203567333565</v>
      </c>
      <c r="S316" s="18">
        <f t="shared" si="271"/>
        <v>1.5368825599229663</v>
      </c>
      <c r="T316" s="18" t="str">
        <f t="shared" si="259"/>
        <v>1+0.0264017396938035i</v>
      </c>
      <c r="U316" s="18">
        <f t="shared" si="272"/>
        <v>1.0003484652154264</v>
      </c>
      <c r="V316" s="18">
        <f t="shared" si="273"/>
        <v>2.639560779757218E-2</v>
      </c>
      <c r="W316" s="32" t="str">
        <f t="shared" si="260"/>
        <v>1-0.348171090238149i</v>
      </c>
      <c r="X316" s="18">
        <f t="shared" si="274"/>
        <v>1.0588782309961904</v>
      </c>
      <c r="Y316" s="18">
        <f t="shared" si="275"/>
        <v>-0.33504457289013612</v>
      </c>
      <c r="Z316" s="32" t="str">
        <f t="shared" si="261"/>
        <v>0.998115680083975+0.159215036634894i</v>
      </c>
      <c r="AA316" s="18">
        <f t="shared" si="276"/>
        <v>1.0107345540349091</v>
      </c>
      <c r="AB316" s="18">
        <f t="shared" si="277"/>
        <v>0.15818293234535777</v>
      </c>
      <c r="AC316" s="67" t="str">
        <f t="shared" si="278"/>
        <v>-0.416075467462194-0.90028898807468i</v>
      </c>
      <c r="AD316" s="65">
        <f t="shared" si="279"/>
        <v>-7.1642353617916932E-2</v>
      </c>
      <c r="AE316" s="62">
        <f t="shared" si="280"/>
        <v>-114.80438175612484</v>
      </c>
      <c r="AF316" s="50" t="str">
        <f t="shared" si="262"/>
        <v>79.1527877025864</v>
      </c>
      <c r="AG316" s="50" t="str">
        <f t="shared" si="263"/>
        <v>1+29.2450039685207i</v>
      </c>
      <c r="AH316" s="50">
        <f t="shared" si="281"/>
        <v>29.262095911243122</v>
      </c>
      <c r="AI316" s="50">
        <f t="shared" si="282"/>
        <v>1.5366157695308673</v>
      </c>
      <c r="AJ316" s="50" t="str">
        <f t="shared" si="264"/>
        <v>1+0.0264017396938035i</v>
      </c>
      <c r="AK316" s="50">
        <f t="shared" si="283"/>
        <v>1.0003484652154264</v>
      </c>
      <c r="AL316" s="50">
        <f t="shared" si="284"/>
        <v>2.639560779757218E-2</v>
      </c>
      <c r="AM316" s="50" t="str">
        <f t="shared" si="265"/>
        <v>1-0.121810565806273i</v>
      </c>
      <c r="AN316" s="50">
        <f t="shared" si="285"/>
        <v>1.0073915891757508</v>
      </c>
      <c r="AO316" s="50">
        <f t="shared" si="286"/>
        <v>-0.12121340568542519</v>
      </c>
      <c r="AP316" s="59" t="str">
        <f t="shared" si="287"/>
        <v>-0.165189969314798-2.72089325006219i</v>
      </c>
      <c r="AQ316" s="50">
        <f t="shared" si="288"/>
        <v>8.7102083254518821</v>
      </c>
      <c r="AR316" s="62">
        <f t="shared" si="289"/>
        <v>-93.474257969064297</v>
      </c>
      <c r="AS316" s="32" t="str">
        <f t="shared" si="266"/>
        <v>-0.0000166666666666667</v>
      </c>
      <c r="AT316" s="32" t="str">
        <f t="shared" si="267"/>
        <v>0.000204013443088481i</v>
      </c>
      <c r="AU316" s="32">
        <f t="shared" si="290"/>
        <v>2.0401344308848101E-4</v>
      </c>
      <c r="AV316" s="32">
        <f t="shared" si="291"/>
        <v>1.5707963267948966</v>
      </c>
      <c r="AW316" s="32" t="str">
        <f t="shared" si="268"/>
        <v>1+0.207331308771927i</v>
      </c>
      <c r="AX316" s="32">
        <f t="shared" si="292"/>
        <v>1.0212669932966012</v>
      </c>
      <c r="AY316" s="32">
        <f t="shared" si="293"/>
        <v>0.20443485430222513</v>
      </c>
      <c r="AZ316" s="32" t="str">
        <f t="shared" si="269"/>
        <v>1+7.04926449824552i</v>
      </c>
      <c r="BA316" s="32">
        <f t="shared" si="294"/>
        <v>7.1198405857311631</v>
      </c>
      <c r="BB316" s="32">
        <f t="shared" si="295"/>
        <v>1.4298778128173402</v>
      </c>
      <c r="BC316" s="59" t="str">
        <f t="shared" si="296"/>
        <v>-0.535907951906514+0.192804460027972i</v>
      </c>
      <c r="BD316" s="50">
        <f t="shared" si="297"/>
        <v>-4.8895812393315268</v>
      </c>
      <c r="BE316" s="62">
        <f t="shared" si="298"/>
        <v>160.21270955694135</v>
      </c>
      <c r="BF316" s="59" t="str">
        <f t="shared" si="299"/>
        <v>0.396557883821078+0.402250821888155i</v>
      </c>
      <c r="BG316" s="65">
        <f t="shared" si="300"/>
        <v>-4.9612235929494481</v>
      </c>
      <c r="BH316" s="62">
        <f t="shared" si="301"/>
        <v>45.408327800816458</v>
      </c>
      <c r="BI316" s="59" t="str">
        <f t="shared" si="306"/>
        <v>0.613126972002988+1.42629896616131i</v>
      </c>
      <c r="BJ316" s="65">
        <f t="shared" si="302"/>
        <v>3.8206270861203562</v>
      </c>
      <c r="BK316" s="62">
        <f t="shared" si="307"/>
        <v>66.738451587877023</v>
      </c>
      <c r="BL316" s="50">
        <f t="shared" si="303"/>
        <v>-4.9612235929494481</v>
      </c>
      <c r="BM316" s="62">
        <f t="shared" si="304"/>
        <v>45.408327800816458</v>
      </c>
    </row>
    <row r="317" spans="14:65" x14ac:dyDescent="0.3">
      <c r="N317" s="11">
        <v>99</v>
      </c>
      <c r="O317" s="51">
        <f t="shared" si="305"/>
        <v>9772.3722095581161</v>
      </c>
      <c r="P317" s="49" t="str">
        <f t="shared" si="257"/>
        <v>27.9103246607183</v>
      </c>
      <c r="Q317" s="18" t="str">
        <f t="shared" si="258"/>
        <v>1+30.1618117140934i</v>
      </c>
      <c r="R317" s="18">
        <f t="shared" si="270"/>
        <v>30.178384414617391</v>
      </c>
      <c r="S317" s="18">
        <f t="shared" si="271"/>
        <v>1.5376539597570564</v>
      </c>
      <c r="T317" s="18" t="str">
        <f t="shared" si="259"/>
        <v>1+0.0270167152126897i</v>
      </c>
      <c r="U317" s="18">
        <f t="shared" si="272"/>
        <v>1.000364884879954</v>
      </c>
      <c r="V317" s="18">
        <f t="shared" si="273"/>
        <v>2.7010144896929919E-2</v>
      </c>
      <c r="W317" s="32" t="str">
        <f t="shared" si="260"/>
        <v>1-0.356281036755448i</v>
      </c>
      <c r="X317" s="18">
        <f t="shared" si="274"/>
        <v>1.0615725020701774</v>
      </c>
      <c r="Y317" s="18">
        <f t="shared" si="275"/>
        <v>-0.3422594024766869</v>
      </c>
      <c r="Z317" s="32" t="str">
        <f t="shared" si="261"/>
        <v>0.99802687482227+0.162923631254211i</v>
      </c>
      <c r="AA317" s="18">
        <f t="shared" si="276"/>
        <v>1.0112377329236508</v>
      </c>
      <c r="AB317" s="18">
        <f t="shared" si="277"/>
        <v>0.16181836870276683</v>
      </c>
      <c r="AC317" s="67" t="str">
        <f t="shared" si="278"/>
        <v>-0.417132783323457-0.877094695233088i</v>
      </c>
      <c r="AD317" s="65">
        <f t="shared" si="279"/>
        <v>-0.25352530486390484</v>
      </c>
      <c r="AE317" s="62">
        <f t="shared" si="280"/>
        <v>-115.4350437739713</v>
      </c>
      <c r="AF317" s="50" t="str">
        <f t="shared" si="262"/>
        <v>79.1527877025864</v>
      </c>
      <c r="AG317" s="50" t="str">
        <f t="shared" si="263"/>
        <v>1+29.9262076202101i</v>
      </c>
      <c r="AH317" s="50">
        <f t="shared" si="281"/>
        <v>29.942910722371682</v>
      </c>
      <c r="AI317" s="50">
        <f t="shared" si="282"/>
        <v>1.5373932286577636</v>
      </c>
      <c r="AJ317" s="50" t="str">
        <f t="shared" si="264"/>
        <v>1+0.0270167152126897i</v>
      </c>
      <c r="AK317" s="50">
        <f t="shared" si="283"/>
        <v>1.000364884879954</v>
      </c>
      <c r="AL317" s="50">
        <f t="shared" si="284"/>
        <v>2.7010144896929919E-2</v>
      </c>
      <c r="AM317" s="50" t="str">
        <f t="shared" si="265"/>
        <v>1-0.124647898375313i</v>
      </c>
      <c r="AN317" s="50">
        <f t="shared" si="285"/>
        <v>1.0077386062711811</v>
      </c>
      <c r="AO317" s="50">
        <f t="shared" si="286"/>
        <v>-0.1240082948596035</v>
      </c>
      <c r="AP317" s="59" t="str">
        <f t="shared" si="287"/>
        <v>-0.16935931267188-2.65949836058869i</v>
      </c>
      <c r="AQ317" s="50">
        <f t="shared" si="288"/>
        <v>8.5135706956277062</v>
      </c>
      <c r="AR317" s="62">
        <f t="shared" si="289"/>
        <v>-93.64372806751922</v>
      </c>
      <c r="AS317" s="32" t="str">
        <f t="shared" si="266"/>
        <v>-0.0000166666666666667</v>
      </c>
      <c r="AT317" s="32" t="str">
        <f t="shared" si="267"/>
        <v>0.000208765526643511i</v>
      </c>
      <c r="AU317" s="32">
        <f t="shared" si="290"/>
        <v>2.08765526643511E-4</v>
      </c>
      <c r="AV317" s="32">
        <f t="shared" si="291"/>
        <v>1.5707963267948966</v>
      </c>
      <c r="AW317" s="32" t="str">
        <f t="shared" si="268"/>
        <v>1+0.21216067534671i</v>
      </c>
      <c r="AX317" s="32">
        <f t="shared" si="292"/>
        <v>1.0222583588132561</v>
      </c>
      <c r="AY317" s="32">
        <f t="shared" si="293"/>
        <v>0.20906070652181166</v>
      </c>
      <c r="AZ317" s="32" t="str">
        <f t="shared" si="269"/>
        <v>1+7.21346296178815i</v>
      </c>
      <c r="BA317" s="32">
        <f t="shared" si="294"/>
        <v>7.2824479332906638</v>
      </c>
      <c r="BB317" s="32">
        <f t="shared" si="295"/>
        <v>1.4330446239046055</v>
      </c>
      <c r="BC317" s="59" t="str">
        <f t="shared" si="296"/>
        <v>-0.534869030490196+0.193312556080242i</v>
      </c>
      <c r="BD317" s="50">
        <f t="shared" si="297"/>
        <v>-4.9018663579379655</v>
      </c>
      <c r="BE317" s="62">
        <f t="shared" si="298"/>
        <v>160.12911265792326</v>
      </c>
      <c r="BF317" s="59" t="str">
        <f t="shared" si="299"/>
        <v>0.392664824861824+0.388493784718292i</v>
      </c>
      <c r="BG317" s="65">
        <f t="shared" si="300"/>
        <v>-5.1553916628018719</v>
      </c>
      <c r="BH317" s="62">
        <f t="shared" si="301"/>
        <v>44.6940688839519</v>
      </c>
      <c r="BI317" s="59" t="str">
        <f t="shared" si="306"/>
        <v>0.604699477349907+1.38974402808974i</v>
      </c>
      <c r="BJ317" s="65">
        <f t="shared" si="302"/>
        <v>3.6117043376897162</v>
      </c>
      <c r="BK317" s="62">
        <f t="shared" si="307"/>
        <v>66.485384590403996</v>
      </c>
      <c r="BL317" s="50">
        <f t="shared" si="303"/>
        <v>-5.1553916628018719</v>
      </c>
      <c r="BM317" s="62">
        <f t="shared" si="304"/>
        <v>44.6940688839519</v>
      </c>
    </row>
    <row r="318" spans="14:65" x14ac:dyDescent="0.3">
      <c r="N318" s="11">
        <v>100</v>
      </c>
      <c r="O318" s="51">
        <f t="shared" si="305"/>
        <v>10000</v>
      </c>
      <c r="P318" s="49" t="str">
        <f t="shared" si="257"/>
        <v>27.9103246607183</v>
      </c>
      <c r="Q318" s="18" t="str">
        <f t="shared" si="258"/>
        <v>1+30.8643705615233i</v>
      </c>
      <c r="R318" s="18">
        <f t="shared" si="270"/>
        <v>30.880566221477</v>
      </c>
      <c r="S318" s="18">
        <f t="shared" si="271"/>
        <v>1.5384078385164817</v>
      </c>
      <c r="T318" s="18" t="str">
        <f t="shared" si="259"/>
        <v>1+0.0276460153515902i</v>
      </c>
      <c r="U318" s="18">
        <f t="shared" si="272"/>
        <v>1.0003820780905766</v>
      </c>
      <c r="V318" s="18">
        <f t="shared" si="273"/>
        <v>2.7638975276627738E-2</v>
      </c>
      <c r="W318" s="32" t="str">
        <f t="shared" si="260"/>
        <v>1-0.364579888194371i</v>
      </c>
      <c r="X318" s="18">
        <f t="shared" si="274"/>
        <v>1.064386440573075</v>
      </c>
      <c r="Y318" s="18">
        <f t="shared" si="275"/>
        <v>-0.34960408285218908</v>
      </c>
      <c r="Z318" s="32" t="str">
        <f t="shared" si="261"/>
        <v>0.997933884297521+0.166718610139367i</v>
      </c>
      <c r="AA318" s="18">
        <f t="shared" si="276"/>
        <v>1.0117643660437643</v>
      </c>
      <c r="AB318" s="18">
        <f t="shared" si="277"/>
        <v>0.16553503621302115</v>
      </c>
      <c r="AC318" s="67" t="str">
        <f t="shared" si="278"/>
        <v>-0.418105836624083-0.854366715257261i</v>
      </c>
      <c r="AD318" s="65">
        <f t="shared" si="279"/>
        <v>-0.4346902026256857</v>
      </c>
      <c r="AE318" s="62">
        <f t="shared" si="280"/>
        <v>-116.07597706794444</v>
      </c>
      <c r="AF318" s="50" t="str">
        <f t="shared" si="262"/>
        <v>79.1527877025864</v>
      </c>
      <c r="AG318" s="50" t="str">
        <f t="shared" si="263"/>
        <v>1+30.6232785432999i</v>
      </c>
      <c r="AH318" s="50">
        <f t="shared" si="281"/>
        <v>30.639601641348598</v>
      </c>
      <c r="AI318" s="50">
        <f t="shared" si="282"/>
        <v>1.5381530296899615</v>
      </c>
      <c r="AJ318" s="50" t="str">
        <f t="shared" si="264"/>
        <v>1+0.0276460153515902i</v>
      </c>
      <c r="AK318" s="50">
        <f t="shared" si="283"/>
        <v>1.0003820780905766</v>
      </c>
      <c r="AL318" s="50">
        <f t="shared" si="284"/>
        <v>2.7638975276627738E-2</v>
      </c>
      <c r="AM318" s="50" t="str">
        <f t="shared" si="265"/>
        <v>1-0.127551320909981i</v>
      </c>
      <c r="AN318" s="50">
        <f t="shared" si="285"/>
        <v>1.0081018497482688</v>
      </c>
      <c r="AO318" s="50">
        <f t="shared" si="286"/>
        <v>-0.12686627052244889</v>
      </c>
      <c r="AP318" s="59" t="str">
        <f t="shared" si="287"/>
        <v>-0.173341413861742-2.59950104144779i</v>
      </c>
      <c r="AQ318" s="50">
        <f t="shared" si="288"/>
        <v>8.3170682957436135</v>
      </c>
      <c r="AR318" s="62">
        <f t="shared" si="289"/>
        <v>-93.814982076579696</v>
      </c>
      <c r="AS318" s="32" t="str">
        <f t="shared" si="266"/>
        <v>-0.0000166666666666667</v>
      </c>
      <c r="AT318" s="32" t="str">
        <f t="shared" si="267"/>
        <v>0.000213628300444106i</v>
      </c>
      <c r="AU318" s="32">
        <f t="shared" si="290"/>
        <v>2.13628300444106E-4</v>
      </c>
      <c r="AV318" s="32">
        <f t="shared" si="291"/>
        <v>1.5707963267948966</v>
      </c>
      <c r="AW318" s="32" t="str">
        <f t="shared" si="268"/>
        <v>1+0.217102532319841i</v>
      </c>
      <c r="AX318" s="32">
        <f t="shared" si="292"/>
        <v>1.0232954165536401</v>
      </c>
      <c r="AY318" s="32">
        <f t="shared" si="293"/>
        <v>0.21378492624162446</v>
      </c>
      <c r="AZ318" s="32" t="str">
        <f t="shared" si="269"/>
        <v>1+7.38148609887458i</v>
      </c>
      <c r="BA318" s="32">
        <f t="shared" si="294"/>
        <v>7.4489151577849695</v>
      </c>
      <c r="BB318" s="32">
        <f t="shared" si="295"/>
        <v>1.4361420386920183</v>
      </c>
      <c r="BC318" s="59" t="str">
        <f t="shared" si="296"/>
        <v>-0.533785454849888+0.193903302930024i</v>
      </c>
      <c r="BD318" s="50">
        <f t="shared" si="297"/>
        <v>-4.914360738459763</v>
      </c>
      <c r="BE318" s="62">
        <f t="shared" si="298"/>
        <v>160.03590360120577</v>
      </c>
      <c r="BF318" s="59" t="str">
        <f t="shared" si="299"/>
        <v>0.388843342179637+0.374976423016471i</v>
      </c>
      <c r="BG318" s="65">
        <f t="shared" si="300"/>
        <v>-5.3490509410854559</v>
      </c>
      <c r="BH318" s="62">
        <f t="shared" si="301"/>
        <v>43.959926533261324</v>
      </c>
      <c r="BI318" s="59" t="str">
        <f t="shared" si="306"/>
        <v>0.596578963349276+1.35396437310961i</v>
      </c>
      <c r="BJ318" s="65">
        <f t="shared" si="302"/>
        <v>3.4027075572838243</v>
      </c>
      <c r="BK318" s="62">
        <f t="shared" si="307"/>
        <v>66.220921524626007</v>
      </c>
      <c r="BL318" s="50">
        <f t="shared" si="303"/>
        <v>-5.3490509410854559</v>
      </c>
      <c r="BM318" s="62">
        <f t="shared" si="304"/>
        <v>43.959926533261324</v>
      </c>
    </row>
    <row r="319" spans="14:65" x14ac:dyDescent="0.3">
      <c r="N319" s="11">
        <v>1</v>
      </c>
      <c r="O319" s="51">
        <f>10^(4+(N319/100))</f>
        <v>10232.929922807549</v>
      </c>
      <c r="P319" s="49" t="str">
        <f t="shared" si="257"/>
        <v>27.9103246607183</v>
      </c>
      <c r="Q319" s="18" t="str">
        <f t="shared" si="258"/>
        <v>1+31.5832941067632i</v>
      </c>
      <c r="R319" s="18">
        <f t="shared" si="270"/>
        <v>31.599121295287677</v>
      </c>
      <c r="S319" s="18">
        <f t="shared" si="271"/>
        <v>1.5391445924881448</v>
      </c>
      <c r="T319" s="18" t="str">
        <f t="shared" si="259"/>
        <v>1+0.0282899737737684i</v>
      </c>
      <c r="U319" s="18">
        <f t="shared" si="272"/>
        <v>1.0004000812755467</v>
      </c>
      <c r="V319" s="18">
        <f t="shared" si="273"/>
        <v>2.8282430360462248E-2</v>
      </c>
      <c r="W319" s="32" t="str">
        <f t="shared" si="260"/>
        <v>1-0.373072044715801i</v>
      </c>
      <c r="X319" s="18">
        <f t="shared" si="274"/>
        <v>1.0673250444679112</v>
      </c>
      <c r="Y319" s="18">
        <f t="shared" si="275"/>
        <v>-0.35707933766701139</v>
      </c>
      <c r="Z319" s="32" t="str">
        <f t="shared" si="261"/>
        <v>0.997836511264358+0.170601985438402i</v>
      </c>
      <c r="AA319" s="18">
        <f t="shared" si="276"/>
        <v>1.0123155341333798</v>
      </c>
      <c r="AB319" s="18">
        <f t="shared" si="277"/>
        <v>0.16933458794723499</v>
      </c>
      <c r="AC319" s="67" t="str">
        <f t="shared" si="278"/>
        <v>-0.418996791517343-0.832093673249291i</v>
      </c>
      <c r="AD319" s="65">
        <f t="shared" si="279"/>
        <v>-0.61511200712087033</v>
      </c>
      <c r="AE319" s="62">
        <f t="shared" si="280"/>
        <v>-116.72732153053647</v>
      </c>
      <c r="AF319" s="50" t="str">
        <f t="shared" si="262"/>
        <v>79.1527877025864</v>
      </c>
      <c r="AG319" s="50" t="str">
        <f t="shared" si="263"/>
        <v>1+31.3365863340203i</v>
      </c>
      <c r="AH319" s="50">
        <f t="shared" si="281"/>
        <v>31.352538064238242</v>
      </c>
      <c r="AI319" s="50">
        <f t="shared" si="282"/>
        <v>1.5388955719729693</v>
      </c>
      <c r="AJ319" s="50" t="str">
        <f t="shared" si="264"/>
        <v>1+0.0282899737737684i</v>
      </c>
      <c r="AK319" s="50">
        <f t="shared" si="283"/>
        <v>1.0004000812755467</v>
      </c>
      <c r="AL319" s="50">
        <f t="shared" si="284"/>
        <v>2.8282430360462248E-2</v>
      </c>
      <c r="AM319" s="50" t="str">
        <f t="shared" si="265"/>
        <v>1-0.130522372843338i</v>
      </c>
      <c r="AN319" s="50">
        <f t="shared" si="285"/>
        <v>1.0084820721324972</v>
      </c>
      <c r="AO319" s="50">
        <f t="shared" si="286"/>
        <v>-0.12978866115870272</v>
      </c>
      <c r="AP319" s="59" t="str">
        <f t="shared" si="287"/>
        <v>-0.177144664221621-2.54087031588788i</v>
      </c>
      <c r="AQ319" s="50">
        <f t="shared" si="288"/>
        <v>8.1207082336831107</v>
      </c>
      <c r="AR319" s="62">
        <f t="shared" si="289"/>
        <v>-93.988100004441989</v>
      </c>
      <c r="AS319" s="32" t="str">
        <f t="shared" si="266"/>
        <v>-0.0000166666666666667</v>
      </c>
      <c r="AT319" s="32" t="str">
        <f t="shared" si="267"/>
        <v>0.000218604342797301i</v>
      </c>
      <c r="AU319" s="32">
        <f t="shared" si="290"/>
        <v>2.18604342797301E-4</v>
      </c>
      <c r="AV319" s="32">
        <f t="shared" si="291"/>
        <v>1.5707963267948966</v>
      </c>
      <c r="AW319" s="32" t="str">
        <f t="shared" si="268"/>
        <v>1+0.222159499929299i</v>
      </c>
      <c r="AX319" s="32">
        <f t="shared" si="292"/>
        <v>1.024380224042243</v>
      </c>
      <c r="AY319" s="32">
        <f t="shared" si="293"/>
        <v>0.21860917442449759</v>
      </c>
      <c r="AZ319" s="32" t="str">
        <f t="shared" si="269"/>
        <v>1+7.55342299759616i</v>
      </c>
      <c r="BA319" s="32">
        <f t="shared" si="294"/>
        <v>7.6193306123710469</v>
      </c>
      <c r="BB319" s="32">
        <f t="shared" si="295"/>
        <v>1.4391714616124911</v>
      </c>
      <c r="BC319" s="59" t="str">
        <f t="shared" si="296"/>
        <v>-0.532655507513994+0.194575723482182i</v>
      </c>
      <c r="BD319" s="50">
        <f t="shared" si="297"/>
        <v>-4.927088058253835</v>
      </c>
      <c r="BE319" s="62">
        <f t="shared" si="298"/>
        <v>159.93306768870676</v>
      </c>
      <c r="BF319" s="59" t="str">
        <f t="shared" si="299"/>
        <v>0.385086177109833+0.361692673977585i</v>
      </c>
      <c r="BG319" s="65">
        <f t="shared" si="300"/>
        <v>-5.542200065374697</v>
      </c>
      <c r="BH319" s="62">
        <f t="shared" si="301"/>
        <v>43.205746158170292</v>
      </c>
      <c r="BI319" s="59" t="str">
        <f t="shared" si="306"/>
        <v>0.588748761012648+1.31894051643457i</v>
      </c>
      <c r="BJ319" s="65">
        <f t="shared" si="302"/>
        <v>3.1936201754292712</v>
      </c>
      <c r="BK319" s="62">
        <f t="shared" si="307"/>
        <v>65.944967684264753</v>
      </c>
      <c r="BL319" s="50">
        <f t="shared" si="303"/>
        <v>-5.542200065374697</v>
      </c>
      <c r="BM319" s="62">
        <f t="shared" si="304"/>
        <v>43.205746158170292</v>
      </c>
    </row>
    <row r="320" spans="14:65" x14ac:dyDescent="0.3">
      <c r="N320" s="11">
        <v>2</v>
      </c>
      <c r="O320" s="51">
        <f t="shared" ref="O320:O383" si="308">10^(4+(N320/100))</f>
        <v>10471.285480509003</v>
      </c>
      <c r="P320" s="49" t="str">
        <f t="shared" si="257"/>
        <v>27.9103246607183</v>
      </c>
      <c r="Q320" s="18" t="str">
        <f t="shared" si="258"/>
        <v>1+32.3189635325929i</v>
      </c>
      <c r="R320" s="18">
        <f t="shared" si="270"/>
        <v>32.334430624661842</v>
      </c>
      <c r="S320" s="18">
        <f t="shared" si="271"/>
        <v>1.5398646091076067</v>
      </c>
      <c r="T320" s="18" t="str">
        <f t="shared" si="259"/>
        <v>1+0.0289489319145036i</v>
      </c>
      <c r="U320" s="18">
        <f t="shared" si="272"/>
        <v>1.000418932577243</v>
      </c>
      <c r="V320" s="18">
        <f t="shared" si="273"/>
        <v>2.8940849184315533E-2</v>
      </c>
      <c r="W320" s="32" t="str">
        <f t="shared" si="260"/>
        <v>1-0.381762008973531i</v>
      </c>
      <c r="X320" s="18">
        <f t="shared" si="274"/>
        <v>1.0703934937654966</v>
      </c>
      <c r="Y320" s="18">
        <f t="shared" si="275"/>
        <v>-0.36468578771053062</v>
      </c>
      <c r="Z320" s="32" t="str">
        <f t="shared" si="261"/>
        <v>0.997734549181522+0.1745758161683i</v>
      </c>
      <c r="AA320" s="18">
        <f t="shared" si="276"/>
        <v>1.0128923665529737</v>
      </c>
      <c r="AB320" s="18">
        <f t="shared" si="277"/>
        <v>0.17321869928867906</v>
      </c>
      <c r="AC320" s="67" t="str">
        <f t="shared" si="278"/>
        <v>-0.419807650651462-0.810264441459533i</v>
      </c>
      <c r="AD320" s="65">
        <f t="shared" si="279"/>
        <v>-0.79476530128978706</v>
      </c>
      <c r="AE320" s="62">
        <f t="shared" si="280"/>
        <v>-117.38921149584662</v>
      </c>
      <c r="AF320" s="50" t="str">
        <f t="shared" si="262"/>
        <v>79.1527877025864</v>
      </c>
      <c r="AG320" s="50" t="str">
        <f t="shared" si="263"/>
        <v>1+32.0665091976039i</v>
      </c>
      <c r="AH320" s="50">
        <f t="shared" si="281"/>
        <v>32.082098000598641</v>
      </c>
      <c r="AI320" s="50">
        <f t="shared" si="282"/>
        <v>1.5396212459353427</v>
      </c>
      <c r="AJ320" s="50" t="str">
        <f t="shared" si="264"/>
        <v>1+0.0289489319145036i</v>
      </c>
      <c r="AK320" s="50">
        <f t="shared" si="283"/>
        <v>1.000418932577243</v>
      </c>
      <c r="AL320" s="50">
        <f t="shared" si="284"/>
        <v>2.8940849184315533E-2</v>
      </c>
      <c r="AM320" s="50" t="str">
        <f t="shared" si="265"/>
        <v>1-0.133562629466443i</v>
      </c>
      <c r="AN320" s="50">
        <f t="shared" si="285"/>
        <v>1.0088800602598855</v>
      </c>
      <c r="AO320" s="50">
        <f t="shared" si="286"/>
        <v>-0.13277681648607603</v>
      </c>
      <c r="AP320" s="59" t="str">
        <f t="shared" si="287"/>
        <v>-0.180777080572184-2.48357587622733i</v>
      </c>
      <c r="AQ320" s="50">
        <f t="shared" si="288"/>
        <v>7.9244978901868501</v>
      </c>
      <c r="AR320" s="62">
        <f t="shared" si="289"/>
        <v>-94.163162128817802</v>
      </c>
      <c r="AS320" s="32" t="str">
        <f t="shared" si="266"/>
        <v>-0.0000166666666666667</v>
      </c>
      <c r="AT320" s="32" t="str">
        <f t="shared" si="267"/>
        <v>0.000223696292066618i</v>
      </c>
      <c r="AU320" s="32">
        <f t="shared" si="290"/>
        <v>2.23696292066618E-4</v>
      </c>
      <c r="AV320" s="32">
        <f t="shared" si="291"/>
        <v>1.5707963267948966</v>
      </c>
      <c r="AW320" s="32" t="str">
        <f t="shared" si="268"/>
        <v>1+0.227334259446248i</v>
      </c>
      <c r="AX320" s="32">
        <f t="shared" si="292"/>
        <v>1.0255149270088535</v>
      </c>
      <c r="AY320" s="32">
        <f t="shared" si="293"/>
        <v>0.22353511032713269</v>
      </c>
      <c r="AZ320" s="32" t="str">
        <f t="shared" si="269"/>
        <v>1+7.72936482117244i</v>
      </c>
      <c r="BA320" s="32">
        <f t="shared" si="294"/>
        <v>7.7937847377752272</v>
      </c>
      <c r="BB320" s="32">
        <f t="shared" si="295"/>
        <v>1.4421342763707052</v>
      </c>
      <c r="BC320" s="59" t="str">
        <f t="shared" si="296"/>
        <v>-0.531477423431974+0.195328806214104i</v>
      </c>
      <c r="BD320" s="50">
        <f t="shared" si="297"/>
        <v>-4.940072308699003</v>
      </c>
      <c r="BE320" s="62">
        <f t="shared" si="298"/>
        <v>159.82058913245851</v>
      </c>
      <c r="BF320" s="59" t="str">
        <f t="shared" si="299"/>
        <v>0.381386274573298+0.348636730404162i</v>
      </c>
      <c r="BG320" s="65">
        <f t="shared" si="300"/>
        <v>-5.7348376099887899</v>
      </c>
      <c r="BH320" s="62">
        <f t="shared" si="301"/>
        <v>42.431377636611778</v>
      </c>
      <c r="BI320" s="59" t="str">
        <f t="shared" si="306"/>
        <v>0.58119284804369+1.28465353625607i</v>
      </c>
      <c r="BJ320" s="65">
        <f t="shared" si="302"/>
        <v>2.9844255814878284</v>
      </c>
      <c r="BK320" s="62">
        <f t="shared" si="307"/>
        <v>65.657427003640663</v>
      </c>
      <c r="BL320" s="50">
        <f t="shared" si="303"/>
        <v>-5.7348376099887899</v>
      </c>
      <c r="BM320" s="62">
        <f t="shared" si="304"/>
        <v>42.431377636611778</v>
      </c>
    </row>
    <row r="321" spans="14:65" x14ac:dyDescent="0.3">
      <c r="N321" s="11">
        <v>3</v>
      </c>
      <c r="O321" s="51">
        <f t="shared" si="308"/>
        <v>10715.193052376071</v>
      </c>
      <c r="P321" s="49" t="str">
        <f t="shared" si="257"/>
        <v>27.9103246607183</v>
      </c>
      <c r="Q321" s="18" t="str">
        <f t="shared" si="258"/>
        <v>1+33.0717689006795i</v>
      </c>
      <c r="R321" s="18">
        <f t="shared" si="270"/>
        <v>33.086884081459708</v>
      </c>
      <c r="S321" s="18">
        <f t="shared" si="271"/>
        <v>1.5405682671493102</v>
      </c>
      <c r="T321" s="18" t="str">
        <f t="shared" si="259"/>
        <v>1+0.0296232391621242i</v>
      </c>
      <c r="U321" s="18">
        <f t="shared" si="272"/>
        <v>1.0004386719326959</v>
      </c>
      <c r="V321" s="18">
        <f t="shared" si="273"/>
        <v>2.9614578565778805E-2</v>
      </c>
      <c r="W321" s="32" t="str">
        <f t="shared" si="260"/>
        <v>1-0.390654388501637i</v>
      </c>
      <c r="X321" s="18">
        <f t="shared" si="274"/>
        <v>1.0735971550146675</v>
      </c>
      <c r="Y321" s="18">
        <f t="shared" si="275"/>
        <v>-0.37242394426280412</v>
      </c>
      <c r="Z321" s="32" t="str">
        <f t="shared" si="261"/>
        <v>0.997627781773767+0.178642209306714i</v>
      </c>
      <c r="AA321" s="18">
        <f t="shared" si="276"/>
        <v>1.0134960433631848</v>
      </c>
      <c r="AB321" s="18">
        <f t="shared" si="277"/>
        <v>0.17718906740005053</v>
      </c>
      <c r="AC321" s="67" t="str">
        <f t="shared" si="278"/>
        <v>-0.420540260248928-0.788868136229732i</v>
      </c>
      <c r="AD321" s="65">
        <f t="shared" si="279"/>
        <v>-0.97362432273040911</v>
      </c>
      <c r="AE321" s="62">
        <f t="shared" si="280"/>
        <v>-118.06177532931652</v>
      </c>
      <c r="AF321" s="50" t="str">
        <f t="shared" si="262"/>
        <v>79.1527877025864</v>
      </c>
      <c r="AG321" s="50" t="str">
        <f t="shared" si="263"/>
        <v>1+32.8134341488144i</v>
      </c>
      <c r="AH321" s="50">
        <f t="shared" si="281"/>
        <v>32.828668273912349</v>
      </c>
      <c r="AI321" s="50">
        <f t="shared" si="282"/>
        <v>1.5403304332801389</v>
      </c>
      <c r="AJ321" s="50" t="str">
        <f t="shared" si="264"/>
        <v>1+0.0296232391621242i</v>
      </c>
      <c r="AK321" s="50">
        <f t="shared" si="283"/>
        <v>1.0004386719326959</v>
      </c>
      <c r="AL321" s="50">
        <f t="shared" si="284"/>
        <v>2.9614578565778805E-2</v>
      </c>
      <c r="AM321" s="50" t="str">
        <f t="shared" si="265"/>
        <v>1-0.136673702763602i</v>
      </c>
      <c r="AN321" s="50">
        <f t="shared" si="285"/>
        <v>1.0092966367857932</v>
      </c>
      <c r="AO321" s="50">
        <f t="shared" si="286"/>
        <v>-0.135832107299349</v>
      </c>
      <c r="AP321" s="59" t="str">
        <f t="shared" si="287"/>
        <v>-0.184246321796829-2.42758807146972i</v>
      </c>
      <c r="AQ321" s="50">
        <f t="shared" si="288"/>
        <v>7.7284449317765613</v>
      </c>
      <c r="AR321" s="62">
        <f t="shared" si="289"/>
        <v>-94.340248989252515</v>
      </c>
      <c r="AS321" s="32" t="str">
        <f t="shared" si="266"/>
        <v>-0.0000166666666666667</v>
      </c>
      <c r="AT321" s="32" t="str">
        <f t="shared" si="267"/>
        <v>0.000228906848070959i</v>
      </c>
      <c r="AU321" s="32">
        <f t="shared" si="290"/>
        <v>2.2890684807095899E-4</v>
      </c>
      <c r="AV321" s="32">
        <f t="shared" si="291"/>
        <v>1.5707963267948966</v>
      </c>
      <c r="AW321" s="32" t="str">
        <f t="shared" si="268"/>
        <v>1+0.232629554596681i</v>
      </c>
      <c r="AX321" s="32">
        <f t="shared" si="292"/>
        <v>1.0267017627684536</v>
      </c>
      <c r="AY321" s="32">
        <f t="shared" si="293"/>
        <v>0.22856438909615573</v>
      </c>
      <c r="AZ321" s="32" t="str">
        <f t="shared" si="269"/>
        <v>1+7.90940485628714i</v>
      </c>
      <c r="BA321" s="32">
        <f t="shared" si="294"/>
        <v>7.9723701106169544</v>
      </c>
      <c r="BB321" s="32">
        <f t="shared" si="295"/>
        <v>1.4450318457127342</v>
      </c>
      <c r="BC321" s="59" t="str">
        <f t="shared" si="296"/>
        <v>-0.530249390413403+0.196161500660959i</v>
      </c>
      <c r="BD321" s="50">
        <f t="shared" si="297"/>
        <v>-4.9533378240494903</v>
      </c>
      <c r="BE321" s="62">
        <f t="shared" si="298"/>
        <v>159.69845117914352</v>
      </c>
      <c r="BF321" s="59" t="str">
        <f t="shared" si="299"/>
        <v>0.377736774067726+0.335803039813593i</v>
      </c>
      <c r="BG321" s="65">
        <f t="shared" si="300"/>
        <v>-5.9269621467798936</v>
      </c>
      <c r="BH321" s="62">
        <f t="shared" si="301"/>
        <v>41.636675849827007</v>
      </c>
      <c r="BI321" s="59" t="str">
        <f t="shared" si="306"/>
        <v>0.573895818904824+1.25108506009674i</v>
      </c>
      <c r="BJ321" s="65">
        <f t="shared" si="302"/>
        <v>2.7751071077270733</v>
      </c>
      <c r="BK321" s="62">
        <f t="shared" si="307"/>
        <v>65.358202189891017</v>
      </c>
      <c r="BL321" s="50">
        <f t="shared" si="303"/>
        <v>-5.9269621467798936</v>
      </c>
      <c r="BM321" s="62">
        <f t="shared" si="304"/>
        <v>41.636675849827007</v>
      </c>
    </row>
    <row r="322" spans="14:65" x14ac:dyDescent="0.3">
      <c r="N322" s="11">
        <v>4</v>
      </c>
      <c r="O322" s="51">
        <f t="shared" si="308"/>
        <v>10964.781961431856</v>
      </c>
      <c r="P322" s="49" t="str">
        <f t="shared" si="257"/>
        <v>27.9103246607183</v>
      </c>
      <c r="Q322" s="18" t="str">
        <f t="shared" si="258"/>
        <v>1+33.8421093583939i</v>
      </c>
      <c r="R322" s="18">
        <f t="shared" si="270"/>
        <v>33.856880627510442</v>
      </c>
      <c r="S322" s="18">
        <f t="shared" si="271"/>
        <v>1.5412559369132253</v>
      </c>
      <c r="T322" s="18" t="str">
        <f t="shared" si="259"/>
        <v>1+0.0303132530432584i</v>
      </c>
      <c r="U322" s="18">
        <f t="shared" si="272"/>
        <v>1.0004593411578826</v>
      </c>
      <c r="V322" s="18">
        <f t="shared" si="273"/>
        <v>3.0303973277181092E-2</v>
      </c>
      <c r="W322" s="32" t="str">
        <f t="shared" si="260"/>
        <v>1-0.399753898157448i</v>
      </c>
      <c r="X322" s="18">
        <f t="shared" si="274"/>
        <v>1.0769415857380915</v>
      </c>
      <c r="Y322" s="18">
        <f t="shared" si="275"/>
        <v>-0.38029420234900363</v>
      </c>
      <c r="Z322" s="32" t="str">
        <f t="shared" si="261"/>
        <v>0.997515982573104+0.182803320909112i</v>
      </c>
      <c r="AA322" s="18">
        <f t="shared" si="276"/>
        <v>1.0141277974812568</v>
      </c>
      <c r="AB322" s="18">
        <f t="shared" si="277"/>
        <v>0.18124741061517335</v>
      </c>
      <c r="AC322" s="67" t="str">
        <f t="shared" si="278"/>
        <v>-0.421196314950388-0.767894115063502i</v>
      </c>
      <c r="AD322" s="65">
        <f t="shared" si="279"/>
        <v>-1.1516629997191143</v>
      </c>
      <c r="AE322" s="62">
        <f t="shared" si="280"/>
        <v>-118.7451350071656</v>
      </c>
      <c r="AF322" s="50" t="str">
        <f t="shared" si="262"/>
        <v>79.1527877025864</v>
      </c>
      <c r="AG322" s="50" t="str">
        <f t="shared" si="263"/>
        <v>1+33.5777572171477i</v>
      </c>
      <c r="AH322" s="50">
        <f t="shared" si="281"/>
        <v>33.592644726691503</v>
      </c>
      <c r="AI322" s="50">
        <f t="shared" si="282"/>
        <v>1.5410235071727756</v>
      </c>
      <c r="AJ322" s="50" t="str">
        <f t="shared" si="264"/>
        <v>1+0.0303132530432584i</v>
      </c>
      <c r="AK322" s="50">
        <f t="shared" si="283"/>
        <v>1.0004593411578826</v>
      </c>
      <c r="AL322" s="50">
        <f t="shared" si="284"/>
        <v>3.0303973277181092E-2</v>
      </c>
      <c r="AM322" s="50" t="str">
        <f t="shared" si="265"/>
        <v>1-0.139857242267057i</v>
      </c>
      <c r="AN322" s="50">
        <f t="shared" si="285"/>
        <v>1.0097326617548559</v>
      </c>
      <c r="AO322" s="50">
        <f t="shared" si="286"/>
        <v>-0.13895592526945297</v>
      </c>
      <c r="AP322" s="59" t="str">
        <f t="shared" si="287"/>
        <v>-0.187559704698983-2.37287789502339i</v>
      </c>
      <c r="AQ322" s="50">
        <f t="shared" si="288"/>
        <v>7.5325573240370769</v>
      </c>
      <c r="AR322" s="62">
        <f t="shared" si="289"/>
        <v>-94.519441376463391</v>
      </c>
      <c r="AS322" s="32" t="str">
        <f t="shared" si="266"/>
        <v>-0.0000166666666666667</v>
      </c>
      <c r="AT322" s="32" t="str">
        <f t="shared" si="267"/>
        <v>0.000234238773516088i</v>
      </c>
      <c r="AU322" s="32">
        <f t="shared" si="290"/>
        <v>2.3423877351608799E-4</v>
      </c>
      <c r="AV322" s="32">
        <f t="shared" si="291"/>
        <v>1.5707963267948966</v>
      </c>
      <c r="AW322" s="32" t="str">
        <f t="shared" si="268"/>
        <v>1+0.238048193016176i</v>
      </c>
      <c r="AX322" s="32">
        <f t="shared" si="292"/>
        <v>1.0279430636948073</v>
      </c>
      <c r="AY322" s="32">
        <f t="shared" si="293"/>
        <v>0.23369865919555835</v>
      </c>
      <c r="AZ322" s="32" t="str">
        <f t="shared" si="269"/>
        <v>1+8.09363856254999i</v>
      </c>
      <c r="BA322" s="32">
        <f t="shared" si="294"/>
        <v>8.1551814928422193</v>
      </c>
      <c r="BB322" s="32">
        <f t="shared" si="295"/>
        <v>1.4478655112427572</v>
      </c>
      <c r="BC322" s="59" t="str">
        <f t="shared" si="296"/>
        <v>-0.528969549776379+0.197072712757829i</v>
      </c>
      <c r="BD322" s="50">
        <f t="shared" si="297"/>
        <v>-4.9669093097256658</v>
      </c>
      <c r="BE322" s="62">
        <f t="shared" si="298"/>
        <v>159.56663624698948</v>
      </c>
      <c r="BF322" s="59" t="str">
        <f t="shared" si="299"/>
        <v>0.374131001453114+0.323186303930198i</v>
      </c>
      <c r="BG322" s="65">
        <f t="shared" si="300"/>
        <v>-6.1185723094447724</v>
      </c>
      <c r="BH322" s="62">
        <f t="shared" si="301"/>
        <v>40.82150123982386</v>
      </c>
      <c r="BI322" s="59" t="str">
        <f t="shared" si="306"/>
        <v>0.566842856366158+1.21821725199576i</v>
      </c>
      <c r="BJ322" s="65">
        <f t="shared" si="302"/>
        <v>2.5656480143114186</v>
      </c>
      <c r="BK322" s="62">
        <f t="shared" si="307"/>
        <v>65.047194870526113</v>
      </c>
      <c r="BL322" s="50">
        <f t="shared" si="303"/>
        <v>-6.1185723094447724</v>
      </c>
      <c r="BM322" s="62">
        <f t="shared" si="304"/>
        <v>40.82150123982386</v>
      </c>
    </row>
    <row r="323" spans="14:65" x14ac:dyDescent="0.3">
      <c r="N323" s="11">
        <v>5</v>
      </c>
      <c r="O323" s="51">
        <f t="shared" si="308"/>
        <v>11220.184543019639</v>
      </c>
      <c r="P323" s="49" t="str">
        <f t="shared" si="257"/>
        <v>27.9103246607183</v>
      </c>
      <c r="Q323" s="18" t="str">
        <f t="shared" si="258"/>
        <v>1+34.6303933504434i</v>
      </c>
      <c r="R323" s="18">
        <f t="shared" si="270"/>
        <v>34.644828526151407</v>
      </c>
      <c r="S323" s="18">
        <f t="shared" si="271"/>
        <v>1.5419279804079391</v>
      </c>
      <c r="T323" s="18" t="str">
        <f t="shared" si="259"/>
        <v>1+0.0310193394123996i</v>
      </c>
      <c r="U323" s="18">
        <f t="shared" si="272"/>
        <v>1.0004809840359694</v>
      </c>
      <c r="V323" s="18">
        <f t="shared" si="273"/>
        <v>3.1009396222062377E-2</v>
      </c>
      <c r="W323" s="32" t="str">
        <f t="shared" si="260"/>
        <v>1-0.409065362621431i</v>
      </c>
      <c r="X323" s="18">
        <f t="shared" si="274"/>
        <v>1.0804325387994398</v>
      </c>
      <c r="Y323" s="18">
        <f t="shared" si="275"/>
        <v>-0.38829683392127951</v>
      </c>
      <c r="Z323" s="32" t="str">
        <f t="shared" si="261"/>
        <v>0.997398914438442+0.187061357251945i</v>
      </c>
      <c r="AA323" s="18">
        <f t="shared" si="276"/>
        <v>1.014788916918155</v>
      </c>
      <c r="AB323" s="18">
        <f t="shared" si="277"/>
        <v>0.18539546775020535</v>
      </c>
      <c r="AC323" s="67" t="str">
        <f t="shared" si="278"/>
        <v>-0.421777362438821-0.74733197383113i</v>
      </c>
      <c r="AD323" s="65">
        <f t="shared" si="279"/>
        <v>-1.3288549915003187</v>
      </c>
      <c r="AE323" s="62">
        <f t="shared" si="280"/>
        <v>-119.43940568665462</v>
      </c>
      <c r="AF323" s="50" t="str">
        <f t="shared" si="262"/>
        <v>79.1527877025864</v>
      </c>
      <c r="AG323" s="50" t="str">
        <f t="shared" si="263"/>
        <v>1+34.3598836568118i</v>
      </c>
      <c r="AH323" s="50">
        <f t="shared" si="281"/>
        <v>34.374432430363754</v>
      </c>
      <c r="AI323" s="50">
        <f t="shared" si="282"/>
        <v>1.5417008324253287</v>
      </c>
      <c r="AJ323" s="50" t="str">
        <f t="shared" si="264"/>
        <v>1+0.0310193394123996i</v>
      </c>
      <c r="AK323" s="50">
        <f t="shared" si="283"/>
        <v>1.0004809840359694</v>
      </c>
      <c r="AL323" s="50">
        <f t="shared" si="284"/>
        <v>3.1009396222062377E-2</v>
      </c>
      <c r="AM323" s="50" t="str">
        <f t="shared" si="265"/>
        <v>1-0.143114935931591i</v>
      </c>
      <c r="AN323" s="50">
        <f t="shared" si="285"/>
        <v>1.0101890342340405</v>
      </c>
      <c r="AO323" s="50">
        <f t="shared" si="286"/>
        <v>-0.14214968269414049</v>
      </c>
      <c r="AP323" s="59" t="str">
        <f t="shared" si="287"/>
        <v>-0.190724219167837-2.31941697253517i</v>
      </c>
      <c r="AQ323" s="50">
        <f t="shared" si="288"/>
        <v>7.3368433452635715</v>
      </c>
      <c r="AR323" s="62">
        <f t="shared" si="289"/>
        <v>-94.700820318502082</v>
      </c>
      <c r="AS323" s="32" t="str">
        <f t="shared" si="266"/>
        <v>-0.0000166666666666667</v>
      </c>
      <c r="AT323" s="32" t="str">
        <f t="shared" si="267"/>
        <v>0.000239694895459451i</v>
      </c>
      <c r="AU323" s="32">
        <f t="shared" si="290"/>
        <v>2.3969489545945099E-4</v>
      </c>
      <c r="AV323" s="32">
        <f t="shared" si="291"/>
        <v>1.5707963267948966</v>
      </c>
      <c r="AW323" s="32" t="str">
        <f t="shared" si="268"/>
        <v>1+0.24359304773855i</v>
      </c>
      <c r="AX323" s="32">
        <f t="shared" si="292"/>
        <v>1.0292412607870691</v>
      </c>
      <c r="AY323" s="32">
        <f t="shared" si="293"/>
        <v>0.2389395596592534</v>
      </c>
      <c r="AZ323" s="32" t="str">
        <f t="shared" si="269"/>
        <v>1+8.28216362311069i</v>
      </c>
      <c r="BA323" s="32">
        <f t="shared" si="294"/>
        <v>8.3423158822941961</v>
      </c>
      <c r="BB323" s="32">
        <f t="shared" si="295"/>
        <v>1.4506365932835119</v>
      </c>
      <c r="BC323" s="59" t="str">
        <f t="shared" si="296"/>
        <v>-0.527635997224756+0.198061300042545i</v>
      </c>
      <c r="BD323" s="50">
        <f t="shared" si="297"/>
        <v>-4.9808118699662387</v>
      </c>
      <c r="BE323" s="62">
        <f t="shared" si="298"/>
        <v>159.4251260751914</v>
      </c>
      <c r="BF323" s="59" t="str">
        <f t="shared" si="299"/>
        <v>0.370562461537589+0.310781478537185i</v>
      </c>
      <c r="BG323" s="65">
        <f t="shared" si="300"/>
        <v>-6.3096668614665656</v>
      </c>
      <c r="BH323" s="62">
        <f t="shared" si="301"/>
        <v>39.985720388536848</v>
      </c>
      <c r="BI323" s="59" t="str">
        <f t="shared" si="306"/>
        <v>0.560019704496594+1.18603280048564i</v>
      </c>
      <c r="BJ323" s="65">
        <f t="shared" si="302"/>
        <v>2.3560314752973448</v>
      </c>
      <c r="BK323" s="62">
        <f t="shared" si="307"/>
        <v>64.72430575668939</v>
      </c>
      <c r="BL323" s="50">
        <f t="shared" si="303"/>
        <v>-6.3096668614665656</v>
      </c>
      <c r="BM323" s="62">
        <f t="shared" si="304"/>
        <v>39.985720388536848</v>
      </c>
    </row>
    <row r="324" spans="14:65" x14ac:dyDescent="0.3">
      <c r="N324" s="11">
        <v>6</v>
      </c>
      <c r="O324" s="51">
        <f t="shared" si="308"/>
        <v>11481.536214968832</v>
      </c>
      <c r="P324" s="49" t="str">
        <f t="shared" si="257"/>
        <v>27.9103246607183</v>
      </c>
      <c r="Q324" s="18" t="str">
        <f t="shared" si="258"/>
        <v>1+35.4370388354348i</v>
      </c>
      <c r="R324" s="18">
        <f t="shared" si="270"/>
        <v>35.451145558699707</v>
      </c>
      <c r="S324" s="18">
        <f t="shared" si="271"/>
        <v>1.5425847515302316</v>
      </c>
      <c r="T324" s="18" t="str">
        <f t="shared" si="259"/>
        <v>1+0.0317418726458867i</v>
      </c>
      <c r="U324" s="18">
        <f t="shared" si="272"/>
        <v>1.0005036464096808</v>
      </c>
      <c r="V324" s="18">
        <f t="shared" si="273"/>
        <v>3.1731218615129703E-2</v>
      </c>
      <c r="W324" s="32" t="str">
        <f t="shared" si="260"/>
        <v>1-0.418593718955296i</v>
      </c>
      <c r="X324" s="18">
        <f t="shared" si="274"/>
        <v>1.0840759666872177</v>
      </c>
      <c r="Y324" s="18">
        <f t="shared" si="275"/>
        <v>-0.39643198099553834</v>
      </c>
      <c r="Z324" s="32" t="str">
        <f t="shared" si="261"/>
        <v>0.997276329052569+0.191418576002442i</v>
      </c>
      <c r="AA324" s="18">
        <f t="shared" si="276"/>
        <v>1.0154807470983243</v>
      </c>
      <c r="AB324" s="18">
        <f t="shared" si="277"/>
        <v>0.18963499732923217</v>
      </c>
      <c r="AC324" s="67" t="str">
        <f t="shared" si="278"/>
        <v>-0.422284807859772-0.727171544115225i</v>
      </c>
      <c r="AD324" s="65">
        <f t="shared" si="279"/>
        <v>-1.5051737330177937</v>
      </c>
      <c r="AE324" s="62">
        <f t="shared" si="280"/>
        <v>-120.14469526845957</v>
      </c>
      <c r="AF324" s="50" t="str">
        <f t="shared" si="262"/>
        <v>79.1527877025864</v>
      </c>
      <c r="AG324" s="50" t="str">
        <f t="shared" si="263"/>
        <v>1+35.1602281615975i</v>
      </c>
      <c r="AH324" s="50">
        <f t="shared" si="281"/>
        <v>35.174445900050713</v>
      </c>
      <c r="AI324" s="50">
        <f t="shared" si="282"/>
        <v>1.5423627656773009</v>
      </c>
      <c r="AJ324" s="50" t="str">
        <f t="shared" si="264"/>
        <v>1+0.0317418726458867i</v>
      </c>
      <c r="AK324" s="50">
        <f t="shared" si="283"/>
        <v>1.0005036464096808</v>
      </c>
      <c r="AL324" s="50">
        <f t="shared" si="284"/>
        <v>3.1731218615129703E-2</v>
      </c>
      <c r="AM324" s="50" t="str">
        <f t="shared" si="265"/>
        <v>1-0.146448511029506i</v>
      </c>
      <c r="AN324" s="50">
        <f t="shared" si="285"/>
        <v>1.0106666940108195</v>
      </c>
      <c r="AO324" s="50">
        <f t="shared" si="286"/>
        <v>-0.14541481219663779</v>
      </c>
      <c r="AP324" s="59" t="str">
        <f t="shared" si="287"/>
        <v>-0.193746542681704-2.26717754984656i</v>
      </c>
      <c r="AQ324" s="50">
        <f t="shared" si="288"/>
        <v>7.1413116004782449</v>
      </c>
      <c r="AR324" s="62">
        <f t="shared" si="289"/>
        <v>-94.884467063535439</v>
      </c>
      <c r="AS324" s="32" t="str">
        <f t="shared" si="266"/>
        <v>-0.0000166666666666667</v>
      </c>
      <c r="AT324" s="32" t="str">
        <f t="shared" si="267"/>
        <v>0.000245278106809124i</v>
      </c>
      <c r="AU324" s="32">
        <f t="shared" si="290"/>
        <v>2.4527810680912402E-4</v>
      </c>
      <c r="AV324" s="32">
        <f t="shared" si="291"/>
        <v>1.5707963267948966</v>
      </c>
      <c r="AW324" s="32" t="str">
        <f t="shared" si="268"/>
        <v>1+0.249267058719169i</v>
      </c>
      <c r="AX324" s="32">
        <f t="shared" si="292"/>
        <v>1.0305988873283851</v>
      </c>
      <c r="AY324" s="32">
        <f t="shared" si="293"/>
        <v>0.24428871716262779</v>
      </c>
      <c r="AZ324" s="32" t="str">
        <f t="shared" si="269"/>
        <v>1+8.47507999645175i</v>
      </c>
      <c r="BA324" s="32">
        <f t="shared" si="294"/>
        <v>8.5338725644490729</v>
      </c>
      <c r="BB324" s="32">
        <f t="shared" si="295"/>
        <v>1.4533463907773205</v>
      </c>
      <c r="BC324" s="59" t="str">
        <f t="shared" si="296"/>
        <v>-0.526246783974431+0.199126066724559i</v>
      </c>
      <c r="BD324" s="50">
        <f t="shared" si="297"/>
        <v>-4.9950710347615743</v>
      </c>
      <c r="BE324" s="62">
        <f t="shared" si="298"/>
        <v>159.27390188602763</v>
      </c>
      <c r="BF324" s="59" t="str">
        <f t="shared" si="299"/>
        <v>0.367024831471154+0.298583773661706i</v>
      </c>
      <c r="BG324" s="65">
        <f t="shared" si="300"/>
        <v>-6.500244767779372</v>
      </c>
      <c r="BH324" s="62">
        <f t="shared" si="301"/>
        <v>39.129206617568116</v>
      </c>
      <c r="BI324" s="59" t="str">
        <f t="shared" si="306"/>
        <v>0.55341264305958+1.15451490732009i</v>
      </c>
      <c r="BJ324" s="65">
        <f t="shared" si="302"/>
        <v>2.1462405657166519</v>
      </c>
      <c r="BK324" s="62">
        <f t="shared" si="307"/>
        <v>64.38943482249212</v>
      </c>
      <c r="BL324" s="50">
        <f t="shared" si="303"/>
        <v>-6.500244767779372</v>
      </c>
      <c r="BM324" s="62">
        <f t="shared" si="304"/>
        <v>39.129206617568116</v>
      </c>
    </row>
    <row r="325" spans="14:65" x14ac:dyDescent="0.3">
      <c r="N325" s="11">
        <v>7</v>
      </c>
      <c r="O325" s="51">
        <f t="shared" si="308"/>
        <v>11748.975549395318</v>
      </c>
      <c r="P325" s="49" t="str">
        <f t="shared" si="257"/>
        <v>27.9103246607183</v>
      </c>
      <c r="Q325" s="18" t="str">
        <f t="shared" si="258"/>
        <v>1+36.2624735074814i</v>
      </c>
      <c r="R325" s="18">
        <f t="shared" si="270"/>
        <v>36.276259245969548</v>
      </c>
      <c r="S325" s="18">
        <f t="shared" si="271"/>
        <v>1.5432265962411711</v>
      </c>
      <c r="T325" s="18" t="str">
        <f t="shared" si="259"/>
        <v>1+0.0324812358404041i</v>
      </c>
      <c r="U325" s="18">
        <f t="shared" si="272"/>
        <v>1.0005273762779907</v>
      </c>
      <c r="V325" s="18">
        <f t="shared" si="273"/>
        <v>3.2469820165734867E-2</v>
      </c>
      <c r="W325" s="32" t="str">
        <f t="shared" si="260"/>
        <v>1-0.428344019219694i</v>
      </c>
      <c r="X325" s="18">
        <f t="shared" si="274"/>
        <v>1.0878780257001617</v>
      </c>
      <c r="Y325" s="18">
        <f t="shared" si="275"/>
        <v>-0.40469964877354758</v>
      </c>
      <c r="Z325" s="32" t="str">
        <f t="shared" si="261"/>
        <v>0.997147966395449+0.19587728741566i</v>
      </c>
      <c r="AA325" s="18">
        <f t="shared" si="276"/>
        <v>1.0162046932640572</v>
      </c>
      <c r="AB325" s="18">
        <f t="shared" si="277"/>
        <v>0.19396777671893062</v>
      </c>
      <c r="AC325" s="67" t="str">
        <f t="shared" si="278"/>
        <v>-0.422719918053538-0.707402890703303i</v>
      </c>
      <c r="AD325" s="65">
        <f t="shared" si="279"/>
        <v>-1.6805924842474158</v>
      </c>
      <c r="AE325" s="62">
        <f t="shared" si="280"/>
        <v>-120.86110395259493</v>
      </c>
      <c r="AF325" s="50" t="str">
        <f t="shared" si="262"/>
        <v>79.1527877025864</v>
      </c>
      <c r="AG325" s="50" t="str">
        <f t="shared" si="263"/>
        <v>1+35.9792150847552i</v>
      </c>
      <c r="AH325" s="50">
        <f t="shared" si="281"/>
        <v>35.993109314354541</v>
      </c>
      <c r="AI325" s="50">
        <f t="shared" si="282"/>
        <v>1.5430096555728978</v>
      </c>
      <c r="AJ325" s="50" t="str">
        <f t="shared" si="264"/>
        <v>1+0.0324812358404041i</v>
      </c>
      <c r="AK325" s="50">
        <f t="shared" si="283"/>
        <v>1.0005273762779907</v>
      </c>
      <c r="AL325" s="50">
        <f t="shared" si="284"/>
        <v>3.2469820165734867E-2</v>
      </c>
      <c r="AM325" s="50" t="str">
        <f t="shared" si="265"/>
        <v>1-0.149859735066445i</v>
      </c>
      <c r="AN325" s="50">
        <f t="shared" si="285"/>
        <v>1.0111666233584775</v>
      </c>
      <c r="AO325" s="50">
        <f t="shared" si="286"/>
        <v>-0.14875276636848719</v>
      </c>
      <c r="AP325" s="59" t="str">
        <f t="shared" si="287"/>
        <v>-0.196633054177009-2.21613248108008i</v>
      </c>
      <c r="AQ325" s="50">
        <f t="shared" si="288"/>
        <v>6.9459710358205324</v>
      </c>
      <c r="AR325" s="62">
        <f t="shared" si="289"/>
        <v>-95.070463059026352</v>
      </c>
      <c r="AS325" s="32" t="str">
        <f t="shared" si="266"/>
        <v>-0.0000166666666666667</v>
      </c>
      <c r="AT325" s="32" t="str">
        <f t="shared" si="267"/>
        <v>0.000250991367857668i</v>
      </c>
      <c r="AU325" s="32">
        <f t="shared" si="290"/>
        <v>2.5099136785766799E-4</v>
      </c>
      <c r="AV325" s="32">
        <f t="shared" si="291"/>
        <v>1.5707963267948966</v>
      </c>
      <c r="AW325" s="32" t="str">
        <f t="shared" si="268"/>
        <v>1+0.255073234393761i</v>
      </c>
      <c r="AX325" s="32">
        <f t="shared" si="292"/>
        <v>1.0320185826350678</v>
      </c>
      <c r="AY325" s="32">
        <f t="shared" si="293"/>
        <v>0.24974774290730956</v>
      </c>
      <c r="AZ325" s="32" t="str">
        <f t="shared" si="269"/>
        <v>1+8.67248996938788i</v>
      </c>
      <c r="BA325" s="32">
        <f t="shared" si="294"/>
        <v>8.729953165345929</v>
      </c>
      <c r="BB325" s="32">
        <f t="shared" si="295"/>
        <v>1.4559961812246833</v>
      </c>
      <c r="BC325" s="59" t="str">
        <f t="shared" si="296"/>
        <v>-0.524799918149893+0.2002657586269i</v>
      </c>
      <c r="BD325" s="50">
        <f t="shared" si="297"/>
        <v>-5.0097127859786204</v>
      </c>
      <c r="BE325" s="62">
        <f t="shared" si="298"/>
        <v>159.11294455983221</v>
      </c>
      <c r="BF325" s="59" t="str">
        <f t="shared" si="299"/>
        <v>0.363511954956385+0.286588654064398i</v>
      </c>
      <c r="BG325" s="65">
        <f t="shared" si="300"/>
        <v>-6.6903052702260446</v>
      </c>
      <c r="BH325" s="62">
        <f t="shared" si="301"/>
        <v>38.251840607237277</v>
      </c>
      <c r="BI325" s="59" t="str">
        <f t="shared" si="306"/>
        <v>0.547008463278874+1.12364727691426i</v>
      </c>
      <c r="BJ325" s="65">
        <f t="shared" si="302"/>
        <v>1.9362582498418965</v>
      </c>
      <c r="BK325" s="62">
        <f t="shared" si="307"/>
        <v>64.042481500805835</v>
      </c>
      <c r="BL325" s="50">
        <f t="shared" si="303"/>
        <v>-6.6903052702260446</v>
      </c>
      <c r="BM325" s="62">
        <f t="shared" si="304"/>
        <v>38.251840607237277</v>
      </c>
    </row>
    <row r="326" spans="14:65" x14ac:dyDescent="0.3">
      <c r="N326" s="11">
        <v>8</v>
      </c>
      <c r="O326" s="51">
        <f t="shared" si="308"/>
        <v>12022.644346174151</v>
      </c>
      <c r="P326" s="49" t="str">
        <f t="shared" si="257"/>
        <v>27.9103246607183</v>
      </c>
      <c r="Q326" s="18" t="str">
        <f t="shared" si="258"/>
        <v>1+37.1071350229722i</v>
      </c>
      <c r="R326" s="18">
        <f t="shared" si="270"/>
        <v>37.120607074953533</v>
      </c>
      <c r="S326" s="18">
        <f t="shared" si="271"/>
        <v>1.5438538527387697</v>
      </c>
      <c r="T326" s="18" t="str">
        <f t="shared" si="259"/>
        <v>1+0.033237821016104i</v>
      </c>
      <c r="U326" s="18">
        <f t="shared" si="272"/>
        <v>1.0005522238973328</v>
      </c>
      <c r="V326" s="18">
        <f t="shared" si="273"/>
        <v>3.3225589264905597E-2</v>
      </c>
      <c r="W326" s="32" t="str">
        <f t="shared" si="260"/>
        <v>1-0.438321433152885i</v>
      </c>
      <c r="X326" s="18">
        <f t="shared" si="274"/>
        <v>1.0918450800187722</v>
      </c>
      <c r="Y326" s="18">
        <f t="shared" si="275"/>
        <v>-0.41309969878369235</v>
      </c>
      <c r="Z326" s="32" t="str">
        <f t="shared" si="261"/>
        <v>0.997013554192674+0.200439855559407i</v>
      </c>
      <c r="AA326" s="18">
        <f t="shared" si="276"/>
        <v>1.0169622229663124</v>
      </c>
      <c r="AB326" s="18">
        <f t="shared" si="277"/>
        <v>0.19839560116678476</v>
      </c>
      <c r="AC326" s="67" t="str">
        <f t="shared" si="278"/>
        <v>-0.423083825615319-0.688016309233086i</v>
      </c>
      <c r="AD326" s="65">
        <f t="shared" si="279"/>
        <v>-1.8550843842737876</v>
      </c>
      <c r="AE326" s="62">
        <f t="shared" si="280"/>
        <v>-121.58872378947753</v>
      </c>
      <c r="AF326" s="50" t="str">
        <f t="shared" si="262"/>
        <v>79.1527877025864</v>
      </c>
      <c r="AG326" s="50" t="str">
        <f t="shared" si="263"/>
        <v>1+36.817278663992i</v>
      </c>
      <c r="AH326" s="50">
        <f t="shared" si="281"/>
        <v>36.830856740266583</v>
      </c>
      <c r="AI326" s="50">
        <f t="shared" si="282"/>
        <v>1.5436418429348511</v>
      </c>
      <c r="AJ326" s="50" t="str">
        <f t="shared" si="264"/>
        <v>1+0.033237821016104i</v>
      </c>
      <c r="AK326" s="50">
        <f t="shared" si="283"/>
        <v>1.0005522238973328</v>
      </c>
      <c r="AL326" s="50">
        <f t="shared" si="284"/>
        <v>3.3225589264905597E-2</v>
      </c>
      <c r="AM326" s="50" t="str">
        <f t="shared" si="265"/>
        <v>1-0.153350416718543i</v>
      </c>
      <c r="AN326" s="50">
        <f t="shared" si="285"/>
        <v>1.011689848870567</v>
      </c>
      <c r="AO326" s="50">
        <f t="shared" si="286"/>
        <v>-0.15216501735260066</v>
      </c>
      <c r="AP326" s="59" t="str">
        <f t="shared" si="287"/>
        <v>-0.199389847309896-2.1662552168625i</v>
      </c>
      <c r="AQ326" s="50">
        <f t="shared" si="288"/>
        <v>6.7508309533131303</v>
      </c>
      <c r="AR326" s="62">
        <f t="shared" si="289"/>
        <v>-95.258889927087978</v>
      </c>
      <c r="AS326" s="32" t="str">
        <f t="shared" si="266"/>
        <v>-0.0000166666666666667</v>
      </c>
      <c r="AT326" s="32" t="str">
        <f t="shared" si="267"/>
        <v>0.000256837707851712i</v>
      </c>
      <c r="AU326" s="32">
        <f t="shared" si="290"/>
        <v>2.5683770785171203E-4</v>
      </c>
      <c r="AV326" s="32">
        <f t="shared" si="291"/>
        <v>1.5707963267948966</v>
      </c>
      <c r="AW326" s="32" t="str">
        <f t="shared" si="268"/>
        <v>1+0.261014653273522i</v>
      </c>
      <c r="AX326" s="32">
        <f t="shared" si="292"/>
        <v>1.0335030958944909</v>
      </c>
      <c r="AY326" s="32">
        <f t="shared" si="293"/>
        <v>0.2553182293136293</v>
      </c>
      <c r="AZ326" s="32" t="str">
        <f t="shared" si="269"/>
        <v>1+8.87449821129974i</v>
      </c>
      <c r="BA326" s="32">
        <f t="shared" si="294"/>
        <v>8.9306617057395172</v>
      </c>
      <c r="BB326" s="32">
        <f t="shared" si="295"/>
        <v>1.4585872206576047</v>
      </c>
      <c r="BC326" s="59" t="str">
        <f t="shared" si="296"/>
        <v>-0.523293366472794+0.201479058010105i</v>
      </c>
      <c r="BD326" s="50">
        <f t="shared" si="297"/>
        <v>-5.0247635825835504</v>
      </c>
      <c r="BE326" s="62">
        <f t="shared" si="298"/>
        <v>158.94223482297349</v>
      </c>
      <c r="BF326" s="59" t="str">
        <f t="shared" si="299"/>
        <v>0.3600178372863+0.274791840002482i</v>
      </c>
      <c r="BG326" s="65">
        <f t="shared" si="300"/>
        <v>-6.8798479668573433</v>
      </c>
      <c r="BH326" s="62">
        <f t="shared" si="301"/>
        <v>37.353511033495892</v>
      </c>
      <c r="BI326" s="59" t="str">
        <f t="shared" si="306"/>
        <v>0.540794444942224+1.09341410645845i</v>
      </c>
      <c r="BJ326" s="65">
        <f t="shared" si="302"/>
        <v>1.7260673707295577</v>
      </c>
      <c r="BK326" s="62">
        <f t="shared" si="307"/>
        <v>63.683344895885426</v>
      </c>
      <c r="BL326" s="50">
        <f t="shared" si="303"/>
        <v>-6.8798479668573433</v>
      </c>
      <c r="BM326" s="62">
        <f t="shared" si="304"/>
        <v>37.353511033495892</v>
      </c>
    </row>
    <row r="327" spans="14:65" x14ac:dyDescent="0.3">
      <c r="N327" s="11">
        <v>9</v>
      </c>
      <c r="O327" s="51">
        <f t="shared" si="308"/>
        <v>12302.687708123816</v>
      </c>
      <c r="P327" s="49" t="str">
        <f t="shared" si="257"/>
        <v>27.9103246607183</v>
      </c>
      <c r="Q327" s="18" t="str">
        <f t="shared" si="258"/>
        <v>1+37.9714712326232i</v>
      </c>
      <c r="R327" s="18">
        <f t="shared" si="270"/>
        <v>37.984636730788033</v>
      </c>
      <c r="S327" s="18">
        <f t="shared" si="271"/>
        <v>1.5444668516272386</v>
      </c>
      <c r="T327" s="18" t="str">
        <f t="shared" si="259"/>
        <v>1+0.0340120293244611i</v>
      </c>
      <c r="U327" s="18">
        <f t="shared" si="272"/>
        <v>1.0005782418875437</v>
      </c>
      <c r="V327" s="18">
        <f t="shared" si="273"/>
        <v>3.3998923175964375E-2</v>
      </c>
      <c r="W327" s="32" t="str">
        <f t="shared" si="260"/>
        <v>1-0.448531250911804i</v>
      </c>
      <c r="X327" s="18">
        <f t="shared" si="274"/>
        <v>1.0959837056473549</v>
      </c>
      <c r="Y327" s="18">
        <f t="shared" si="275"/>
        <v>-0.42163184207665105</v>
      </c>
      <c r="Z327" s="32" t="str">
        <f t="shared" si="261"/>
        <v>0.996872807337942+0.205108699567708i</v>
      </c>
      <c r="AA327" s="18">
        <f t="shared" si="276"/>
        <v>1.0177548686438136</v>
      </c>
      <c r="AB327" s="18">
        <f t="shared" si="277"/>
        <v>0.20292028273718041</v>
      </c>
      <c r="AC327" s="67" t="str">
        <f t="shared" si="278"/>
        <v>-0.423377532799592-0.669002323995748i</v>
      </c>
      <c r="AD327" s="65">
        <f t="shared" si="279"/>
        <v>-2.0286225102341646</v>
      </c>
      <c r="AE327" s="62">
        <f t="shared" si="280"/>
        <v>-122.32763822788674</v>
      </c>
      <c r="AF327" s="50" t="str">
        <f t="shared" si="262"/>
        <v>79.1527877025864</v>
      </c>
      <c r="AG327" s="50" t="str">
        <f t="shared" si="263"/>
        <v>1+37.6748632517107i</v>
      </c>
      <c r="AH327" s="50">
        <f t="shared" si="281"/>
        <v>37.688132363319632</v>
      </c>
      <c r="AI327" s="50">
        <f t="shared" si="282"/>
        <v>1.5442596609348263</v>
      </c>
      <c r="AJ327" s="50" t="str">
        <f t="shared" si="264"/>
        <v>1+0.0340120293244611i</v>
      </c>
      <c r="AK327" s="50">
        <f t="shared" si="283"/>
        <v>1.0005782418875437</v>
      </c>
      <c r="AL327" s="50">
        <f t="shared" si="284"/>
        <v>3.3998923175964375E-2</v>
      </c>
      <c r="AM327" s="50" t="str">
        <f t="shared" si="265"/>
        <v>1-0.156922406791418i</v>
      </c>
      <c r="AN327" s="50">
        <f t="shared" si="285"/>
        <v>1.0122374433665311</v>
      </c>
      <c r="AO327" s="50">
        <f t="shared" si="286"/>
        <v>-0.15565305636236149</v>
      </c>
      <c r="AP327" s="59" t="str">
        <f t="shared" si="287"/>
        <v>-0.202022743136304-2.11751979269108i</v>
      </c>
      <c r="AQ327" s="50">
        <f t="shared" si="288"/>
        <v>6.555901026005313</v>
      </c>
      <c r="AR327" s="62">
        <f t="shared" si="289"/>
        <v>-95.449829435772017</v>
      </c>
      <c r="AS327" s="32" t="str">
        <f t="shared" si="266"/>
        <v>-0.0000166666666666667</v>
      </c>
      <c r="AT327" s="32" t="str">
        <f t="shared" si="267"/>
        <v>0.000262820226598108i</v>
      </c>
      <c r="AU327" s="32">
        <f t="shared" si="290"/>
        <v>2.6282022659810799E-4</v>
      </c>
      <c r="AV327" s="32">
        <f t="shared" si="291"/>
        <v>1.5707963267948966</v>
      </c>
      <c r="AW327" s="32" t="str">
        <f t="shared" si="268"/>
        <v>1+0.267094465577386i</v>
      </c>
      <c r="AX327" s="32">
        <f t="shared" si="292"/>
        <v>1.0350552900894086</v>
      </c>
      <c r="AY327" s="32">
        <f t="shared" si="293"/>
        <v>0.26100174651573399</v>
      </c>
      <c r="AZ327" s="32" t="str">
        <f t="shared" si="269"/>
        <v>1+9.08121182963111i</v>
      </c>
      <c r="BA327" s="32">
        <f t="shared" si="294"/>
        <v>9.1361046565060757</v>
      </c>
      <c r="BB327" s="32">
        <f t="shared" si="295"/>
        <v>1.4611207436449747</v>
      </c>
      <c r="BC327" s="59" t="str">
        <f t="shared" si="296"/>
        <v>-0.521725056265049+0.20276457828902i</v>
      </c>
      <c r="BD327" s="50">
        <f t="shared" si="297"/>
        <v>-5.0402503848594549</v>
      </c>
      <c r="BE327" s="62">
        <f t="shared" si="298"/>
        <v>158.76175344897848</v>
      </c>
      <c r="BF327" s="59" t="str">
        <f t="shared" si="299"/>
        <v>0.356536641220597+0.263189308232975i</v>
      </c>
      <c r="BG327" s="65">
        <f t="shared" si="300"/>
        <v>-7.0688728950936213</v>
      </c>
      <c r="BH327" s="62">
        <f t="shared" si="301"/>
        <v>36.434115221091695</v>
      </c>
      <c r="BI327" s="59" t="str">
        <f t="shared" si="306"/>
        <v>0.534758334813268+1.06380007666728i</v>
      </c>
      <c r="BJ327" s="65">
        <f t="shared" si="302"/>
        <v>1.5156506411458257</v>
      </c>
      <c r="BK327" s="62">
        <f t="shared" si="307"/>
        <v>63.31192401320633</v>
      </c>
      <c r="BL327" s="50">
        <f t="shared" si="303"/>
        <v>-7.0688728950936213</v>
      </c>
      <c r="BM327" s="62">
        <f t="shared" si="304"/>
        <v>36.434115221091695</v>
      </c>
    </row>
    <row r="328" spans="14:65" x14ac:dyDescent="0.3">
      <c r="N328" s="11">
        <v>10</v>
      </c>
      <c r="O328" s="51">
        <f t="shared" si="308"/>
        <v>12589.254117941671</v>
      </c>
      <c r="P328" s="49" t="str">
        <f t="shared" si="257"/>
        <v>27.9103246607183</v>
      </c>
      <c r="Q328" s="18" t="str">
        <f t="shared" si="258"/>
        <v>1+38.8559404189335i</v>
      </c>
      <c r="R328" s="18">
        <f t="shared" si="270"/>
        <v>38.868806334124926</v>
      </c>
      <c r="S328" s="18">
        <f t="shared" si="271"/>
        <v>1.5450659160828861</v>
      </c>
      <c r="T328" s="18" t="str">
        <f t="shared" si="259"/>
        <v>1+0.0348042712609686i</v>
      </c>
      <c r="U328" s="18">
        <f t="shared" si="272"/>
        <v>1.0006054853427535</v>
      </c>
      <c r="V328" s="18">
        <f t="shared" si="273"/>
        <v>3.4790228228762925E-2</v>
      </c>
      <c r="W328" s="32" t="str">
        <f t="shared" si="260"/>
        <v>1-0.45897888587697i</v>
      </c>
      <c r="X328" s="18">
        <f t="shared" si="274"/>
        <v>1.1003006942108438</v>
      </c>
      <c r="Y328" s="18">
        <f t="shared" si="275"/>
        <v>-0.43029563251513203</v>
      </c>
      <c r="Z328" s="32" t="str">
        <f t="shared" si="261"/>
        <v>0.996725427288303+0.209886294923454i</v>
      </c>
      <c r="AA328" s="18">
        <f t="shared" si="276"/>
        <v>1.018584230292098</v>
      </c>
      <c r="AB328" s="18">
        <f t="shared" si="277"/>
        <v>0.2075436491395018</v>
      </c>
      <c r="AC328" s="67" t="str">
        <f t="shared" si="278"/>
        <v>-0.423601915285123-0.650351685901949i</v>
      </c>
      <c r="AD328" s="65">
        <f t="shared" si="279"/>
        <v>-2.2011799412296655</v>
      </c>
      <c r="AE328" s="62">
        <f t="shared" si="280"/>
        <v>-123.07792166172534</v>
      </c>
      <c r="AF328" s="50" t="str">
        <f t="shared" si="262"/>
        <v>79.1527877025864</v>
      </c>
      <c r="AG328" s="50" t="str">
        <f t="shared" si="263"/>
        <v>1+38.5524235506112i</v>
      </c>
      <c r="AH328" s="50">
        <f t="shared" si="281"/>
        <v>38.565390723104585</v>
      </c>
      <c r="AI328" s="50">
        <f t="shared" si="282"/>
        <v>1.54486343526046</v>
      </c>
      <c r="AJ328" s="50" t="str">
        <f t="shared" si="264"/>
        <v>1+0.0348042712609686i</v>
      </c>
      <c r="AK328" s="50">
        <f t="shared" si="283"/>
        <v>1.0006054853427535</v>
      </c>
      <c r="AL328" s="50">
        <f t="shared" si="284"/>
        <v>3.4790228228762925E-2</v>
      </c>
      <c r="AM328" s="50" t="str">
        <f t="shared" si="265"/>
        <v>1-0.160577599201488i</v>
      </c>
      <c r="AN328" s="50">
        <f t="shared" si="285"/>
        <v>1.0128105278704966</v>
      </c>
      <c r="AO328" s="50">
        <f t="shared" si="286"/>
        <v>-0.1592183931323794</v>
      </c>
      <c r="AP328" s="59" t="str">
        <f t="shared" si="287"/>
        <v>-0.204537302235331-2.06990081744786i</v>
      </c>
      <c r="AQ328" s="50">
        <f t="shared" si="288"/>
        <v>6.3611913134919718</v>
      </c>
      <c r="AR328" s="62">
        <f t="shared" si="289"/>
        <v>-95.643363466041322</v>
      </c>
      <c r="AS328" s="32" t="str">
        <f t="shared" si="266"/>
        <v>-0.0000166666666666667</v>
      </c>
      <c r="AT328" s="32" t="str">
        <f t="shared" si="267"/>
        <v>0.000268942096107484i</v>
      </c>
      <c r="AU328" s="32">
        <f t="shared" si="290"/>
        <v>2.6894209610748399E-4</v>
      </c>
      <c r="AV328" s="32">
        <f t="shared" si="291"/>
        <v>1.5707963267948966</v>
      </c>
      <c r="AW328" s="32" t="str">
        <f t="shared" si="268"/>
        <v>1+0.273315894902312i</v>
      </c>
      <c r="AX328" s="32">
        <f t="shared" si="292"/>
        <v>1.0366781460059105</v>
      </c>
      <c r="AY328" s="32">
        <f t="shared" si="293"/>
        <v>0.26679983865477963</v>
      </c>
      <c r="AZ328" s="32" t="str">
        <f t="shared" si="269"/>
        <v>1+9.29274042667859i</v>
      </c>
      <c r="BA328" s="32">
        <f t="shared" si="294"/>
        <v>9.346390995332186</v>
      </c>
      <c r="BB328" s="32">
        <f t="shared" si="295"/>
        <v>1.4635979633274778</v>
      </c>
      <c r="BC328" s="59" t="str">
        <f t="shared" si="296"/>
        <v>-0.520092877789478+0.204120858655659i</v>
      </c>
      <c r="BD328" s="50">
        <f t="shared" si="297"/>
        <v>-5.0562006775085777</v>
      </c>
      <c r="BE328" s="62">
        <f t="shared" si="298"/>
        <v>158.57148147291727</v>
      </c>
      <c r="BF328" s="59" t="str">
        <f t="shared" si="299"/>
        <v>0.353062683712236+0.251777293219802i</v>
      </c>
      <c r="BG328" s="65">
        <f t="shared" si="300"/>
        <v>-7.2573806187382406</v>
      </c>
      <c r="BH328" s="62">
        <f t="shared" si="301"/>
        <v>35.493559811191851</v>
      </c>
      <c r="BI328" s="59" t="str">
        <f t="shared" si="306"/>
        <v>0.528888326324377+1.03479034312586i</v>
      </c>
      <c r="BJ328" s="65">
        <f t="shared" si="302"/>
        <v>1.3049906359833761</v>
      </c>
      <c r="BK328" s="62">
        <f t="shared" si="307"/>
        <v>62.928118006875891</v>
      </c>
      <c r="BL328" s="50">
        <f t="shared" si="303"/>
        <v>-7.2573806187382406</v>
      </c>
      <c r="BM328" s="62">
        <f t="shared" si="304"/>
        <v>35.493559811191851</v>
      </c>
    </row>
    <row r="329" spans="14:65" x14ac:dyDescent="0.3">
      <c r="N329" s="11">
        <v>11</v>
      </c>
      <c r="O329" s="51">
        <f t="shared" si="308"/>
        <v>12882.49551693136</v>
      </c>
      <c r="P329" s="49" t="str">
        <f t="shared" si="257"/>
        <v>27.9103246607183</v>
      </c>
      <c r="Q329" s="18" t="str">
        <f t="shared" si="258"/>
        <v>1+39.7610115391732i</v>
      </c>
      <c r="R329" s="18">
        <f t="shared" si="270"/>
        <v>39.773584684037019</v>
      </c>
      <c r="S329" s="18">
        <f t="shared" si="271"/>
        <v>1.5456513620167016</v>
      </c>
      <c r="T329" s="18" t="str">
        <f t="shared" si="259"/>
        <v>1+0.0356149668827876i</v>
      </c>
      <c r="U329" s="18">
        <f t="shared" si="272"/>
        <v>1.0006340119474562</v>
      </c>
      <c r="V329" s="18">
        <f t="shared" si="273"/>
        <v>3.5599920017557442E-2</v>
      </c>
      <c r="W329" s="32" t="str">
        <f t="shared" si="260"/>
        <v>1-0.469669877522732i</v>
      </c>
      <c r="X329" s="18">
        <f t="shared" si="274"/>
        <v>1.1048030565907292</v>
      </c>
      <c r="Y329" s="18">
        <f t="shared" si="275"/>
        <v>-0.43909046019963077</v>
      </c>
      <c r="Z329" s="32" t="str">
        <f t="shared" si="261"/>
        <v>0.996571101430914+0.214775174770943i</v>
      </c>
      <c r="AA329" s="18">
        <f t="shared" si="276"/>
        <v>1.0194519782241409</v>
      </c>
      <c r="AB329" s="18">
        <f t="shared" si="277"/>
        <v>0.21226754244223728</v>
      </c>
      <c r="AC329" s="67" t="str">
        <f t="shared" si="278"/>
        <v>-0.42375772581741-0.632055370614973i</v>
      </c>
      <c r="AD329" s="65">
        <f t="shared" si="279"/>
        <v>-2.3727298272767423</v>
      </c>
      <c r="AE329" s="62">
        <f t="shared" si="280"/>
        <v>-123.83963897764505</v>
      </c>
      <c r="AF329" s="50" t="str">
        <f t="shared" si="262"/>
        <v>79.1527877025864</v>
      </c>
      <c r="AG329" s="50" t="str">
        <f t="shared" si="263"/>
        <v>1+39.4504248547801i</v>
      </c>
      <c r="AH329" s="50">
        <f t="shared" si="281"/>
        <v>39.463096954276807</v>
      </c>
      <c r="AI329" s="50">
        <f t="shared" si="282"/>
        <v>1.5454534842790677</v>
      </c>
      <c r="AJ329" s="50" t="str">
        <f t="shared" si="264"/>
        <v>1+0.0356149668827876i</v>
      </c>
      <c r="AK329" s="50">
        <f t="shared" si="283"/>
        <v>1.0006340119474562</v>
      </c>
      <c r="AL329" s="50">
        <f t="shared" si="284"/>
        <v>3.5599920017557442E-2</v>
      </c>
      <c r="AM329" s="50" t="str">
        <f t="shared" si="265"/>
        <v>1-0.164317931980151i</v>
      </c>
      <c r="AN329" s="50">
        <f t="shared" si="285"/>
        <v>1.0134102736652286</v>
      </c>
      <c r="AO329" s="50">
        <f t="shared" si="286"/>
        <v>-0.16286255529634097</v>
      </c>
      <c r="AP329" s="59" t="str">
        <f t="shared" si="287"/>
        <v>-0.20693883629973-2.02337346206686i</v>
      </c>
      <c r="AQ329" s="50">
        <f t="shared" si="288"/>
        <v>6.1667122778069539</v>
      </c>
      <c r="AR329" s="62">
        <f t="shared" si="289"/>
        <v>-95.83957397416529</v>
      </c>
      <c r="AS329" s="32" t="str">
        <f t="shared" si="266"/>
        <v>-0.0000166666666666667</v>
      </c>
      <c r="AT329" s="32" t="str">
        <f t="shared" si="267"/>
        <v>0.000275206562276086i</v>
      </c>
      <c r="AU329" s="32">
        <f t="shared" si="290"/>
        <v>2.75206562276086E-4</v>
      </c>
      <c r="AV329" s="32">
        <f t="shared" si="291"/>
        <v>1.5707963267948966</v>
      </c>
      <c r="AW329" s="32" t="str">
        <f t="shared" si="268"/>
        <v>1+0.279682239932479i</v>
      </c>
      <c r="AX329" s="32">
        <f t="shared" si="292"/>
        <v>1.0383747663217018</v>
      </c>
      <c r="AY329" s="32">
        <f t="shared" si="293"/>
        <v>0.27271401996624411</v>
      </c>
      <c r="AZ329" s="32" t="str">
        <f t="shared" si="269"/>
        <v>1+9.50919615770429i</v>
      </c>
      <c r="BA329" s="32">
        <f t="shared" si="294"/>
        <v>9.5616322647180922</v>
      </c>
      <c r="BB329" s="32">
        <f t="shared" si="295"/>
        <v>1.4660200714796532</v>
      </c>
      <c r="BC329" s="59" t="str">
        <f t="shared" si="296"/>
        <v>-0.518394686951354+0.205546358623635i</v>
      </c>
      <c r="BD329" s="50">
        <f t="shared" si="297"/>
        <v>-5.0726424915214521</v>
      </c>
      <c r="BE329" s="62">
        <f t="shared" si="298"/>
        <v>158.37140041913912</v>
      </c>
      <c r="BF329" s="59" t="str">
        <f t="shared" si="299"/>
        <v>0.349590433496754+0.24055228850547i</v>
      </c>
      <c r="BG329" s="65">
        <f t="shared" si="300"/>
        <v>-7.4453723187981851</v>
      </c>
      <c r="BH329" s="62">
        <f t="shared" si="301"/>
        <v>34.531761441494083</v>
      </c>
      <c r="BI329" s="59" t="str">
        <f t="shared" si="306"/>
        <v>0.523173040525217+1.00637052819461i</v>
      </c>
      <c r="BJ329" s="65">
        <f t="shared" si="302"/>
        <v>1.0940697862855344</v>
      </c>
      <c r="BK329" s="62">
        <f t="shared" si="307"/>
        <v>62.531826444973923</v>
      </c>
      <c r="BL329" s="50">
        <f t="shared" si="303"/>
        <v>-7.4453723187981851</v>
      </c>
      <c r="BM329" s="62">
        <f t="shared" si="304"/>
        <v>34.531761441494083</v>
      </c>
    </row>
    <row r="330" spans="14:65" x14ac:dyDescent="0.3">
      <c r="N330" s="11">
        <v>12</v>
      </c>
      <c r="O330" s="51">
        <f t="shared" si="308"/>
        <v>13182.567385564091</v>
      </c>
      <c r="P330" s="49" t="str">
        <f t="shared" si="257"/>
        <v>27.9103246607183</v>
      </c>
      <c r="Q330" s="18" t="str">
        <f t="shared" si="258"/>
        <v>1+40.6871644740302i</v>
      </c>
      <c r="R330" s="18">
        <f t="shared" si="270"/>
        <v>40.699451506584033</v>
      </c>
      <c r="S330" s="18">
        <f t="shared" si="271"/>
        <v>1.5462234982336709</v>
      </c>
      <c r="T330" s="18" t="str">
        <f t="shared" si="259"/>
        <v>1+0.0364445460314677i</v>
      </c>
      <c r="U330" s="18">
        <f t="shared" si="272"/>
        <v>1.0006638820979998</v>
      </c>
      <c r="V330" s="18">
        <f t="shared" si="273"/>
        <v>3.6428423602549553E-2</v>
      </c>
      <c r="W330" s="32" t="str">
        <f t="shared" si="260"/>
        <v>1-0.480609894354371i</v>
      </c>
      <c r="X330" s="18">
        <f t="shared" si="274"/>
        <v>1.1094980263845986</v>
      </c>
      <c r="Y330" s="18">
        <f t="shared" si="275"/>
        <v>-0.44801554507484015</v>
      </c>
      <c r="Z330" s="32" t="str">
        <f t="shared" si="261"/>
        <v>0.996409502419939+0.21977793125898i</v>
      </c>
      <c r="AA330" s="18">
        <f t="shared" si="276"/>
        <v>1.0203598559239908</v>
      </c>
      <c r="AB330" s="18">
        <f t="shared" si="277"/>
        <v>0.21709381766691283</v>
      </c>
      <c r="AC330" s="67" t="str">
        <f t="shared" si="278"/>
        <v>-0.423845597745565-0.614104576854762i</v>
      </c>
      <c r="AD330" s="65">
        <f t="shared" si="279"/>
        <v>-2.5432454633417523</v>
      </c>
      <c r="AE330" s="62">
        <f t="shared" si="280"/>
        <v>-124.61284510574058</v>
      </c>
      <c r="AF330" s="50" t="str">
        <f t="shared" si="262"/>
        <v>79.1527877025864</v>
      </c>
      <c r="AG330" s="50" t="str">
        <f t="shared" si="263"/>
        <v>1+40.3693432963949i</v>
      </c>
      <c r="AH330" s="50">
        <f t="shared" si="281"/>
        <v>40.381727033179047</v>
      </c>
      <c r="AI330" s="50">
        <f t="shared" si="282"/>
        <v>1.5460301191980661</v>
      </c>
      <c r="AJ330" s="50" t="str">
        <f t="shared" si="264"/>
        <v>1+0.0364445460314677i</v>
      </c>
      <c r="AK330" s="50">
        <f t="shared" si="283"/>
        <v>1.0006638820979998</v>
      </c>
      <c r="AL330" s="50">
        <f t="shared" si="284"/>
        <v>3.6428423602549553E-2</v>
      </c>
      <c r="AM330" s="50" t="str">
        <f t="shared" si="265"/>
        <v>1-0.168145388301354i</v>
      </c>
      <c r="AN330" s="50">
        <f t="shared" si="285"/>
        <v>1.0140379044232091</v>
      </c>
      <c r="AO330" s="50">
        <f t="shared" si="286"/>
        <v>-0.16658708768717476</v>
      </c>
      <c r="AP330" s="59" t="str">
        <f t="shared" si="287"/>
        <v>-0.209232419216403-1.97791344835791i</v>
      </c>
      <c r="AQ330" s="50">
        <f t="shared" si="288"/>
        <v>5.9724747996850169</v>
      </c>
      <c r="AR330" s="62">
        <f t="shared" si="289"/>
        <v>-96.038542949266798</v>
      </c>
      <c r="AS330" s="32" t="str">
        <f t="shared" si="266"/>
        <v>-0.0000166666666666667</v>
      </c>
      <c r="AT330" s="32" t="str">
        <f t="shared" si="267"/>
        <v>0.000281616946606796i</v>
      </c>
      <c r="AU330" s="32">
        <f t="shared" si="290"/>
        <v>2.8161694660679598E-4</v>
      </c>
      <c r="AV330" s="32">
        <f t="shared" si="291"/>
        <v>1.5707963267948966</v>
      </c>
      <c r="AW330" s="32" t="str">
        <f t="shared" si="268"/>
        <v>1+0.28619687618829i</v>
      </c>
      <c r="AX330" s="32">
        <f t="shared" si="292"/>
        <v>1.0401483797708553</v>
      </c>
      <c r="AY330" s="32">
        <f t="shared" si="293"/>
        <v>0.2787457706580968</v>
      </c>
      <c r="AZ330" s="32" t="str">
        <f t="shared" si="269"/>
        <v>1+9.73069379040187i</v>
      </c>
      <c r="BA330" s="32">
        <f t="shared" si="294"/>
        <v>9.7819426313266398</v>
      </c>
      <c r="BB330" s="32">
        <f t="shared" si="295"/>
        <v>1.4683882385968619</v>
      </c>
      <c r="BC330" s="59" t="str">
        <f t="shared" si="296"/>
        <v>-0.516628308384424+0.207039452512297i</v>
      </c>
      <c r="BD330" s="50">
        <f t="shared" si="297"/>
        <v>-5.0896044246870726</v>
      </c>
      <c r="BE330" s="62">
        <f t="shared" si="298"/>
        <v>158.16149254241856</v>
      </c>
      <c r="BF330" s="59" t="str">
        <f t="shared" si="299"/>
        <v>0.346114509556782+0.229511048204619i</v>
      </c>
      <c r="BG330" s="65">
        <f t="shared" si="300"/>
        <v>-7.6328498880288294</v>
      </c>
      <c r="BH330" s="62">
        <f t="shared" si="301"/>
        <v>33.548647436677953</v>
      </c>
      <c r="BI330" s="59" t="str">
        <f t="shared" si="306"/>
        <v>0.517601508263682+0.978526713433562i</v>
      </c>
      <c r="BJ330" s="65">
        <f t="shared" si="302"/>
        <v>0.88287037499794174</v>
      </c>
      <c r="BK330" s="62">
        <f t="shared" si="307"/>
        <v>62.122949593151766</v>
      </c>
      <c r="BL330" s="50">
        <f t="shared" si="303"/>
        <v>-7.6328498880288294</v>
      </c>
      <c r="BM330" s="62">
        <f t="shared" si="304"/>
        <v>33.548647436677953</v>
      </c>
    </row>
    <row r="331" spans="14:65" x14ac:dyDescent="0.3">
      <c r="N331" s="11">
        <v>13</v>
      </c>
      <c r="O331" s="51">
        <f t="shared" si="308"/>
        <v>13489.628825916556</v>
      </c>
      <c r="P331" s="49" t="str">
        <f t="shared" si="257"/>
        <v>27.9103246607183</v>
      </c>
      <c r="Q331" s="18" t="str">
        <f t="shared" si="258"/>
        <v>1+41.6348902820495i</v>
      </c>
      <c r="R331" s="18">
        <f t="shared" si="270"/>
        <v>41.646897709172769</v>
      </c>
      <c r="S331" s="18">
        <f t="shared" si="271"/>
        <v>1.5467826265888667</v>
      </c>
      <c r="T331" s="18" t="str">
        <f t="shared" si="259"/>
        <v>1+0.0372934485608543i</v>
      </c>
      <c r="U331" s="18">
        <f t="shared" si="272"/>
        <v>1.0006951590297422</v>
      </c>
      <c r="V331" s="18">
        <f t="shared" si="273"/>
        <v>3.7276173715108968E-2</v>
      </c>
      <c r="W331" s="32" t="str">
        <f t="shared" si="260"/>
        <v>1-0.491804736913622i</v>
      </c>
      <c r="X331" s="18">
        <f t="shared" si="274"/>
        <v>1.1143930631741554</v>
      </c>
      <c r="Y331" s="18">
        <f t="shared" si="275"/>
        <v>-0.45706993076385843</v>
      </c>
      <c r="Z331" s="32" t="str">
        <f t="shared" si="261"/>
        <v>0.996240287482211+0.224897216915275i</v>
      </c>
      <c r="AA331" s="18">
        <f t="shared" si="276"/>
        <v>1.0213096829947685</v>
      </c>
      <c r="AB331" s="18">
        <f t="shared" si="277"/>
        <v>0.22202434125559253</v>
      </c>
      <c r="AC331" s="67" t="str">
        <f t="shared" si="278"/>
        <v>-0.423866048471006-0.596490724876053i</v>
      </c>
      <c r="AD331" s="65">
        <f t="shared" si="279"/>
        <v>-2.712700368467353</v>
      </c>
      <c r="AE331" s="62">
        <f t="shared" si="280"/>
        <v>-125.39758457565337</v>
      </c>
      <c r="AF331" s="50" t="str">
        <f t="shared" si="262"/>
        <v>79.1527877025864</v>
      </c>
      <c r="AG331" s="50" t="str">
        <f t="shared" si="263"/>
        <v>1+41.3096660981769i</v>
      </c>
      <c r="AH331" s="50">
        <f t="shared" si="281"/>
        <v>41.321768030214606</v>
      </c>
      <c r="AI331" s="50">
        <f t="shared" si="282"/>
        <v>1.5465936442221586</v>
      </c>
      <c r="AJ331" s="50" t="str">
        <f t="shared" si="264"/>
        <v>1+0.0372934485608543i</v>
      </c>
      <c r="AK331" s="50">
        <f t="shared" si="283"/>
        <v>1.0006951590297422</v>
      </c>
      <c r="AL331" s="50">
        <f t="shared" si="284"/>
        <v>3.7276173715108968E-2</v>
      </c>
      <c r="AM331" s="50" t="str">
        <f t="shared" si="265"/>
        <v>1-0.172061997533102i</v>
      </c>
      <c r="AN331" s="50">
        <f t="shared" si="285"/>
        <v>1.0146946984167609</v>
      </c>
      <c r="AO331" s="50">
        <f t="shared" si="286"/>
        <v>-0.17039355155456234</v>
      </c>
      <c r="AP331" s="59" t="str">
        <f t="shared" si="287"/>
        <v>-0.211422897658828-1.93349703799071i</v>
      </c>
      <c r="AQ331" s="50">
        <f t="shared" si="288"/>
        <v>5.7784901951865155</v>
      </c>
      <c r="AR331" s="62">
        <f t="shared" si="289"/>
        <v>-96.240352365736257</v>
      </c>
      <c r="AS331" s="32" t="str">
        <f t="shared" si="266"/>
        <v>-0.0000166666666666667</v>
      </c>
      <c r="AT331" s="32" t="str">
        <f t="shared" si="267"/>
        <v>0.000288176647970237i</v>
      </c>
      <c r="AU331" s="32">
        <f t="shared" si="290"/>
        <v>2.88176647970237E-4</v>
      </c>
      <c r="AV331" s="32">
        <f t="shared" si="291"/>
        <v>1.5707963267948966</v>
      </c>
      <c r="AW331" s="32" t="str">
        <f t="shared" si="268"/>
        <v>1+0.29286325781612i</v>
      </c>
      <c r="AX331" s="32">
        <f t="shared" si="292"/>
        <v>1.0420023453806</v>
      </c>
      <c r="AY331" s="32">
        <f t="shared" si="293"/>
        <v>0.28489653257738229</v>
      </c>
      <c r="AZ331" s="32" t="str">
        <f t="shared" si="269"/>
        <v>1+9.95735076574808i</v>
      </c>
      <c r="BA331" s="32">
        <f t="shared" si="294"/>
        <v>10.007438946710787</v>
      </c>
      <c r="BB331" s="32">
        <f t="shared" si="295"/>
        <v>1.4707036140050656</v>
      </c>
      <c r="BC331" s="59" t="str">
        <f t="shared" si="296"/>
        <v>-0.514791538945018+0.208598423891459i</v>
      </c>
      <c r="BD331" s="50">
        <f t="shared" si="297"/>
        <v>-5.1071156606096935</v>
      </c>
      <c r="BE331" s="62">
        <f t="shared" si="298"/>
        <v>157.94174108253216</v>
      </c>
      <c r="BF331" s="59" t="str">
        <f t="shared" si="299"/>
        <v>0.342629680473951+0.21865058857322i</v>
      </c>
      <c r="BG331" s="65">
        <f t="shared" si="300"/>
        <v>-7.8198160290770504</v>
      </c>
      <c r="BH331" s="62">
        <f t="shared" si="301"/>
        <v>32.544156506878785</v>
      </c>
      <c r="BI331" s="59" t="str">
        <f t="shared" si="306"/>
        <v>0.51216315357767+0.951245432506675i</v>
      </c>
      <c r="BJ331" s="65">
        <f t="shared" si="302"/>
        <v>0.67137453457682839</v>
      </c>
      <c r="BK331" s="62">
        <f t="shared" si="307"/>
        <v>61.70138871679589</v>
      </c>
      <c r="BL331" s="50">
        <f t="shared" si="303"/>
        <v>-7.8198160290770504</v>
      </c>
      <c r="BM331" s="62">
        <f t="shared" si="304"/>
        <v>32.544156506878785</v>
      </c>
    </row>
    <row r="332" spans="14:65" x14ac:dyDescent="0.3">
      <c r="N332" s="11">
        <v>14</v>
      </c>
      <c r="O332" s="51">
        <f t="shared" si="308"/>
        <v>13803.842646028841</v>
      </c>
      <c r="P332" s="49" t="str">
        <f t="shared" si="257"/>
        <v>27.9103246607183</v>
      </c>
      <c r="Q332" s="18" t="str">
        <f t="shared" si="258"/>
        <v>1+42.6046914599993i</v>
      </c>
      <c r="R332" s="18">
        <f t="shared" si="270"/>
        <v>42.616425640845776</v>
      </c>
      <c r="S332" s="18">
        <f t="shared" si="271"/>
        <v>1.5473290421403652</v>
      </c>
      <c r="T332" s="18" t="str">
        <f t="shared" si="259"/>
        <v>1+0.0381621245703049i</v>
      </c>
      <c r="U332" s="18">
        <f t="shared" si="272"/>
        <v>1.00072790895014</v>
      </c>
      <c r="V332" s="18">
        <f t="shared" si="273"/>
        <v>3.8143614966693759E-2</v>
      </c>
      <c r="W332" s="32" t="str">
        <f t="shared" si="260"/>
        <v>1-0.503260340854188i</v>
      </c>
      <c r="X332" s="18">
        <f t="shared" si="274"/>
        <v>1.1194958555870913</v>
      </c>
      <c r="Y332" s="18">
        <f t="shared" si="275"/>
        <v>-0.46625247867959618</v>
      </c>
      <c r="Z332" s="32" t="str">
        <f t="shared" si="261"/>
        <v>0.996063097690159+0.230135746052845i</v>
      </c>
      <c r="AA332" s="18">
        <f t="shared" si="276"/>
        <v>1.0223033582021606</v>
      </c>
      <c r="AB332" s="18">
        <f t="shared" si="277"/>
        <v>0.22706098940554809</v>
      </c>
      <c r="AC332" s="67" t="str">
        <f t="shared" si="278"/>
        <v>-0.423819482825776-0.579205455123189i</v>
      </c>
      <c r="AD332" s="65">
        <f t="shared" si="279"/>
        <v>-2.881068369960845</v>
      </c>
      <c r="AE332" s="62">
        <f t="shared" si="280"/>
        <v>-126.19389108055651</v>
      </c>
      <c r="AF332" s="50" t="str">
        <f t="shared" si="262"/>
        <v>79.1527877025864</v>
      </c>
      <c r="AG332" s="50" t="str">
        <f t="shared" si="263"/>
        <v>1+42.2718918317222i</v>
      </c>
      <c r="AH332" s="50">
        <f t="shared" si="281"/>
        <v>42.283718368100295</v>
      </c>
      <c r="AI332" s="50">
        <f t="shared" si="282"/>
        <v>1.5471443567073255</v>
      </c>
      <c r="AJ332" s="50" t="str">
        <f t="shared" si="264"/>
        <v>1+0.0381621245703049i</v>
      </c>
      <c r="AK332" s="50">
        <f t="shared" si="283"/>
        <v>1.00072790895014</v>
      </c>
      <c r="AL332" s="50">
        <f t="shared" si="284"/>
        <v>3.8143614966693759E-2</v>
      </c>
      <c r="AM332" s="50" t="str">
        <f t="shared" si="265"/>
        <v>1-0.176069836313451i</v>
      </c>
      <c r="AN332" s="50">
        <f t="shared" si="285"/>
        <v>1.0153819908090971</v>
      </c>
      <c r="AO332" s="50">
        <f t="shared" si="286"/>
        <v>-0.17428352369460925</v>
      </c>
      <c r="AP332" s="59" t="str">
        <f t="shared" si="287"/>
        <v>-0.213514901212434-1.89010102164186i</v>
      </c>
      <c r="AQ332" s="50">
        <f t="shared" si="288"/>
        <v>5.584770232674888</v>
      </c>
      <c r="AR332" s="62">
        <f t="shared" si="289"/>
        <v>-96.445084130218291</v>
      </c>
      <c r="AS332" s="32" t="str">
        <f t="shared" si="266"/>
        <v>-0.0000166666666666667</v>
      </c>
      <c r="AT332" s="32" t="str">
        <f t="shared" si="267"/>
        <v>0.000294889144406901i</v>
      </c>
      <c r="AU332" s="32">
        <f t="shared" si="290"/>
        <v>2.9488914440690099E-4</v>
      </c>
      <c r="AV332" s="32">
        <f t="shared" si="291"/>
        <v>1.5707963267948966</v>
      </c>
      <c r="AW332" s="32" t="str">
        <f t="shared" si="268"/>
        <v>1+0.299684919419747i</v>
      </c>
      <c r="AX332" s="32">
        <f t="shared" si="292"/>
        <v>1.0439401567750999</v>
      </c>
      <c r="AY332" s="32">
        <f t="shared" si="293"/>
        <v>0.29116770466369141</v>
      </c>
      <c r="AZ332" s="32" t="str">
        <f t="shared" si="269"/>
        <v>1+10.1892872602714i</v>
      </c>
      <c r="BA332" s="32">
        <f t="shared" si="294"/>
        <v>10.238240809452034</v>
      </c>
      <c r="BB332" s="32">
        <f t="shared" si="295"/>
        <v>1.4729673259914282</v>
      </c>
      <c r="BC332" s="59" t="str">
        <f t="shared" si="296"/>
        <v>-0.512882151637609+0.210221460010569i</v>
      </c>
      <c r="BD332" s="50">
        <f t="shared" si="297"/>
        <v>-5.125205986089874</v>
      </c>
      <c r="BE332" s="62">
        <f t="shared" si="298"/>
        <v>157.71213053223806</v>
      </c>
      <c r="BF332" s="59" t="str">
        <f t="shared" si="299"/>
        <v>0.339130864679706+0.207968189603263i</v>
      </c>
      <c r="BG332" s="65">
        <f t="shared" si="300"/>
        <v>-8.0062743560507084</v>
      </c>
      <c r="BH332" s="62">
        <f t="shared" si="301"/>
        <v>31.518239451681556</v>
      </c>
      <c r="BI332" s="59" t="str">
        <f t="shared" si="306"/>
        <v>0.506847778277544+0.92451366452523i</v>
      </c>
      <c r="BJ332" s="65">
        <f t="shared" si="302"/>
        <v>0.45956424658501466</v>
      </c>
      <c r="BK332" s="62">
        <f t="shared" si="307"/>
        <v>61.267046402019815</v>
      </c>
      <c r="BL332" s="50">
        <f t="shared" si="303"/>
        <v>-8.0062743560507084</v>
      </c>
      <c r="BM332" s="62">
        <f t="shared" si="304"/>
        <v>31.518239451681556</v>
      </c>
    </row>
    <row r="333" spans="14:65" x14ac:dyDescent="0.3">
      <c r="N333" s="11">
        <v>15</v>
      </c>
      <c r="O333" s="51">
        <f t="shared" si="308"/>
        <v>14125.375446227561</v>
      </c>
      <c r="P333" s="49" t="str">
        <f t="shared" si="257"/>
        <v>27.9103246607183</v>
      </c>
      <c r="Q333" s="18" t="str">
        <f t="shared" si="258"/>
        <v>1+43.597082209301i</v>
      </c>
      <c r="R333" s="18">
        <f t="shared" si="270"/>
        <v>43.608549358635507</v>
      </c>
      <c r="S333" s="18">
        <f t="shared" si="271"/>
        <v>1.5478630332990304</v>
      </c>
      <c r="T333" s="18" t="str">
        <f t="shared" si="259"/>
        <v>1+0.0390510346433383i</v>
      </c>
      <c r="U333" s="18">
        <f t="shared" si="272"/>
        <v>1.0007622011780397</v>
      </c>
      <c r="V333" s="18">
        <f t="shared" si="273"/>
        <v>3.9031202061478178E-2</v>
      </c>
      <c r="W333" s="32" t="str">
        <f t="shared" si="260"/>
        <v>1-0.514982780088915i</v>
      </c>
      <c r="X333" s="18">
        <f t="shared" si="274"/>
        <v>1.1248143241389255</v>
      </c>
      <c r="Y333" s="18">
        <f t="shared" si="275"/>
        <v>-0.47556186246482696</v>
      </c>
      <c r="Z333" s="32" t="str">
        <f t="shared" si="261"/>
        <v>0.995877557200478+0.23549629620918i</v>
      </c>
      <c r="AA333" s="18">
        <f t="shared" si="276"/>
        <v>1.0233428626143992</v>
      </c>
      <c r="AB333" s="18">
        <f t="shared" si="277"/>
        <v>0.23220564626465146</v>
      </c>
      <c r="AC333" s="67" t="str">
        <f t="shared" si="278"/>
        <v>-0.423706196398587-0.562240627063476i</v>
      </c>
      <c r="AD333" s="65">
        <f t="shared" si="279"/>
        <v>-3.0483236925739305</v>
      </c>
      <c r="AE333" s="62">
        <f t="shared" si="280"/>
        <v>-127.00178705159476</v>
      </c>
      <c r="AF333" s="50" t="str">
        <f t="shared" si="262"/>
        <v>79.1527877025864</v>
      </c>
      <c r="AG333" s="50" t="str">
        <f t="shared" si="263"/>
        <v>1+43.2565306818515i</v>
      </c>
      <c r="AH333" s="50">
        <f t="shared" si="281"/>
        <v>43.26808808613989</v>
      </c>
      <c r="AI333" s="50">
        <f t="shared" si="282"/>
        <v>1.5476825473116713</v>
      </c>
      <c r="AJ333" s="50" t="str">
        <f t="shared" si="264"/>
        <v>1+0.0390510346433383i</v>
      </c>
      <c r="AK333" s="50">
        <f t="shared" si="283"/>
        <v>1.0007622011780397</v>
      </c>
      <c r="AL333" s="50">
        <f t="shared" si="284"/>
        <v>3.9031202061478178E-2</v>
      </c>
      <c r="AM333" s="50" t="str">
        <f t="shared" si="265"/>
        <v>1-0.180171029651574i</v>
      </c>
      <c r="AN333" s="50">
        <f t="shared" si="285"/>
        <v>1.01610117602811</v>
      </c>
      <c r="AO333" s="50">
        <f t="shared" si="286"/>
        <v>-0.17825859548632642</v>
      </c>
      <c r="AP333" s="59" t="str">
        <f t="shared" si="287"/>
        <v>-0.215512852053129-1.84770270830738i</v>
      </c>
      <c r="AQ333" s="50">
        <f t="shared" si="288"/>
        <v>5.391327150135683</v>
      </c>
      <c r="AR333" s="62">
        <f t="shared" si="289"/>
        <v>-96.652820022866351</v>
      </c>
      <c r="AS333" s="32" t="str">
        <f t="shared" si="266"/>
        <v>-0.0000166666666666667</v>
      </c>
      <c r="AT333" s="32" t="str">
        <f t="shared" si="267"/>
        <v>0.00030175799497125i</v>
      </c>
      <c r="AU333" s="32">
        <f t="shared" si="290"/>
        <v>3.0175799497125002E-4</v>
      </c>
      <c r="AV333" s="32">
        <f t="shared" si="291"/>
        <v>1.5707963267948966</v>
      </c>
      <c r="AW333" s="32" t="str">
        <f t="shared" si="268"/>
        <v>1+0.30666547793445i</v>
      </c>
      <c r="AX333" s="32">
        <f t="shared" si="292"/>
        <v>1.0459654465405464</v>
      </c>
      <c r="AY333" s="32">
        <f t="shared" si="293"/>
        <v>0.2975606381890657</v>
      </c>
      <c r="AZ333" s="32" t="str">
        <f t="shared" si="269"/>
        <v>1+10.4266262497713i</v>
      </c>
      <c r="BA333" s="32">
        <f t="shared" si="294"/>
        <v>10.47447062874396</v>
      </c>
      <c r="BB333" s="32">
        <f t="shared" si="295"/>
        <v>1.4751804819538947</v>
      </c>
      <c r="BC333" s="59" t="str">
        <f t="shared" si="296"/>
        <v>-0.510897899994728+0.211906646239259i</v>
      </c>
      <c r="BD333" s="50">
        <f t="shared" si="297"/>
        <v>-5.1439058067192702</v>
      </c>
      <c r="BE333" s="62">
        <f t="shared" si="298"/>
        <v>157.4726469185801</v>
      </c>
      <c r="BF333" s="59" t="str">
        <f t="shared" si="299"/>
        <v>0.335613131615271+0.197461396588832i</v>
      </c>
      <c r="BG333" s="65">
        <f t="shared" si="300"/>
        <v>-8.1922294992931946</v>
      </c>
      <c r="BH333" s="62">
        <f t="shared" si="301"/>
        <v>30.470859866985403</v>
      </c>
      <c r="BI333" s="59" t="str">
        <f t="shared" si="306"/>
        <v>0.501645547700431+0.898318827788776i</v>
      </c>
      <c r="BJ333" s="65">
        <f t="shared" si="302"/>
        <v>0.24742134341641653</v>
      </c>
      <c r="BK333" s="62">
        <f t="shared" si="307"/>
        <v>60.819826895713746</v>
      </c>
      <c r="BL333" s="50">
        <f t="shared" si="303"/>
        <v>-8.1922294992931946</v>
      </c>
      <c r="BM333" s="62">
        <f t="shared" si="304"/>
        <v>30.470859866985403</v>
      </c>
    </row>
    <row r="334" spans="14:65" x14ac:dyDescent="0.3">
      <c r="N334" s="11">
        <v>16</v>
      </c>
      <c r="O334" s="51">
        <f t="shared" si="308"/>
        <v>14454.397707459291</v>
      </c>
      <c r="P334" s="49" t="str">
        <f t="shared" si="257"/>
        <v>27.9103246607183</v>
      </c>
      <c r="Q334" s="18" t="str">
        <f t="shared" si="258"/>
        <v>1+44.6125887086657i</v>
      </c>
      <c r="R334" s="18">
        <f t="shared" si="270"/>
        <v>44.623794900126612</v>
      </c>
      <c r="S334" s="18">
        <f t="shared" si="271"/>
        <v>1.5483848819752186</v>
      </c>
      <c r="T334" s="18" t="str">
        <f t="shared" si="259"/>
        <v>1+0.039960650091841i</v>
      </c>
      <c r="U334" s="18">
        <f t="shared" si="272"/>
        <v>1.0007981082894604</v>
      </c>
      <c r="V334" s="18">
        <f t="shared" si="273"/>
        <v>3.9939400012690481E-2</v>
      </c>
      <c r="W334" s="32" t="str">
        <f t="shared" si="260"/>
        <v>1-0.526978270010248i</v>
      </c>
      <c r="X334" s="18">
        <f t="shared" si="274"/>
        <v>1.1303566238417828</v>
      </c>
      <c r="Y334" s="18">
        <f t="shared" si="275"/>
        <v>-0.48499656281391701</v>
      </c>
      <c r="Z334" s="32" t="str">
        <f t="shared" si="261"/>
        <v>0.995683272456913+0.240981709618927i</v>
      </c>
      <c r="AA334" s="18">
        <f t="shared" si="276"/>
        <v>1.024430262839481</v>
      </c>
      <c r="AB334" s="18">
        <f t="shared" si="277"/>
        <v>0.23746020198098725</v>
      </c>
      <c r="AC334" s="67" t="str">
        <f t="shared" si="278"/>
        <v>-0.423526378827225-0.545588318200204i</v>
      </c>
      <c r="AD334" s="65">
        <f t="shared" si="279"/>
        <v>-3.2144410525569702</v>
      </c>
      <c r="AE334" s="62">
        <f t="shared" si="280"/>
        <v>-127.82128324545373</v>
      </c>
      <c r="AF334" s="50" t="str">
        <f t="shared" si="262"/>
        <v>79.1527877025864</v>
      </c>
      <c r="AG334" s="50" t="str">
        <f t="shared" si="263"/>
        <v>1+44.2641047171161i</v>
      </c>
      <c r="AH334" s="50">
        <f t="shared" si="281"/>
        <v>44.275399110655343</v>
      </c>
      <c r="AI334" s="50">
        <f t="shared" si="282"/>
        <v>1.5482085001431718</v>
      </c>
      <c r="AJ334" s="50" t="str">
        <f t="shared" si="264"/>
        <v>1+0.039960650091841i</v>
      </c>
      <c r="AK334" s="50">
        <f t="shared" si="283"/>
        <v>1.0007981082894604</v>
      </c>
      <c r="AL334" s="50">
        <f t="shared" si="284"/>
        <v>3.9939400012690481E-2</v>
      </c>
      <c r="AM334" s="50" t="str">
        <f t="shared" si="265"/>
        <v>1-0.184367752054464i</v>
      </c>
      <c r="AN334" s="50">
        <f t="shared" si="285"/>
        <v>1.01685371022464</v>
      </c>
      <c r="AO334" s="50">
        <f t="shared" si="286"/>
        <v>-0.18232037182934688</v>
      </c>
      <c r="AP334" s="59" t="str">
        <f t="shared" si="287"/>
        <v>-0.217420974198292-1.80627991478259i</v>
      </c>
      <c r="AQ334" s="50">
        <f t="shared" si="288"/>
        <v>5.1981736728218921</v>
      </c>
      <c r="AR334" s="62">
        <f t="shared" si="289"/>
        <v>-96.86364163254855</v>
      </c>
      <c r="AS334" s="32" t="str">
        <f t="shared" si="266"/>
        <v>-0.0000166666666666667</v>
      </c>
      <c r="AT334" s="32" t="str">
        <f t="shared" si="267"/>
        <v>0.000308786841618771i</v>
      </c>
      <c r="AU334" s="32">
        <f t="shared" si="290"/>
        <v>3.0878684161877101E-4</v>
      </c>
      <c r="AV334" s="32">
        <f t="shared" si="291"/>
        <v>1.5707963267948966</v>
      </c>
      <c r="AW334" s="32" t="str">
        <f t="shared" si="268"/>
        <v>1+0.313808634544751i</v>
      </c>
      <c r="AX334" s="32">
        <f t="shared" si="292"/>
        <v>1.0480819906452172</v>
      </c>
      <c r="AY334" s="32">
        <f t="shared" si="293"/>
        <v>0.30407663178504157</v>
      </c>
      <c r="AZ334" s="32" t="str">
        <f t="shared" si="269"/>
        <v>1+10.6694935745215i</v>
      </c>
      <c r="BA334" s="32">
        <f t="shared" si="294"/>
        <v>10.716253689454893</v>
      </c>
      <c r="BB334" s="32">
        <f t="shared" si="295"/>
        <v>1.4773441685680007</v>
      </c>
      <c r="BC334" s="59" t="str">
        <f t="shared" si="296"/>
        <v>-0.508836522933331+0.213651960549489i</v>
      </c>
      <c r="BD334" s="50">
        <f t="shared" si="297"/>
        <v>-5.1632461605308979</v>
      </c>
      <c r="BE334" s="62">
        <f t="shared" si="298"/>
        <v>157.22327809737362</v>
      </c>
      <c r="BF334" s="59" t="str">
        <f t="shared" si="299"/>
        <v>0.332071703809362+0.187128021605173i</v>
      </c>
      <c r="BG334" s="65">
        <f t="shared" si="300"/>
        <v>-8.3776872130878726</v>
      </c>
      <c r="BH334" s="62">
        <f t="shared" si="301"/>
        <v>29.40199485191982</v>
      </c>
      <c r="BI334" s="59" t="str">
        <f t="shared" si="306"/>
        <v>0.496546977618301+0.872648773880242i</v>
      </c>
      <c r="BJ334" s="65">
        <f t="shared" si="302"/>
        <v>3.4927512290996041E-2</v>
      </c>
      <c r="BK334" s="62">
        <f t="shared" si="307"/>
        <v>60.359636464825051</v>
      </c>
      <c r="BL334" s="50">
        <f t="shared" si="303"/>
        <v>-8.3776872130878726</v>
      </c>
      <c r="BM334" s="62">
        <f t="shared" si="304"/>
        <v>29.40199485191982</v>
      </c>
    </row>
    <row r="335" spans="14:65" x14ac:dyDescent="0.3">
      <c r="N335" s="11">
        <v>17</v>
      </c>
      <c r="O335" s="51">
        <f t="shared" si="308"/>
        <v>14791.083881682089</v>
      </c>
      <c r="P335" s="49" t="str">
        <f t="shared" si="257"/>
        <v>27.9103246607183</v>
      </c>
      <c r="Q335" s="18" t="str">
        <f t="shared" si="258"/>
        <v>1+45.6517493930811i</v>
      </c>
      <c r="R335" s="18">
        <f t="shared" si="270"/>
        <v>45.662700562370169</v>
      </c>
      <c r="S335" s="18">
        <f t="shared" si="271"/>
        <v>1.5488948637224502</v>
      </c>
      <c r="T335" s="18" t="str">
        <f t="shared" si="259"/>
        <v>1+0.0408914532059642i</v>
      </c>
      <c r="U335" s="18">
        <f t="shared" si="272"/>
        <v>1.0008357062701627</v>
      </c>
      <c r="V335" s="18">
        <f t="shared" si="273"/>
        <v>4.0868684362663638E-2</v>
      </c>
      <c r="W335" s="32" t="str">
        <f t="shared" si="260"/>
        <v>1-0.539253170785722i</v>
      </c>
      <c r="X335" s="18">
        <f t="shared" si="274"/>
        <v>1.1361311465682362</v>
      </c>
      <c r="Y335" s="18">
        <f t="shared" si="275"/>
        <v>-0.49455486273060467</v>
      </c>
      <c r="Z335" s="32" t="str">
        <f t="shared" si="261"/>
        <v>0.995479831355476+0.246594894720883i</v>
      </c>
      <c r="AA335" s="18">
        <f t="shared" si="276"/>
        <v>1.0255677143601638</v>
      </c>
      <c r="AB335" s="18">
        <f t="shared" si="277"/>
        <v>0.24282655060018773</v>
      </c>
      <c r="AC335" s="67" t="str">
        <f t="shared" si="278"/>
        <v>-0.423280117076303-0.529240823265563i</v>
      </c>
      <c r="AD335" s="65">
        <f t="shared" si="279"/>
        <v>-3.3793957564233561</v>
      </c>
      <c r="AE335" s="62">
        <f t="shared" si="280"/>
        <v>-128.65237834780021</v>
      </c>
      <c r="AF335" s="50" t="str">
        <f t="shared" si="262"/>
        <v>79.1527877025864</v>
      </c>
      <c r="AG335" s="50" t="str">
        <f t="shared" si="263"/>
        <v>1+45.2951481666063i</v>
      </c>
      <c r="AH335" s="50">
        <f t="shared" si="281"/>
        <v>45.306185531722022</v>
      </c>
      <c r="AI335" s="50">
        <f t="shared" si="282"/>
        <v>1.5487224929043737</v>
      </c>
      <c r="AJ335" s="50" t="str">
        <f t="shared" si="264"/>
        <v>1+0.0408914532059642i</v>
      </c>
      <c r="AK335" s="50">
        <f t="shared" si="283"/>
        <v>1.0008357062701627</v>
      </c>
      <c r="AL335" s="50">
        <f t="shared" si="284"/>
        <v>4.0868684362663638E-2</v>
      </c>
      <c r="AM335" s="50" t="str">
        <f t="shared" si="265"/>
        <v>1-0.188662228679888i</v>
      </c>
      <c r="AN335" s="50">
        <f t="shared" si="285"/>
        <v>1.017641113816881</v>
      </c>
      <c r="AO335" s="50">
        <f t="shared" si="286"/>
        <v>-0.1864704699771568</v>
      </c>
      <c r="AP335" s="59" t="str">
        <f t="shared" si="287"/>
        <v>-0.219243302348763-1.76581095531083i</v>
      </c>
      <c r="AQ335" s="50">
        <f t="shared" si="288"/>
        <v>5.0053230312073342</v>
      </c>
      <c r="AR335" s="62">
        <f t="shared" si="289"/>
        <v>-97.077630285679305</v>
      </c>
      <c r="AS335" s="32" t="str">
        <f t="shared" si="266"/>
        <v>-0.0000166666666666667</v>
      </c>
      <c r="AT335" s="32" t="str">
        <f t="shared" si="267"/>
        <v>0.000315979411136995i</v>
      </c>
      <c r="AU335" s="32">
        <f t="shared" si="290"/>
        <v>3.1597941113699498E-4</v>
      </c>
      <c r="AV335" s="32">
        <f t="shared" si="291"/>
        <v>1.5707963267948966</v>
      </c>
      <c r="AW335" s="32" t="str">
        <f t="shared" si="268"/>
        <v>1+0.321118176646836i</v>
      </c>
      <c r="AX335" s="32">
        <f t="shared" si="292"/>
        <v>1.0502937129074841</v>
      </c>
      <c r="AY335" s="32">
        <f t="shared" si="293"/>
        <v>0.31071692625889186</v>
      </c>
      <c r="AZ335" s="32" t="str">
        <f t="shared" si="269"/>
        <v>1+10.9180180059924i</v>
      </c>
      <c r="BA335" s="32">
        <f t="shared" si="294"/>
        <v>10.96371821870547</v>
      </c>
      <c r="BB335" s="32">
        <f t="shared" si="295"/>
        <v>1.4794594519692941</v>
      </c>
      <c r="BC335" s="59" t="str">
        <f t="shared" si="296"/>
        <v>-0.506695750108658+0.215455268072882i</v>
      </c>
      <c r="BD335" s="50">
        <f t="shared" si="297"/>
        <v>-5.183258729538557</v>
      </c>
      <c r="BE335" s="62">
        <f t="shared" si="298"/>
        <v>156.96401406066622</v>
      </c>
      <c r="BF335" s="59" t="str">
        <f t="shared" si="299"/>
        <v>0.328501959879853+0.176966144838072i</v>
      </c>
      <c r="BG335" s="65">
        <f t="shared" si="300"/>
        <v>-8.5626544859619091</v>
      </c>
      <c r="BH335" s="62">
        <f t="shared" si="301"/>
        <v>28.311635712865886</v>
      </c>
      <c r="BI335" s="59" t="str">
        <f t="shared" si="306"/>
        <v>0.491542922282433+0.84749178207057i</v>
      </c>
      <c r="BJ335" s="65">
        <f t="shared" si="302"/>
        <v>-0.17793569833122086</v>
      </c>
      <c r="BK335" s="62">
        <f t="shared" si="307"/>
        <v>59.886383774986868</v>
      </c>
      <c r="BL335" s="50">
        <f t="shared" si="303"/>
        <v>-8.5626544859619091</v>
      </c>
      <c r="BM335" s="62">
        <f t="shared" si="304"/>
        <v>28.311635712865886</v>
      </c>
    </row>
    <row r="336" spans="14:65" x14ac:dyDescent="0.3">
      <c r="N336" s="11">
        <v>18</v>
      </c>
      <c r="O336" s="51">
        <f t="shared" si="308"/>
        <v>15135.612484362096</v>
      </c>
      <c r="P336" s="49" t="str">
        <f t="shared" si="257"/>
        <v>27.9103246607183</v>
      </c>
      <c r="Q336" s="18" t="str">
        <f t="shared" si="258"/>
        <v>1+46.715115239297i</v>
      </c>
      <c r="R336" s="18">
        <f t="shared" si="270"/>
        <v>46.72581718729807</v>
      </c>
      <c r="S336" s="18">
        <f t="shared" si="271"/>
        <v>1.5493932478780954</v>
      </c>
      <c r="T336" s="18" t="str">
        <f t="shared" si="259"/>
        <v>1+0.0418439375098395i</v>
      </c>
      <c r="U336" s="18">
        <f t="shared" si="272"/>
        <v>1.0008750746753199</v>
      </c>
      <c r="V336" s="18">
        <f t="shared" si="273"/>
        <v>4.1819541406587578E-2</v>
      </c>
      <c r="W336" s="32" t="str">
        <f t="shared" si="260"/>
        <v>1-0.551813990730205i</v>
      </c>
      <c r="X336" s="18">
        <f t="shared" si="274"/>
        <v>1.142146523159614</v>
      </c>
      <c r="Y336" s="18">
        <f t="shared" si="275"/>
        <v>-0.50423484327695045</v>
      </c>
      <c r="Z336" s="32" t="str">
        <f t="shared" si="261"/>
        <v>0.995266802370315+0.25233882770009i</v>
      </c>
      <c r="AA336" s="18">
        <f t="shared" si="276"/>
        <v>1.0267574649670133</v>
      </c>
      <c r="AB336" s="18">
        <f t="shared" si="277"/>
        <v>0.24830658780401649</v>
      </c>
      <c r="AC336" s="67" t="str">
        <f t="shared" si="278"/>
        <v>-0.42296739871985-0.513190653592794i</v>
      </c>
      <c r="AD336" s="65">
        <f t="shared" si="279"/>
        <v>-3.5431638042068618</v>
      </c>
      <c r="AE336" s="62">
        <f t="shared" si="280"/>
        <v>-129.49505859538638</v>
      </c>
      <c r="AF336" s="50" t="str">
        <f t="shared" si="262"/>
        <v>79.1527877025864</v>
      </c>
      <c r="AG336" s="50" t="str">
        <f t="shared" si="263"/>
        <v>1+46.3502077032067i</v>
      </c>
      <c r="AH336" s="50">
        <f t="shared" si="281"/>
        <v>46.360993886352368</v>
      </c>
      <c r="AI336" s="50">
        <f t="shared" si="282"/>
        <v>1.5492247970340918</v>
      </c>
      <c r="AJ336" s="50" t="str">
        <f t="shared" si="264"/>
        <v>1+0.0418439375098395i</v>
      </c>
      <c r="AK336" s="50">
        <f t="shared" si="283"/>
        <v>1.0008750746753199</v>
      </c>
      <c r="AL336" s="50">
        <f t="shared" si="284"/>
        <v>4.1819541406587578E-2</v>
      </c>
      <c r="AM336" s="50" t="str">
        <f t="shared" si="265"/>
        <v>1-0.193056736516199i</v>
      </c>
      <c r="AN336" s="50">
        <f t="shared" si="285"/>
        <v>1.0184649741224707</v>
      </c>
      <c r="AO336" s="50">
        <f t="shared" si="286"/>
        <v>-0.19071051825992913</v>
      </c>
      <c r="AP336" s="59" t="str">
        <f t="shared" si="287"/>
        <v>-0.220983690339608-1.72627463140225i</v>
      </c>
      <c r="AQ336" s="50">
        <f t="shared" si="288"/>
        <v>4.8127889792269389</v>
      </c>
      <c r="AR336" s="62">
        <f t="shared" si="289"/>
        <v>-97.294866968341481</v>
      </c>
      <c r="AS336" s="32" t="str">
        <f t="shared" si="266"/>
        <v>-0.0000166666666666667</v>
      </c>
      <c r="AT336" s="32" t="str">
        <f t="shared" si="267"/>
        <v>0.000323339517121487i</v>
      </c>
      <c r="AU336" s="32">
        <f t="shared" si="290"/>
        <v>3.2333951712148698E-4</v>
      </c>
      <c r="AV336" s="32">
        <f t="shared" si="291"/>
        <v>1.5707963267948966</v>
      </c>
      <c r="AW336" s="32" t="str">
        <f t="shared" si="268"/>
        <v>1+0.32859797985668i</v>
      </c>
      <c r="AX336" s="32">
        <f t="shared" si="292"/>
        <v>1.0526046895040375</v>
      </c>
      <c r="AY336" s="32">
        <f t="shared" si="293"/>
        <v>0.31748269920256</v>
      </c>
      <c r="AZ336" s="32" t="str">
        <f t="shared" si="269"/>
        <v>1+11.1723313151271i</v>
      </c>
      <c r="BA336" s="32">
        <f t="shared" si="294"/>
        <v>11.21699545399612</v>
      </c>
      <c r="BB336" s="32">
        <f t="shared" si="295"/>
        <v>1.4815273779498321</v>
      </c>
      <c r="BC336" s="59" t="str">
        <f t="shared" si="296"/>
        <v>-0.504473307785084+0.217314315770402i</v>
      </c>
      <c r="BD336" s="50">
        <f t="shared" si="297"/>
        <v>-5.2039758489924504</v>
      </c>
      <c r="BE336" s="62">
        <f t="shared" si="298"/>
        <v>156.69484725688045</v>
      </c>
      <c r="BF336" s="59" t="str">
        <f t="shared" si="299"/>
        <v>0.324899438462739+0.166974115696355i</v>
      </c>
      <c r="BG336" s="65">
        <f t="shared" si="300"/>
        <v>-8.7471396531993069</v>
      </c>
      <c r="BH336" s="62">
        <f t="shared" si="301"/>
        <v>27.199788661494026</v>
      </c>
      <c r="BI336" s="59" t="str">
        <f t="shared" si="306"/>
        <v>0.48662456358716+0.822836553986399i</v>
      </c>
      <c r="BJ336" s="65">
        <f t="shared" si="302"/>
        <v>-0.39118686976551287</v>
      </c>
      <c r="BK336" s="62">
        <f t="shared" si="307"/>
        <v>59.399980288538934</v>
      </c>
      <c r="BL336" s="50">
        <f t="shared" si="303"/>
        <v>-8.7471396531993069</v>
      </c>
      <c r="BM336" s="62">
        <f t="shared" si="304"/>
        <v>27.199788661494026</v>
      </c>
    </row>
    <row r="337" spans="14:65" x14ac:dyDescent="0.3">
      <c r="N337" s="11">
        <v>19</v>
      </c>
      <c r="O337" s="51">
        <f t="shared" si="308"/>
        <v>15488.166189124853</v>
      </c>
      <c r="P337" s="49" t="str">
        <f t="shared" si="257"/>
        <v>27.9103246607183</v>
      </c>
      <c r="Q337" s="18" t="str">
        <f t="shared" si="258"/>
        <v>1+47.8032500579606i</v>
      </c>
      <c r="R337" s="18">
        <f t="shared" si="270"/>
        <v>47.813708453788749</v>
      </c>
      <c r="S337" s="18">
        <f t="shared" si="271"/>
        <v>1.549880297701127</v>
      </c>
      <c r="T337" s="18" t="str">
        <f t="shared" si="259"/>
        <v>1+0.0428186080232526i</v>
      </c>
      <c r="U337" s="18">
        <f t="shared" si="272"/>
        <v>1.0009162967966148</v>
      </c>
      <c r="V337" s="18">
        <f t="shared" si="273"/>
        <v>4.2792468419952844E-2</v>
      </c>
      <c r="W337" s="32" t="str">
        <f t="shared" si="260"/>
        <v>1-0.564667389756697i</v>
      </c>
      <c r="X337" s="18">
        <f t="shared" si="274"/>
        <v>1.1484116252697207</v>
      </c>
      <c r="Y337" s="18">
        <f t="shared" si="275"/>
        <v>-0.51403437986890688</v>
      </c>
      <c r="Z337" s="32" t="str">
        <f t="shared" si="261"/>
        <v>0.995043733638389+0.258216554065843i</v>
      </c>
      <c r="AA337" s="18">
        <f t="shared" si="276"/>
        <v>1.0280018582894992</v>
      </c>
      <c r="AB337" s="18">
        <f t="shared" si="277"/>
        <v>0.25390220848380191</v>
      </c>
      <c r="AC337" s="67" t="str">
        <f t="shared" si="278"/>
        <v>-0.422588115248638-0.497430536665905i</v>
      </c>
      <c r="AD337" s="65">
        <f t="shared" si="279"/>
        <v>-3.7057219969404276</v>
      </c>
      <c r="AE337" s="62">
        <f t="shared" si="280"/>
        <v>-130.34929741962952</v>
      </c>
      <c r="AF337" s="50" t="str">
        <f t="shared" si="262"/>
        <v>79.1527877025864</v>
      </c>
      <c r="AG337" s="50" t="str">
        <f t="shared" si="263"/>
        <v>1+47.4298427334489i</v>
      </c>
      <c r="AH337" s="50">
        <f t="shared" si="281"/>
        <v>47.440383448278489</v>
      </c>
      <c r="AI337" s="50">
        <f t="shared" si="282"/>
        <v>1.5497156778461547</v>
      </c>
      <c r="AJ337" s="50" t="str">
        <f t="shared" si="264"/>
        <v>1+0.0428186080232526i</v>
      </c>
      <c r="AK337" s="50">
        <f t="shared" si="283"/>
        <v>1.0009162967966148</v>
      </c>
      <c r="AL337" s="50">
        <f t="shared" si="284"/>
        <v>4.2792468419952844E-2</v>
      </c>
      <c r="AM337" s="50" t="str">
        <f t="shared" si="265"/>
        <v>1-0.197553605589619i</v>
      </c>
      <c r="AN337" s="50">
        <f t="shared" si="285"/>
        <v>1.0193269480796918</v>
      </c>
      <c r="AO337" s="50">
        <f t="shared" si="286"/>
        <v>-0.1950421546908809</v>
      </c>
      <c r="AP337" s="59" t="str">
        <f t="shared" si="287"/>
        <v>-0.222645819216685-1.68765022182356i</v>
      </c>
      <c r="AQ337" s="50">
        <f t="shared" si="288"/>
        <v>4.6205858127791117</v>
      </c>
      <c r="AR337" s="62">
        <f t="shared" si="289"/>
        <v>-97.515432241355214</v>
      </c>
      <c r="AS337" s="32" t="str">
        <f t="shared" si="266"/>
        <v>-0.0000166666666666667</v>
      </c>
      <c r="AT337" s="32" t="str">
        <f t="shared" si="267"/>
        <v>0.000330871061997861i</v>
      </c>
      <c r="AU337" s="32">
        <f t="shared" si="290"/>
        <v>3.30871061997861E-4</v>
      </c>
      <c r="AV337" s="32">
        <f t="shared" si="291"/>
        <v>1.5707963267948966</v>
      </c>
      <c r="AW337" s="32" t="str">
        <f t="shared" si="268"/>
        <v>1+0.336252010064954i</v>
      </c>
      <c r="AX337" s="32">
        <f t="shared" si="292"/>
        <v>1.0550191535098885</v>
      </c>
      <c r="AY337" s="32">
        <f t="shared" si="293"/>
        <v>0.32437505939941613</v>
      </c>
      <c r="AZ337" s="32" t="str">
        <f t="shared" si="269"/>
        <v>1+11.4325683422084i</v>
      </c>
      <c r="BA337" s="32">
        <f t="shared" si="294"/>
        <v>11.476219712922271</v>
      </c>
      <c r="BB337" s="32">
        <f t="shared" si="295"/>
        <v>1.4835489721673425</v>
      </c>
      <c r="BC337" s="59" t="str">
        <f t="shared" si="296"/>
        <v>-0.502166925241689+0.219226727255092i</v>
      </c>
      <c r="BD337" s="50">
        <f t="shared" si="297"/>
        <v>-5.225430514170192</v>
      </c>
      <c r="BE337" s="62">
        <f t="shared" si="298"/>
        <v>156.41577292326809</v>
      </c>
      <c r="BF337" s="59" t="str">
        <f t="shared" si="299"/>
        <v>0.321259843068099+0.157150553635984i</v>
      </c>
      <c r="BG337" s="65">
        <f t="shared" si="300"/>
        <v>-8.9311525111106285</v>
      </c>
      <c r="BH337" s="62">
        <f t="shared" si="301"/>
        <v>26.066475503638578</v>
      </c>
      <c r="BI337" s="59" t="str">
        <f t="shared" si="306"/>
        <v>0.481783401335669+0.798672208492689i</v>
      </c>
      <c r="BJ337" s="65">
        <f t="shared" si="302"/>
        <v>-0.6048447013910786</v>
      </c>
      <c r="BK337" s="62">
        <f t="shared" si="307"/>
        <v>58.900340681912866</v>
      </c>
      <c r="BL337" s="50">
        <f t="shared" si="303"/>
        <v>-8.9311525111106285</v>
      </c>
      <c r="BM337" s="62">
        <f t="shared" si="304"/>
        <v>26.066475503638578</v>
      </c>
    </row>
    <row r="338" spans="14:65" x14ac:dyDescent="0.3">
      <c r="N338" s="11">
        <v>20</v>
      </c>
      <c r="O338" s="51">
        <f t="shared" si="308"/>
        <v>15848.931924611146</v>
      </c>
      <c r="P338" s="49" t="str">
        <f t="shared" si="257"/>
        <v>27.9103246607183</v>
      </c>
      <c r="Q338" s="18" t="str">
        <f t="shared" si="258"/>
        <v>1+48.9167307925555i</v>
      </c>
      <c r="R338" s="18">
        <f t="shared" si="270"/>
        <v>48.92695117653814</v>
      </c>
      <c r="S338" s="18">
        <f t="shared" si="271"/>
        <v>1.5503562705069835</v>
      </c>
      <c r="T338" s="18" t="str">
        <f t="shared" si="259"/>
        <v>1+0.0438159815294108i</v>
      </c>
      <c r="U338" s="18">
        <f t="shared" si="272"/>
        <v>1.0009594598371034</v>
      </c>
      <c r="V338" s="18">
        <f t="shared" si="273"/>
        <v>4.3787973889661769E-2</v>
      </c>
      <c r="W338" s="32" t="str">
        <f t="shared" si="260"/>
        <v>1-0.577820182907492i</v>
      </c>
      <c r="X338" s="18">
        <f t="shared" si="274"/>
        <v>1.1549355669366355</v>
      </c>
      <c r="Y338" s="18">
        <f t="shared" si="275"/>
        <v>-0.52395113917366243</v>
      </c>
      <c r="Z338" s="32" t="str">
        <f t="shared" si="261"/>
        <v>0.994810152001013+0.264231190266462i</v>
      </c>
      <c r="AA338" s="18">
        <f t="shared" si="276"/>
        <v>1.0293033374248379</v>
      </c>
      <c r="AB338" s="18">
        <f t="shared" si="277"/>
        <v>0.25961530414247586</v>
      </c>
      <c r="AC338" s="67" t="str">
        <f t="shared" si="278"/>
        <v>-0.422142065422608-0.481953415844061i</v>
      </c>
      <c r="AD338" s="65">
        <f t="shared" si="279"/>
        <v>-3.8670480480285336</v>
      </c>
      <c r="AE338" s="62">
        <f t="shared" si="280"/>
        <v>-131.21505511447754</v>
      </c>
      <c r="AF338" s="50" t="str">
        <f t="shared" si="262"/>
        <v>79.1527877025864</v>
      </c>
      <c r="AG338" s="50" t="str">
        <f t="shared" si="263"/>
        <v>1+48.5346256941164i</v>
      </c>
      <c r="AH338" s="50">
        <f t="shared" si="281"/>
        <v>48.544926524488467</v>
      </c>
      <c r="AI338" s="50">
        <f t="shared" si="282"/>
        <v>1.5501953946652471</v>
      </c>
      <c r="AJ338" s="50" t="str">
        <f t="shared" si="264"/>
        <v>1+0.0438159815294108i</v>
      </c>
      <c r="AK338" s="50">
        <f t="shared" si="283"/>
        <v>1.0009594598371034</v>
      </c>
      <c r="AL338" s="50">
        <f t="shared" si="284"/>
        <v>4.3787973889661769E-2</v>
      </c>
      <c r="AM338" s="50" t="str">
        <f t="shared" si="265"/>
        <v>1-0.202155220199652i</v>
      </c>
      <c r="AN338" s="50">
        <f t="shared" si="285"/>
        <v>1.0202287650590773</v>
      </c>
      <c r="AO338" s="50">
        <f t="shared" si="286"/>
        <v>-0.19946702544996608</v>
      </c>
      <c r="AP338" s="59" t="str">
        <f t="shared" si="287"/>
        <v>-0.224233204955264-1.64991747275899i</v>
      </c>
      <c r="AQ338" s="50">
        <f t="shared" si="288"/>
        <v>4.4287283884597199</v>
      </c>
      <c r="AR338" s="62">
        <f t="shared" si="289"/>
        <v>-97.739406147940642</v>
      </c>
      <c r="AS338" s="32" t="str">
        <f t="shared" si="266"/>
        <v>-0.0000166666666666667</v>
      </c>
      <c r="AT338" s="32" t="str">
        <f t="shared" si="267"/>
        <v>0.000338578039090901i</v>
      </c>
      <c r="AU338" s="32">
        <f t="shared" si="290"/>
        <v>3.38578039090901E-4</v>
      </c>
      <c r="AV338" s="32">
        <f t="shared" si="291"/>
        <v>1.5707963267948966</v>
      </c>
      <c r="AW338" s="32" t="str">
        <f t="shared" si="268"/>
        <v>1+0.344084325539784i</v>
      </c>
      <c r="AX338" s="32">
        <f t="shared" si="292"/>
        <v>1.0575414994609753</v>
      </c>
      <c r="AY338" s="32">
        <f t="shared" si="293"/>
        <v>0.33139504103569739</v>
      </c>
      <c r="AZ338" s="32" t="str">
        <f t="shared" si="269"/>
        <v>1+11.6988670683527i</v>
      </c>
      <c r="BA338" s="32">
        <f t="shared" si="294"/>
        <v>11.741528464513779</v>
      </c>
      <c r="BB338" s="32">
        <f t="shared" si="295"/>
        <v>1.48552524036571</v>
      </c>
      <c r="BC338" s="59" t="str">
        <f t="shared" si="296"/>
        <v>-0.499774341727806+0.221189997812245i</v>
      </c>
      <c r="BD338" s="50">
        <f t="shared" si="297"/>
        <v>-5.2476563845184634</v>
      </c>
      <c r="BE338" s="62">
        <f t="shared" si="298"/>
        <v>156.12678943020228</v>
      </c>
      <c r="BF338" s="59" t="str">
        <f t="shared" si="299"/>
        <v>0.317579047858352+0.14749434861965i</v>
      </c>
      <c r="BG338" s="65">
        <f t="shared" si="300"/>
        <v>-9.1147044325469988</v>
      </c>
      <c r="BH338" s="62">
        <f t="shared" si="301"/>
        <v>24.911734315724747</v>
      </c>
      <c r="BI338" s="59" t="str">
        <f t="shared" si="306"/>
        <v>0.477011244589979+0.774988276739842i</v>
      </c>
      <c r="BJ338" s="65">
        <f t="shared" si="302"/>
        <v>-0.818927996058742</v>
      </c>
      <c r="BK338" s="62">
        <f t="shared" si="307"/>
        <v>58.387383282261624</v>
      </c>
      <c r="BL338" s="50">
        <f t="shared" si="303"/>
        <v>-9.1147044325469988</v>
      </c>
      <c r="BM338" s="62">
        <f t="shared" si="304"/>
        <v>24.911734315724747</v>
      </c>
    </row>
    <row r="339" spans="14:65" x14ac:dyDescent="0.3">
      <c r="N339" s="11">
        <v>21</v>
      </c>
      <c r="O339" s="51">
        <f t="shared" si="308"/>
        <v>16218.100973589309</v>
      </c>
      <c r="P339" s="49" t="str">
        <f t="shared" ref="P339:P402" si="309">COMPLEX(Adc,0)</f>
        <v>27.9103246607183</v>
      </c>
      <c r="Q339" s="18" t="str">
        <f t="shared" ref="Q339:Q402" si="310">IMSUM(COMPLEX(1,0),IMDIV(COMPLEX(0,2*PI()*O339),COMPLEX(wp_lf,0)))</f>
        <v>1+50.0561478253061i</v>
      </c>
      <c r="R339" s="18">
        <f t="shared" si="270"/>
        <v>50.066135611897352</v>
      </c>
      <c r="S339" s="18">
        <f t="shared" si="271"/>
        <v>1.5508214177995989</v>
      </c>
      <c r="T339" s="18" t="str">
        <f t="shared" ref="T339:T402" si="311">IMSUM(COMPLEX(1,0),IMDIV(COMPLEX(0,2*PI()*O339),COMPLEX(wz_esr,0)))</f>
        <v>1+0.0448365868489489i</v>
      </c>
      <c r="U339" s="18">
        <f t="shared" si="272"/>
        <v>1.0010046550942027</v>
      </c>
      <c r="V339" s="18">
        <f t="shared" si="273"/>
        <v>4.4806577748780982E-2</v>
      </c>
      <c r="W339" s="32" t="str">
        <f t="shared" ref="W339:W402" si="312">IMSUB(COMPLEX(1,0),IMDIV(COMPLEX(0,2*PI()*O339),COMPLEX(wz_rhp,0)))</f>
        <v>1-0.591279343967619i</v>
      </c>
      <c r="X339" s="18">
        <f t="shared" si="274"/>
        <v>1.1617277058772326</v>
      </c>
      <c r="Y339" s="18">
        <f t="shared" si="275"/>
        <v>-0.53398257666307269</v>
      </c>
      <c r="Z339" s="32" t="str">
        <f t="shared" ref="Z339:Z402" si="313">IMSUM(COMPLEX(1,0),IMDIV(COMPLEX(0,2*PI()*O339),COMPLEX(Q*(wsl/2),0)),IMDIV(IMPOWER(COMPLEX(0,2*PI()*O339),2),IMPOWER(COMPLEX(wsl/2,0),2)))</f>
        <v>0.994565562000216+0.270385925341672i</v>
      </c>
      <c r="AA339" s="18">
        <f t="shared" si="276"/>
        <v>1.0306644486639081</v>
      </c>
      <c r="AB339" s="18">
        <f t="shared" si="277"/>
        <v>0.26544776011914328</v>
      </c>
      <c r="AC339" s="67" t="str">
        <f t="shared" si="278"/>
        <v>-0.421628958689166-0.466752450256653i</v>
      </c>
      <c r="AD339" s="65">
        <f t="shared" si="279"/>
        <v>-4.0271206981251968</v>
      </c>
      <c r="AE339" s="62">
        <f t="shared" si="280"/>
        <v>-132.09227853132458</v>
      </c>
      <c r="AF339" s="50" t="str">
        <f t="shared" ref="AF339:AF402" si="314">COMPLEX($B$72,0)</f>
        <v>79.1527877025864</v>
      </c>
      <c r="AG339" s="50" t="str">
        <f t="shared" ref="AG339:AG402" si="315">IMSUM(COMPLEX(1,0),IMDIV(COMPLEX(0,2*PI()*O339),COMPLEX(wp_lf_DCM,0)))</f>
        <v>1+49.6651423557586i</v>
      </c>
      <c r="AH339" s="50">
        <f t="shared" si="281"/>
        <v>49.67520875867325</v>
      </c>
      <c r="AI339" s="50">
        <f t="shared" si="282"/>
        <v>1.550664200959899</v>
      </c>
      <c r="AJ339" s="50" t="str">
        <f t="shared" ref="AJ339:AJ402" si="316">IMSUM(COMPLEX(1,0),IMDIV(COMPLEX(0,2*PI()*O339),COMPLEX(wz1_dcm,0)))</f>
        <v>1+0.0448365868489489i</v>
      </c>
      <c r="AK339" s="50">
        <f t="shared" si="283"/>
        <v>1.0010046550942027</v>
      </c>
      <c r="AL339" s="50">
        <f t="shared" si="284"/>
        <v>4.4806577748780982E-2</v>
      </c>
      <c r="AM339" s="50" t="str">
        <f t="shared" ref="AM339:AM402" si="317">IMSUB(COMPLEX(1,0),IMDIV(COMPLEX(0,2*PI()*O339),COMPLEX(wz2_dcm,0)))</f>
        <v>1-0.206864020183277i</v>
      </c>
      <c r="AN339" s="50">
        <f t="shared" si="285"/>
        <v>1.0211722297665498</v>
      </c>
      <c r="AO339" s="50">
        <f t="shared" si="286"/>
        <v>-0.20398678323856709</v>
      </c>
      <c r="AP339" s="59" t="str">
        <f t="shared" si="287"/>
        <v>-0.225749205836397-1.6130565881429i</v>
      </c>
      <c r="AQ339" s="50">
        <f t="shared" si="288"/>
        <v>4.2372321424953663</v>
      </c>
      <c r="AR339" s="62">
        <f t="shared" si="289"/>
        <v>-97.966868113618261</v>
      </c>
      <c r="AS339" s="32" t="str">
        <f t="shared" ref="AS339:AS402" si="318">COMPLEX(Adc_ea,0)</f>
        <v>-0.0000166666666666667</v>
      </c>
      <c r="AT339" s="32" t="str">
        <f t="shared" ref="AT339:AT402" si="319">COMPLEX(0,2*PI()*O339*wp0_ea)</f>
        <v>0.000346464534741878i</v>
      </c>
      <c r="AU339" s="32">
        <f t="shared" si="290"/>
        <v>3.46464534741878E-4</v>
      </c>
      <c r="AV339" s="32">
        <f t="shared" si="291"/>
        <v>1.5707963267948966</v>
      </c>
      <c r="AW339" s="32" t="str">
        <f t="shared" ref="AW339:AW402" si="320">IMSUM(COMPLEX(1,0),IMDIV(COMPLEX(0,2*PI()*O339),COMPLEX(wp1_ea,0)))</f>
        <v>1+0.35209907907851i</v>
      </c>
      <c r="AX339" s="32">
        <f t="shared" si="292"/>
        <v>1.0601762879294814</v>
      </c>
      <c r="AY339" s="32">
        <f t="shared" si="293"/>
        <v>0.33854359772545251</v>
      </c>
      <c r="AZ339" s="32" t="str">
        <f t="shared" ref="AZ339:AZ402" si="321">IMSUM(COMPLEX(1,0),IMDIV(COMPLEX(0,2*PI()*O339),COMPLEX(wz_ea,0)))</f>
        <v>1+11.9713686886693i</v>
      </c>
      <c r="BA339" s="32">
        <f t="shared" si="294"/>
        <v>12.013062402237479</v>
      </c>
      <c r="BB339" s="32">
        <f t="shared" si="295"/>
        <v>1.4874571686055498</v>
      </c>
      <c r="BC339" s="59" t="str">
        <f t="shared" si="296"/>
        <v>-0.497293313981154+0.223201489665064i</v>
      </c>
      <c r="BD339" s="50">
        <f t="shared" si="297"/>
        <v>-5.2706877849535703</v>
      </c>
      <c r="BE339" s="62">
        <f t="shared" si="298"/>
        <v>155.82789863673398</v>
      </c>
      <c r="BF339" s="59" t="str">
        <f t="shared" si="299"/>
        <v>0.313853104339062+0.138004661131603i</v>
      </c>
      <c r="BG339" s="65">
        <f t="shared" si="300"/>
        <v>-9.2978084830787697</v>
      </c>
      <c r="BH339" s="62">
        <f t="shared" si="301"/>
        <v>23.735620105409371</v>
      </c>
      <c r="BI339" s="59" t="str">
        <f t="shared" si="306"/>
        <v>0.472300204086536+0.751774697323327i</v>
      </c>
      <c r="BJ339" s="65">
        <f t="shared" si="302"/>
        <v>-1.0334556424582078</v>
      </c>
      <c r="BK339" s="62">
        <f t="shared" si="307"/>
        <v>57.861030523115716</v>
      </c>
      <c r="BL339" s="50">
        <f t="shared" si="303"/>
        <v>-9.2978084830787697</v>
      </c>
      <c r="BM339" s="62">
        <f t="shared" si="304"/>
        <v>23.735620105409371</v>
      </c>
    </row>
    <row r="340" spans="14:65" x14ac:dyDescent="0.3">
      <c r="N340" s="11">
        <v>22</v>
      </c>
      <c r="O340" s="51">
        <f t="shared" si="308"/>
        <v>16595.869074375616</v>
      </c>
      <c r="P340" s="49" t="str">
        <f t="shared" si="309"/>
        <v>27.9103246607183</v>
      </c>
      <c r="Q340" s="18" t="str">
        <f t="shared" si="310"/>
        <v>1+51.2221052902054i</v>
      </c>
      <c r="R340" s="18">
        <f t="shared" ref="R340:R403" si="322">IMABS(Q340)</f>
        <v>51.23186577083532</v>
      </c>
      <c r="S340" s="18">
        <f t="shared" ref="S340:S403" si="323">IMARGUMENT(Q340)</f>
        <v>1.5512759854006415</v>
      </c>
      <c r="T340" s="18" t="str">
        <f t="shared" si="311"/>
        <v>1+0.045880965120317i</v>
      </c>
      <c r="U340" s="18">
        <f t="shared" ref="U340:U403" si="324">IMABS(T340)</f>
        <v>1.0010519781511706</v>
      </c>
      <c r="V340" s="18">
        <f t="shared" ref="V340:V403" si="325">IMARGUMENT(T340)</f>
        <v>4.5848811614895693E-2</v>
      </c>
      <c r="W340" s="32" t="str">
        <f t="shared" si="312"/>
        <v>1-0.605052009162428i</v>
      </c>
      <c r="X340" s="18">
        <f t="shared" ref="X340:X403" si="326">IMABS(W340)</f>
        <v>1.1687976445011732</v>
      </c>
      <c r="Y340" s="18">
        <f t="shared" ref="Y340:Y403" si="327">IMARGUMENT(W340)</f>
        <v>-0.5441259348758769</v>
      </c>
      <c r="Z340" s="32" t="str">
        <f t="shared" si="313"/>
        <v>0.994309444827814+0.276684022613481i</v>
      </c>
      <c r="AA340" s="18">
        <f t="shared" ref="AA340:AA403" si="328">IMABS(Z340)</f>
        <v>1.0320878453132625</v>
      </c>
      <c r="AB340" s="18">
        <f t="shared" ref="AB340:AB403" si="329">IMARGUMENT(Z340)</f>
        <v>0.27140145263037946</v>
      </c>
      <c r="AC340" s="67" t="str">
        <f t="shared" ref="AC340:AC403" si="330">(IMDIV(IMPRODUCT(P340,T340,W340),IMPRODUCT(Q340,Z340)))</f>
        <v>-0.421048418688479-0.451821014863614i</v>
      </c>
      <c r="AD340" s="65">
        <f t="shared" ref="AD340:AD403" si="331">20*LOG(IMABS(AC340))</f>
        <v>-4.1859198330706171</v>
      </c>
      <c r="AE340" s="62">
        <f t="shared" ref="AE340:AE403" si="332">(180/PI())*IMARGUMENT(AC340)</f>
        <v>-132.98090080366927</v>
      </c>
      <c r="AF340" s="50" t="str">
        <f t="shared" si="314"/>
        <v>79.1527877025864</v>
      </c>
      <c r="AG340" s="50" t="str">
        <f t="shared" si="315"/>
        <v>1+50.8219921332741i</v>
      </c>
      <c r="AH340" s="50">
        <f t="shared" ref="AH340:AH403" si="333">IMABS(AG340)</f>
        <v>50.831829441744226</v>
      </c>
      <c r="AI340" s="50">
        <f t="shared" ref="AI340:AI403" si="334">IMARGUMENT(AG340)</f>
        <v>1.5511223444726694</v>
      </c>
      <c r="AJ340" s="50" t="str">
        <f t="shared" si="316"/>
        <v>1+0.045880965120317i</v>
      </c>
      <c r="AK340" s="50">
        <f t="shared" ref="AK340:AK403" si="335">IMABS(AJ340)</f>
        <v>1.0010519781511706</v>
      </c>
      <c r="AL340" s="50">
        <f t="shared" ref="AL340:AL403" si="336">IMARGUMENT(AJ340)</f>
        <v>4.5848811614895693E-2</v>
      </c>
      <c r="AM340" s="50" t="str">
        <f t="shared" si="317"/>
        <v>1-0.211682502208572i</v>
      </c>
      <c r="AN340" s="50">
        <f t="shared" ref="AN340:AN403" si="337">IMABS(AM340)</f>
        <v>1.0221592252390437</v>
      </c>
      <c r="AO340" s="50">
        <f t="shared" ref="AO340:AO403" si="338">IMARGUMENT(AM340)</f>
        <v>-0.20860308549873635</v>
      </c>
      <c r="AP340" s="59" t="str">
        <f t="shared" ref="AP340:AP403" si="339">(IMDIV(IMPRODUCT(AF340,AJ340,AM340),IMPRODUCT(AG340)))</f>
        <v>-0.22719702949593-1.57704822016379i</v>
      </c>
      <c r="AQ340" s="50">
        <f t="shared" ref="AQ340:AQ403" si="340">20*LOG(IMABS(AP340))</f>
        <v>4.0461131098366288</v>
      </c>
      <c r="AR340" s="62">
        <f t="shared" ref="AR340:AR403" si="341">(180/PI())*IMARGUMENT(AP340)</f>
        <v>-98.197896837981759</v>
      </c>
      <c r="AS340" s="32" t="str">
        <f t="shared" si="318"/>
        <v>-0.0000166666666666667</v>
      </c>
      <c r="AT340" s="32" t="str">
        <f t="shared" si="319"/>
        <v>0.000354534730475176i</v>
      </c>
      <c r="AU340" s="32">
        <f t="shared" ref="AU340:AU403" si="342">IMABS(AT340)</f>
        <v>3.54534730475176E-4</v>
      </c>
      <c r="AV340" s="32">
        <f t="shared" ref="AV340:AV403" si="343">IMARGUMENT(AT340)</f>
        <v>1.5707963267948966</v>
      </c>
      <c r="AW340" s="32" t="str">
        <f t="shared" si="320"/>
        <v>1+0.360300520209548i</v>
      </c>
      <c r="AX340" s="32">
        <f t="shared" ref="AX340:AX403" si="344">IMABS(AW340)</f>
        <v>1.0629282501012338</v>
      </c>
      <c r="AY340" s="32">
        <f t="shared" ref="AY340:AY403" si="345">IMARGUMENT(AW340)</f>
        <v>0.34582159635980797</v>
      </c>
      <c r="AZ340" s="32" t="str">
        <f t="shared" si="321"/>
        <v>1+12.2502176871246i</v>
      </c>
      <c r="BA340" s="32">
        <f t="shared" ref="BA340:BA403" si="346">IMABS(AZ340)</f>
        <v>12.290965518702768</v>
      </c>
      <c r="BB340" s="32">
        <f t="shared" ref="BB340:BB403" si="347">IMARGUMENT(AZ340)</f>
        <v>1.4893457235037175</v>
      </c>
      <c r="BC340" s="59" t="str">
        <f t="shared" ref="BC340:BC403" si="348">IMPRODUCT(AS340,IMDIV(AZ340,IMPRODUCT(AT340,AW340)))</f>
        <v>-0.494721624317843+0.225258427537465i</v>
      </c>
      <c r="BD340" s="50">
        <f t="shared" ref="BD340:BD403" si="349">20*LOG(IMABS(BC340))</f>
        <v>-5.2945597041254091</v>
      </c>
      <c r="BE340" s="62">
        <f t="shared" ref="BE340:BE403" si="350">(180/PI())*IMARGUMENT(BC340)</f>
        <v>155.51910625672735</v>
      </c>
      <c r="BF340" s="59" t="str">
        <f t="shared" ref="BF340:BF403" si="351">IMPRODUCT(AC340,BC340)</f>
        <v>0.310078248946583+0.12868092166336i</v>
      </c>
      <c r="BG340" s="65">
        <f t="shared" ref="BG340:BG403" si="352">20*LOG(IMABS(BF340))</f>
        <v>-9.4804795371960253</v>
      </c>
      <c r="BH340" s="62">
        <f t="shared" ref="BH340:BH403" si="353">(180/PI())*IMARGUMENT(BF340)</f>
        <v>22.538205453058016</v>
      </c>
      <c r="BI340" s="59" t="str">
        <f t="shared" si="306"/>
        <v>0.467642685697269+0.729021811501557i</v>
      </c>
      <c r="BJ340" s="65">
        <f t="shared" ref="BJ340:BJ403" si="354">20*LOG(IMABS(BI340))</f>
        <v>-1.2484465942887788</v>
      </c>
      <c r="BK340" s="62">
        <f t="shared" si="307"/>
        <v>57.321209418745561</v>
      </c>
      <c r="BL340" s="50">
        <f t="shared" ref="BL340:BL403" si="355">IF($B$31=0,BJ340,BG340)</f>
        <v>-9.4804795371960253</v>
      </c>
      <c r="BM340" s="62">
        <f t="shared" ref="BM340:BM403" si="356">IF($B$31=0,BK340,BH340)</f>
        <v>22.538205453058016</v>
      </c>
    </row>
    <row r="341" spans="14:65" x14ac:dyDescent="0.3">
      <c r="N341" s="11">
        <v>23</v>
      </c>
      <c r="O341" s="51">
        <f t="shared" si="308"/>
        <v>16982.436524617482</v>
      </c>
      <c r="P341" s="49" t="str">
        <f t="shared" si="309"/>
        <v>27.9103246607183</v>
      </c>
      <c r="Q341" s="18" t="str">
        <f t="shared" si="310"/>
        <v>1+52.4152213933345i</v>
      </c>
      <c r="R341" s="18">
        <f t="shared" si="322"/>
        <v>52.424759739194521</v>
      </c>
      <c r="S341" s="18">
        <f t="shared" si="323"/>
        <v>1.5517202135760146</v>
      </c>
      <c r="T341" s="18" t="str">
        <f t="shared" si="311"/>
        <v>1+0.0469496700866983i</v>
      </c>
      <c r="U341" s="18">
        <f t="shared" si="324"/>
        <v>1.0011015290774707</v>
      </c>
      <c r="V341" s="18">
        <f t="shared" si="325"/>
        <v>4.6915219032018785E-2</v>
      </c>
      <c r="W341" s="32" t="str">
        <f t="shared" si="312"/>
        <v>1-0.619145480941307i</v>
      </c>
      <c r="X341" s="18">
        <f t="shared" si="326"/>
        <v>1.1761552306434904</v>
      </c>
      <c r="Y341" s="18">
        <f t="shared" si="327"/>
        <v>-0.55437824243920186</v>
      </c>
      <c r="Z341" s="32" t="str">
        <f t="shared" si="313"/>
        <v>0.994041257224945+0.283128821416427i</v>
      </c>
      <c r="AA341" s="18">
        <f t="shared" si="328"/>
        <v>1.0335762916118016</v>
      </c>
      <c r="AB341" s="18">
        <f t="shared" si="329"/>
        <v>0.27747824562275114</v>
      </c>
      <c r="AC341" s="67" t="str">
        <f t="shared" si="330"/>
        <v>-0.420399986867304-0.437152700674106i</v>
      </c>
      <c r="AD341" s="65">
        <f t="shared" si="331"/>
        <v>-4.3434266043778562</v>
      </c>
      <c r="AE341" s="62">
        <f t="shared" si="332"/>
        <v>-133.88084110410247</v>
      </c>
      <c r="AF341" s="50" t="str">
        <f t="shared" si="314"/>
        <v>79.1527877025864</v>
      </c>
      <c r="AG341" s="50" t="str">
        <f t="shared" si="315"/>
        <v>1+52.0057884037273i</v>
      </c>
      <c r="AH341" s="50">
        <f t="shared" si="333"/>
        <v>52.015401829585606</v>
      </c>
      <c r="AI341" s="50">
        <f t="shared" si="334"/>
        <v>1.5515700673475732</v>
      </c>
      <c r="AJ341" s="50" t="str">
        <f t="shared" si="316"/>
        <v>1+0.0469496700866983i</v>
      </c>
      <c r="AK341" s="50">
        <f t="shared" si="335"/>
        <v>1.0011015290774707</v>
      </c>
      <c r="AL341" s="50">
        <f t="shared" si="336"/>
        <v>4.6915219032018785E-2</v>
      </c>
      <c r="AM341" s="50" t="str">
        <f t="shared" si="317"/>
        <v>1-0.216613221098488i</v>
      </c>
      <c r="AN341" s="50">
        <f t="shared" si="337"/>
        <v>1.0231917159333643</v>
      </c>
      <c r="AO341" s="50">
        <f t="shared" si="338"/>
        <v>-0.21331759249051557</v>
      </c>
      <c r="AP341" s="59" t="str">
        <f t="shared" si="339"/>
        <v>-0.22857973966051-1.54187345993956i</v>
      </c>
      <c r="AQ341" s="50">
        <f t="shared" si="340"/>
        <v>3.8553879433689362</v>
      </c>
      <c r="AR341" s="62">
        <f t="shared" si="341"/>
        <v>-98.43257017797643</v>
      </c>
      <c r="AS341" s="32" t="str">
        <f t="shared" si="318"/>
        <v>-0.0000166666666666667</v>
      </c>
      <c r="AT341" s="32" t="str">
        <f t="shared" si="319"/>
        <v>0.000362792905215394i</v>
      </c>
      <c r="AU341" s="32">
        <f t="shared" si="342"/>
        <v>3.6279290521539398E-4</v>
      </c>
      <c r="AV341" s="32">
        <f t="shared" si="343"/>
        <v>1.5707963267948966</v>
      </c>
      <c r="AW341" s="32" t="str">
        <f t="shared" si="320"/>
        <v>1+0.368692997445542i</v>
      </c>
      <c r="AX341" s="32">
        <f t="shared" si="344"/>
        <v>1.0658022923438373</v>
      </c>
      <c r="AY341" s="32">
        <f t="shared" si="345"/>
        <v>0.35322981079363458</v>
      </c>
      <c r="AZ341" s="32" t="str">
        <f t="shared" si="321"/>
        <v>1+12.5355619131484i</v>
      </c>
      <c r="BA341" s="32">
        <f t="shared" si="346"/>
        <v>12.575385182107814</v>
      </c>
      <c r="BB341" s="32">
        <f t="shared" si="347"/>
        <v>1.4911918524806638</v>
      </c>
      <c r="BC341" s="59" t="str">
        <f t="shared" si="348"/>
        <v>-0.492057089299543+0.227357894569227i</v>
      </c>
      <c r="BD341" s="50">
        <f t="shared" si="349"/>
        <v>-5.3193077894489171</v>
      </c>
      <c r="BE341" s="62">
        <f t="shared" si="350"/>
        <v>155.20042223475704</v>
      </c>
      <c r="BF341" s="59" t="str">
        <f t="shared" si="351"/>
        <v>0.306250911510008+0.119522829582054i</v>
      </c>
      <c r="BG341" s="65">
        <f t="shared" si="352"/>
        <v>-9.6627343938267725</v>
      </c>
      <c r="BH341" s="62">
        <f t="shared" si="353"/>
        <v>21.319581130654569</v>
      </c>
      <c r="BI341" s="59" t="str">
        <f t="shared" si="306"/>
        <v>0.463031384914226+0.70672035841568i</v>
      </c>
      <c r="BJ341" s="65">
        <f t="shared" si="354"/>
        <v>-1.4639198460799752</v>
      </c>
      <c r="BK341" s="62">
        <f t="shared" si="307"/>
        <v>56.767852056780612</v>
      </c>
      <c r="BL341" s="50">
        <f t="shared" si="355"/>
        <v>-9.6627343938267725</v>
      </c>
      <c r="BM341" s="62">
        <f t="shared" si="356"/>
        <v>21.319581130654569</v>
      </c>
    </row>
    <row r="342" spans="14:65" x14ac:dyDescent="0.3">
      <c r="N342" s="11">
        <v>24</v>
      </c>
      <c r="O342" s="51">
        <f t="shared" si="308"/>
        <v>17378.008287493791</v>
      </c>
      <c r="P342" s="49" t="str">
        <f t="shared" si="309"/>
        <v>27.9103246607183</v>
      </c>
      <c r="Q342" s="18" t="str">
        <f t="shared" si="310"/>
        <v>1+53.6361287406431i</v>
      </c>
      <c r="R342" s="18">
        <f t="shared" si="322"/>
        <v>53.645450005409039</v>
      </c>
      <c r="S342" s="18">
        <f t="shared" si="323"/>
        <v>1.5521543371596676</v>
      </c>
      <c r="T342" s="18" t="str">
        <f t="shared" si="311"/>
        <v>1+0.0480432683896115i</v>
      </c>
      <c r="U342" s="18">
        <f t="shared" si="324"/>
        <v>1.0011534126384209</v>
      </c>
      <c r="V342" s="18">
        <f t="shared" si="325"/>
        <v>4.8006355715999829E-2</v>
      </c>
      <c r="W342" s="32" t="str">
        <f t="shared" si="312"/>
        <v>1-0.633567231849533i</v>
      </c>
      <c r="X342" s="18">
        <f t="shared" si="326"/>
        <v>1.183810558017405</v>
      </c>
      <c r="Y342" s="18">
        <f t="shared" si="327"/>
        <v>-0.56473631389685508</v>
      </c>
      <c r="Z342" s="32" t="str">
        <f t="shared" si="313"/>
        <v>0.993760430329748+0.289723738868137i</v>
      </c>
      <c r="AA342" s="18">
        <f t="shared" si="328"/>
        <v>1.0351326667403065</v>
      </c>
      <c r="AB342" s="18">
        <f t="shared" si="329"/>
        <v>0.28367998743150641</v>
      </c>
      <c r="AC342" s="67" t="str">
        <f t="shared" si="330"/>
        <v>-0.419683126223081-0.422741315115112i</v>
      </c>
      <c r="AD342" s="65">
        <f t="shared" si="331"/>
        <v>-4.4996235517010073</v>
      </c>
      <c r="AE342" s="62">
        <f t="shared" si="332"/>
        <v>-134.79200443605885</v>
      </c>
      <c r="AF342" s="50" t="str">
        <f t="shared" si="314"/>
        <v>79.1527877025864</v>
      </c>
      <c r="AG342" s="50" t="str">
        <f t="shared" si="315"/>
        <v>1+53.2171588315695i</v>
      </c>
      <c r="AH342" s="50">
        <f t="shared" si="333"/>
        <v>53.226553468212607</v>
      </c>
      <c r="AI342" s="50">
        <f t="shared" si="334"/>
        <v>1.5520076062548045</v>
      </c>
      <c r="AJ342" s="50" t="str">
        <f t="shared" si="316"/>
        <v>1+0.0480432683896115i</v>
      </c>
      <c r="AK342" s="50">
        <f t="shared" si="335"/>
        <v>1.0011534126384209</v>
      </c>
      <c r="AL342" s="50">
        <f t="shared" si="336"/>
        <v>4.8006355715999829E-2</v>
      </c>
      <c r="AM342" s="50" t="str">
        <f t="shared" si="317"/>
        <v>1-0.221658791185443i</v>
      </c>
      <c r="AN342" s="50">
        <f t="shared" si="337"/>
        <v>1.0242717509088064</v>
      </c>
      <c r="AO342" s="50">
        <f t="shared" si="338"/>
        <v>-0.21813196522075642</v>
      </c>
      <c r="AP342" s="59" t="str">
        <f t="shared" si="339"/>
        <v>-0.229900262584308-1.50751382836334i</v>
      </c>
      <c r="AQ342" s="50">
        <f t="shared" si="340"/>
        <v>3.6650739331916951</v>
      </c>
      <c r="AR342" s="62">
        <f t="shared" si="341"/>
        <v>-98.670965022315244</v>
      </c>
      <c r="AS342" s="32" t="str">
        <f t="shared" si="318"/>
        <v>-0.0000166666666666667</v>
      </c>
      <c r="AT342" s="32" t="str">
        <f t="shared" si="319"/>
        <v>0.000371243437556089i</v>
      </c>
      <c r="AU342" s="32">
        <f t="shared" si="342"/>
        <v>3.7124343755608901E-4</v>
      </c>
      <c r="AV342" s="32">
        <f t="shared" si="343"/>
        <v>1.5707963267948966</v>
      </c>
      <c r="AW342" s="32" t="str">
        <f t="shared" si="320"/>
        <v>1+0.377280960589007i</v>
      </c>
      <c r="AX342" s="32">
        <f t="shared" si="344"/>
        <v>1.0688035007535126</v>
      </c>
      <c r="AY342" s="32">
        <f t="shared" si="345"/>
        <v>0.36076891538502937</v>
      </c>
      <c r="AZ342" s="32" t="str">
        <f t="shared" si="321"/>
        <v>1+12.8275526600263i</v>
      </c>
      <c r="BA342" s="32">
        <f t="shared" si="346"/>
        <v>12.866472214470745</v>
      </c>
      <c r="BB342" s="32">
        <f t="shared" si="347"/>
        <v>1.4929964840146497</v>
      </c>
      <c r="BC342" s="59" t="str">
        <f t="shared" si="348"/>
        <v>-0.489297568978983+0.22949682864203i</v>
      </c>
      <c r="BD342" s="50">
        <f t="shared" si="349"/>
        <v>-5.3449683387020297</v>
      </c>
      <c r="BE342" s="62">
        <f t="shared" si="350"/>
        <v>154.87186113083604</v>
      </c>
      <c r="BF342" s="59" t="str">
        <f t="shared" si="351"/>
        <v>0.302367724557332+0.110530351290033i</v>
      </c>
      <c r="BG342" s="65">
        <f t="shared" si="352"/>
        <v>-9.8445918904030449</v>
      </c>
      <c r="BH342" s="62">
        <f t="shared" si="353"/>
        <v>20.079856694777298</v>
      </c>
      <c r="BI342" s="59" t="str">
        <f t="shared" si="306"/>
        <v>0.458459282333524+0.684861470253313i</v>
      </c>
      <c r="BJ342" s="65">
        <f t="shared" si="354"/>
        <v>-1.6798944055103371</v>
      </c>
      <c r="BK342" s="62">
        <f t="shared" si="307"/>
        <v>56.20089610852078</v>
      </c>
      <c r="BL342" s="50">
        <f t="shared" si="355"/>
        <v>-9.8445918904030449</v>
      </c>
      <c r="BM342" s="62">
        <f t="shared" si="356"/>
        <v>20.079856694777298</v>
      </c>
    </row>
    <row r="343" spans="14:65" x14ac:dyDescent="0.3">
      <c r="N343" s="11">
        <v>25</v>
      </c>
      <c r="O343" s="51">
        <f t="shared" si="308"/>
        <v>17782.794100389234</v>
      </c>
      <c r="P343" s="49" t="str">
        <f t="shared" si="309"/>
        <v>27.9103246607183</v>
      </c>
      <c r="Q343" s="18" t="str">
        <f t="shared" si="310"/>
        <v>1+54.8854746733682i</v>
      </c>
      <c r="R343" s="18">
        <f t="shared" si="322"/>
        <v>54.894583795862246</v>
      </c>
      <c r="S343" s="18">
        <f t="shared" si="323"/>
        <v>1.5525785856747643</v>
      </c>
      <c r="T343" s="18" t="str">
        <f t="shared" si="311"/>
        <v>1+0.0491623398693527i</v>
      </c>
      <c r="U343" s="18">
        <f t="shared" si="324"/>
        <v>1.001207738514555</v>
      </c>
      <c r="V343" s="18">
        <f t="shared" si="325"/>
        <v>4.9122789803365603E-2</v>
      </c>
      <c r="W343" s="32" t="str">
        <f t="shared" si="312"/>
        <v>1-0.64832490849034i</v>
      </c>
      <c r="X343" s="18">
        <f t="shared" si="326"/>
        <v>1.1917739663917011</v>
      </c>
      <c r="Y343" s="18">
        <f t="shared" si="327"/>
        <v>-0.57519675038820361</v>
      </c>
      <c r="Z343" s="32" t="str">
        <f t="shared" si="313"/>
        <v>0.993466368470727+0.296472271681142i</v>
      </c>
      <c r="AA343" s="18">
        <f t="shared" si="328"/>
        <v>1.0367599689215394</v>
      </c>
      <c r="AB343" s="18">
        <f t="shared" si="329"/>
        <v>0.29000850724085653</v>
      </c>
      <c r="AC343" s="67" t="str">
        <f t="shared" si="330"/>
        <v>-0.418897225200279-0.4085808825397i</v>
      </c>
      <c r="AD343" s="65">
        <f t="shared" si="331"/>
        <v>-4.6544947266565568</v>
      </c>
      <c r="AE343" s="62">
        <f t="shared" si="332"/>
        <v>-135.71428146258765</v>
      </c>
      <c r="AF343" s="50" t="str">
        <f t="shared" si="314"/>
        <v>79.1527877025864</v>
      </c>
      <c r="AG343" s="50" t="str">
        <f t="shared" si="315"/>
        <v>1+54.4567457014366i</v>
      </c>
      <c r="AH343" s="50">
        <f t="shared" si="333"/>
        <v>54.465926526507687</v>
      </c>
      <c r="AI343" s="50">
        <f t="shared" si="334"/>
        <v>1.5524351925127984</v>
      </c>
      <c r="AJ343" s="50" t="str">
        <f t="shared" si="316"/>
        <v>1+0.0491623398693527i</v>
      </c>
      <c r="AK343" s="50">
        <f t="shared" si="335"/>
        <v>1.001207738514555</v>
      </c>
      <c r="AL343" s="50">
        <f t="shared" si="336"/>
        <v>4.9122789803365603E-2</v>
      </c>
      <c r="AM343" s="50" t="str">
        <f t="shared" si="317"/>
        <v>1-0.226821887697486i</v>
      </c>
      <c r="AN343" s="50">
        <f t="shared" si="337"/>
        <v>1.0254014671038125</v>
      </c>
      <c r="AO343" s="50">
        <f t="shared" si="338"/>
        <v>-0.22304786321692105</v>
      </c>
      <c r="AP343" s="59" t="str">
        <f t="shared" si="339"/>
        <v>-0.231161393199564-1.47395126711923i</v>
      </c>
      <c r="AQ343" s="50">
        <f t="shared" si="340"/>
        <v>3.475189025911785</v>
      </c>
      <c r="AR343" s="62">
        <f t="shared" si="341"/>
        <v>-98.913157156662479</v>
      </c>
      <c r="AS343" s="32" t="str">
        <f t="shared" si="318"/>
        <v>-0.0000166666666666667</v>
      </c>
      <c r="AT343" s="32" t="str">
        <f t="shared" si="319"/>
        <v>0.000379890808081363i</v>
      </c>
      <c r="AU343" s="32">
        <f t="shared" si="342"/>
        <v>3.7989080808136302E-4</v>
      </c>
      <c r="AV343" s="32">
        <f t="shared" si="343"/>
        <v>1.5707963267948966</v>
      </c>
      <c r="AW343" s="32" t="str">
        <f t="shared" si="320"/>
        <v>1+0.386068963091681i</v>
      </c>
      <c r="AX343" s="32">
        <f t="shared" si="344"/>
        <v>1.0719371456679192</v>
      </c>
      <c r="AY343" s="32">
        <f t="shared" si="345"/>
        <v>0.36843947840550634</v>
      </c>
      <c r="AZ343" s="32" t="str">
        <f t="shared" si="321"/>
        <v>1+13.1263447451171i</v>
      </c>
      <c r="BA343" s="32">
        <f t="shared" si="346"/>
        <v>13.164380971685045</v>
      </c>
      <c r="BB343" s="32">
        <f t="shared" si="347"/>
        <v>1.4947605279018801</v>
      </c>
      <c r="BC343" s="59" t="str">
        <f t="shared" si="348"/>
        <v>-0.486440976719719+0.23167201917812i</v>
      </c>
      <c r="BD343" s="50">
        <f t="shared" si="349"/>
        <v>-5.3715782879927145</v>
      </c>
      <c r="BE343" s="62">
        <f t="shared" si="350"/>
        <v>154.53344251288763</v>
      </c>
      <c r="BF343" s="59" t="str">
        <f t="shared" si="351"/>
        <v>0.298425533427154+0.101703717581356i</v>
      </c>
      <c r="BG343" s="65">
        <f t="shared" si="352"/>
        <v>-10.026073014649281</v>
      </c>
      <c r="BH343" s="62">
        <f t="shared" si="353"/>
        <v>18.819161050299986</v>
      </c>
      <c r="BI343" s="59" t="str">
        <f t="shared" si="306"/>
        <v>0.453919640111547+0.663436667296175i</v>
      </c>
      <c r="BJ343" s="65">
        <f t="shared" si="354"/>
        <v>-1.8963892620809326</v>
      </c>
      <c r="BK343" s="62">
        <f t="shared" si="307"/>
        <v>55.620285356225175</v>
      </c>
      <c r="BL343" s="50">
        <f t="shared" si="355"/>
        <v>-10.026073014649281</v>
      </c>
      <c r="BM343" s="62">
        <f t="shared" si="356"/>
        <v>18.819161050299986</v>
      </c>
    </row>
    <row r="344" spans="14:65" x14ac:dyDescent="0.3">
      <c r="N344" s="11">
        <v>26</v>
      </c>
      <c r="O344" s="51">
        <f t="shared" si="308"/>
        <v>18197.008586099837</v>
      </c>
      <c r="P344" s="49" t="str">
        <f t="shared" si="309"/>
        <v>27.9103246607183</v>
      </c>
      <c r="Q344" s="18" t="str">
        <f t="shared" si="310"/>
        <v>1+56.1639216112606i</v>
      </c>
      <c r="R344" s="18">
        <f t="shared" si="322"/>
        <v>56.172823418053554</v>
      </c>
      <c r="S344" s="18">
        <f t="shared" si="323"/>
        <v>1.5529931834522597</v>
      </c>
      <c r="T344" s="18" t="str">
        <f t="shared" si="311"/>
        <v>1+0.0503074778724334i</v>
      </c>
      <c r="U344" s="18">
        <f t="shared" si="324"/>
        <v>1.001264621531134</v>
      </c>
      <c r="V344" s="18">
        <f t="shared" si="325"/>
        <v>5.0265102103509603E-2</v>
      </c>
      <c r="W344" s="32" t="str">
        <f t="shared" si="312"/>
        <v>1-0.663426335579227i</v>
      </c>
      <c r="X344" s="18">
        <f t="shared" si="326"/>
        <v>1.2000560414997632</v>
      </c>
      <c r="Y344" s="18">
        <f t="shared" si="327"/>
        <v>-0.58575594121687014</v>
      </c>
      <c r="Z344" s="32" t="str">
        <f t="shared" si="313"/>
        <v>0.993158447903252+0.303377998016869i</v>
      </c>
      <c r="AA344" s="18">
        <f t="shared" si="328"/>
        <v>1.0384613196081596</v>
      </c>
      <c r="AB344" s="18">
        <f t="shared" si="329"/>
        <v>0.29646561134181376</v>
      </c>
      <c r="AC344" s="67" t="str">
        <f t="shared" si="330"/>
        <v>-0.418041601761074-0.394665644863002i</v>
      </c>
      <c r="AD344" s="65">
        <f t="shared" si="331"/>
        <v>-4.8080258173105994</v>
      </c>
      <c r="AE344" s="62">
        <f t="shared" si="332"/>
        <v>-136.64754837416689</v>
      </c>
      <c r="AF344" s="50" t="str">
        <f t="shared" si="314"/>
        <v>79.1527877025864</v>
      </c>
      <c r="AG344" s="50" t="str">
        <f t="shared" si="315"/>
        <v>1+55.7252062586953i</v>
      </c>
      <c r="AH344" s="50">
        <f t="shared" si="333"/>
        <v>55.734178136706518</v>
      </c>
      <c r="AI344" s="50">
        <f t="shared" si="334"/>
        <v>1.5528530522076853</v>
      </c>
      <c r="AJ344" s="50" t="str">
        <f t="shared" si="316"/>
        <v>1+0.0503074778724334i</v>
      </c>
      <c r="AK344" s="50">
        <f t="shared" si="335"/>
        <v>1.001264621531134</v>
      </c>
      <c r="AL344" s="50">
        <f t="shared" si="336"/>
        <v>5.0265102103509603E-2</v>
      </c>
      <c r="AM344" s="50" t="str">
        <f t="shared" si="317"/>
        <v>1-0.23210524817673i</v>
      </c>
      <c r="AN344" s="50">
        <f t="shared" si="337"/>
        <v>1.0265830927066653</v>
      </c>
      <c r="AO344" s="50">
        <f t="shared" si="338"/>
        <v>-0.22806694213931125</v>
      </c>
      <c r="AP344" s="59" t="str">
        <f t="shared" si="339"/>
        <v>-0.232365800993551-1.44116812986701i</v>
      </c>
      <c r="AQ344" s="50">
        <f t="shared" si="340"/>
        <v>3.2857518438910907</v>
      </c>
      <c r="AR344" s="62">
        <f t="shared" si="341"/>
        <v>-99.159221119220106</v>
      </c>
      <c r="AS344" s="32" t="str">
        <f t="shared" si="318"/>
        <v>-0.0000166666666666667</v>
      </c>
      <c r="AT344" s="32" t="str">
        <f t="shared" si="319"/>
        <v>0.000388739601741531i</v>
      </c>
      <c r="AU344" s="32">
        <f t="shared" si="342"/>
        <v>3.8873960174153099E-4</v>
      </c>
      <c r="AV344" s="32">
        <f t="shared" si="343"/>
        <v>1.5707963267948966</v>
      </c>
      <c r="AW344" s="32" t="str">
        <f t="shared" si="320"/>
        <v>1+0.395061664468814i</v>
      </c>
      <c r="AX344" s="32">
        <f t="shared" si="344"/>
        <v>1.0752086861316132</v>
      </c>
      <c r="AY344" s="32">
        <f t="shared" si="345"/>
        <v>0.37624195534137861</v>
      </c>
      <c r="AZ344" s="32" t="str">
        <f t="shared" si="321"/>
        <v>1+13.4320965919397i</v>
      </c>
      <c r="BA344" s="32">
        <f t="shared" si="346"/>
        <v>13.469269425443908</v>
      </c>
      <c r="BB344" s="32">
        <f t="shared" si="347"/>
        <v>1.4964848755216995</v>
      </c>
      <c r="BC344" s="59" t="str">
        <f t="shared" si="348"/>
        <v>-0.483485289580703+0.233880104476115i</v>
      </c>
      <c r="BD344" s="50">
        <f t="shared" si="349"/>
        <v>-5.3991751958979508</v>
      </c>
      <c r="BE344" s="62">
        <f t="shared" si="350"/>
        <v>154.18519135574323</v>
      </c>
      <c r="BF344" s="59" t="str">
        <f t="shared" si="351"/>
        <v>0.294421407137926+0.093043420098901i</v>
      </c>
      <c r="BG344" s="65">
        <f t="shared" si="352"/>
        <v>-10.20720101320855</v>
      </c>
      <c r="BH344" s="62">
        <f t="shared" si="353"/>
        <v>17.537642981576376</v>
      </c>
      <c r="BI344" s="59" t="str">
        <f t="shared" si="306"/>
        <v>0.449405999362963+0.642437852790184i</v>
      </c>
      <c r="BJ344" s="65">
        <f t="shared" si="354"/>
        <v>-2.1134233520068531</v>
      </c>
      <c r="BK344" s="62">
        <f t="shared" si="307"/>
        <v>55.025970236523122</v>
      </c>
      <c r="BL344" s="50">
        <f t="shared" si="355"/>
        <v>-10.20720101320855</v>
      </c>
      <c r="BM344" s="62">
        <f t="shared" si="356"/>
        <v>17.537642981576376</v>
      </c>
    </row>
    <row r="345" spans="14:65" x14ac:dyDescent="0.3">
      <c r="N345" s="11">
        <v>27</v>
      </c>
      <c r="O345" s="51">
        <f t="shared" si="308"/>
        <v>18620.871366628675</v>
      </c>
      <c r="P345" s="49" t="str">
        <f t="shared" si="309"/>
        <v>27.9103246607183</v>
      </c>
      <c r="Q345" s="18" t="str">
        <f t="shared" si="310"/>
        <v>1+57.4721474038085i</v>
      </c>
      <c r="R345" s="18">
        <f t="shared" si="322"/>
        <v>57.480846611763575</v>
      </c>
      <c r="S345" s="18">
        <f t="shared" si="323"/>
        <v>1.5533983497469304</v>
      </c>
      <c r="T345" s="18" t="str">
        <f t="shared" si="311"/>
        <v>1+0.0514792895661801i</v>
      </c>
      <c r="U345" s="18">
        <f t="shared" si="324"/>
        <v>1.0013241818982694</v>
      </c>
      <c r="V345" s="18">
        <f t="shared" si="325"/>
        <v>5.1433886354140423E-2</v>
      </c>
      <c r="W345" s="32" t="str">
        <f t="shared" si="312"/>
        <v>1-0.678879520092722i</v>
      </c>
      <c r="X345" s="18">
        <f t="shared" si="326"/>
        <v>1.2086676146903765</v>
      </c>
      <c r="Y345" s="18">
        <f t="shared" si="327"/>
        <v>-0.5964100663433386</v>
      </c>
      <c r="Z345" s="32" t="str">
        <f t="shared" si="313"/>
        <v>0.992836015486518+0.310444579382826i</v>
      </c>
      <c r="AA345" s="18">
        <f t="shared" si="328"/>
        <v>1.040239967755193</v>
      </c>
      <c r="AB345" s="18">
        <f t="shared" si="329"/>
        <v>0.3030530791843048</v>
      </c>
      <c r="AC345" s="67" t="str">
        <f t="shared" si="330"/>
        <v>-0.417115507652392-0.380990062311776i</v>
      </c>
      <c r="AD345" s="65">
        <f t="shared" si="331"/>
        <v>-4.9602042725917403</v>
      </c>
      <c r="AE345" s="62">
        <f t="shared" si="332"/>
        <v>-137.59166679733366</v>
      </c>
      <c r="AF345" s="50" t="str">
        <f t="shared" si="314"/>
        <v>79.1527877025864</v>
      </c>
      <c r="AG345" s="50" t="str">
        <f t="shared" si="315"/>
        <v>1+57.0232130579225i</v>
      </c>
      <c r="AH345" s="50">
        <f t="shared" si="333"/>
        <v>57.031980742818519</v>
      </c>
      <c r="AI345" s="50">
        <f t="shared" si="334"/>
        <v>1.5532614063101824</v>
      </c>
      <c r="AJ345" s="50" t="str">
        <f t="shared" si="316"/>
        <v>1+0.0514792895661801i</v>
      </c>
      <c r="AK345" s="50">
        <f t="shared" si="335"/>
        <v>1.0013241818982694</v>
      </c>
      <c r="AL345" s="50">
        <f t="shared" si="336"/>
        <v>5.1433886354140423E-2</v>
      </c>
      <c r="AM345" s="50" t="str">
        <f t="shared" si="317"/>
        <v>1-0.237511673930833i</v>
      </c>
      <c r="AN345" s="50">
        <f t="shared" si="337"/>
        <v>1.0278189506199165</v>
      </c>
      <c r="AO345" s="50">
        <f t="shared" si="338"/>
        <v>-0.23319085122531702</v>
      </c>
      <c r="AP345" s="59" t="str">
        <f t="shared" si="339"/>
        <v>-0.233516035623959-1.40914717359487i</v>
      </c>
      <c r="AQ345" s="50">
        <f t="shared" si="340"/>
        <v>3.0967817043822632</v>
      </c>
      <c r="AR345" s="62">
        <f t="shared" si="341"/>
        <v>-99.409230046354367</v>
      </c>
      <c r="AS345" s="32" t="str">
        <f t="shared" si="318"/>
        <v>-0.0000166666666666667</v>
      </c>
      <c r="AT345" s="32" t="str">
        <f t="shared" si="319"/>
        <v>0.00039779451028412i</v>
      </c>
      <c r="AU345" s="32">
        <f t="shared" si="342"/>
        <v>3.9779451028412001E-4</v>
      </c>
      <c r="AV345" s="32">
        <f t="shared" si="343"/>
        <v>1.5707963267948966</v>
      </c>
      <c r="AW345" s="32" t="str">
        <f t="shared" si="320"/>
        <v>1+0.404263832769708i</v>
      </c>
      <c r="AX345" s="32">
        <f t="shared" si="344"/>
        <v>1.0786237743002212</v>
      </c>
      <c r="AY345" s="32">
        <f t="shared" si="345"/>
        <v>0.38417668210958417</v>
      </c>
      <c r="AZ345" s="32" t="str">
        <f t="shared" si="321"/>
        <v>1+13.7449703141701i</v>
      </c>
      <c r="BA345" s="32">
        <f t="shared" si="346"/>
        <v>13.781299247074539</v>
      </c>
      <c r="BB345" s="32">
        <f t="shared" si="347"/>
        <v>1.4981704001060312</v>
      </c>
      <c r="BC345" s="59" t="str">
        <f t="shared" si="348"/>
        <v>-0.480428559249816+0.23611756965095i</v>
      </c>
      <c r="BD345" s="50">
        <f t="shared" si="349"/>
        <v>-5.4277972235844167</v>
      </c>
      <c r="BE345" s="62">
        <f t="shared" si="350"/>
        <v>153.82713844528328</v>
      </c>
      <c r="BF345" s="59" t="str">
        <f t="shared" si="351"/>
        <v>0.290352649956415+0.0845502067943391i</v>
      </c>
      <c r="BG345" s="65">
        <f t="shared" si="352"/>
        <v>-10.388001496176152</v>
      </c>
      <c r="BH345" s="62">
        <f t="shared" si="353"/>
        <v>16.235471647949637</v>
      </c>
      <c r="BI345" s="59" t="str">
        <f t="shared" si="306"/>
        <v>0.444912178466273+0.62185730757508i</v>
      </c>
      <c r="BJ345" s="65">
        <f t="shared" si="354"/>
        <v>-2.3310155192021549</v>
      </c>
      <c r="BK345" s="62">
        <f t="shared" si="307"/>
        <v>54.417908398928958</v>
      </c>
      <c r="BL345" s="50">
        <f t="shared" si="355"/>
        <v>-10.388001496176152</v>
      </c>
      <c r="BM345" s="62">
        <f t="shared" si="356"/>
        <v>16.235471647949637</v>
      </c>
    </row>
    <row r="346" spans="14:65" x14ac:dyDescent="0.3">
      <c r="N346" s="11">
        <v>28</v>
      </c>
      <c r="O346" s="51">
        <f t="shared" si="308"/>
        <v>19054.607179632505</v>
      </c>
      <c r="P346" s="49" t="str">
        <f t="shared" si="309"/>
        <v>27.9103246607183</v>
      </c>
      <c r="Q346" s="18" t="str">
        <f t="shared" si="310"/>
        <v>1+58.8108456896442i</v>
      </c>
      <c r="R346" s="18">
        <f t="shared" si="322"/>
        <v>58.819346908403709</v>
      </c>
      <c r="S346" s="18">
        <f t="shared" si="323"/>
        <v>1.5537942988509073</v>
      </c>
      <c r="T346" s="18" t="str">
        <f t="shared" si="311"/>
        <v>1+0.0526783962606643i</v>
      </c>
      <c r="U346" s="18">
        <f t="shared" si="324"/>
        <v>1.0013865454621385</v>
      </c>
      <c r="V346" s="18">
        <f t="shared" si="325"/>
        <v>5.2629749479884594E-2</v>
      </c>
      <c r="W346" s="32" t="str">
        <f t="shared" si="312"/>
        <v>1-0.69469265551381i</v>
      </c>
      <c r="X346" s="18">
        <f t="shared" si="326"/>
        <v>1.2176197623333933</v>
      </c>
      <c r="Y346" s="18">
        <f t="shared" si="327"/>
        <v>-0.60715509982955129</v>
      </c>
      <c r="Z346" s="32" t="str">
        <f t="shared" si="313"/>
        <v>0.992498387298138+0.317675762573995i</v>
      </c>
      <c r="AA346" s="18">
        <f t="shared" si="328"/>
        <v>1.0420992941732443</v>
      </c>
      <c r="AB346" s="18">
        <f t="shared" si="329"/>
        <v>0.30977265922106162</v>
      </c>
      <c r="AC346" s="67" t="str">
        <f t="shared" si="330"/>
        <v>-0.416118132891245-0.367548814271389i</v>
      </c>
      <c r="AD346" s="65">
        <f t="shared" si="331"/>
        <v>-5.1110194258369104</v>
      </c>
      <c r="AE346" s="62">
        <f t="shared" si="332"/>
        <v>-138.54648374560628</v>
      </c>
      <c r="AF346" s="50" t="str">
        <f t="shared" si="314"/>
        <v>79.1527877025864</v>
      </c>
      <c r="AG346" s="50" t="str">
        <f t="shared" si="315"/>
        <v>1+58.3514543195049i</v>
      </c>
      <c r="AH346" s="50">
        <f t="shared" si="333"/>
        <v>58.360022457168981</v>
      </c>
      <c r="AI346" s="50">
        <f t="shared" si="334"/>
        <v>1.5536604707899737</v>
      </c>
      <c r="AJ346" s="50" t="str">
        <f t="shared" si="316"/>
        <v>1+0.0526783962606643i</v>
      </c>
      <c r="AK346" s="50">
        <f t="shared" si="335"/>
        <v>1.0013865454621385</v>
      </c>
      <c r="AL346" s="50">
        <f t="shared" si="336"/>
        <v>5.2629749479884594E-2</v>
      </c>
      <c r="AM346" s="50" t="str">
        <f t="shared" si="317"/>
        <v>1-0.243044031518295i</v>
      </c>
      <c r="AN346" s="50">
        <f t="shared" si="337"/>
        <v>1.0291114620179225</v>
      </c>
      <c r="AO346" s="50">
        <f t="shared" si="338"/>
        <v>-0.23842123055938133</v>
      </c>
      <c r="AP346" s="59" t="str">
        <f t="shared" si="339"/>
        <v>-0.234614532284253-1.3778715501386i</v>
      </c>
      <c r="AQ346" s="50">
        <f t="shared" si="340"/>
        <v>2.908298638477631</v>
      </c>
      <c r="AR346" s="62">
        <f t="shared" si="341"/>
        <v>-99.663255507913846</v>
      </c>
      <c r="AS346" s="32" t="str">
        <f t="shared" si="318"/>
        <v>-0.0000166666666666667</v>
      </c>
      <c r="AT346" s="32" t="str">
        <f t="shared" si="319"/>
        <v>0.000407060334741495i</v>
      </c>
      <c r="AU346" s="32">
        <f t="shared" si="342"/>
        <v>4.0706033474149499E-4</v>
      </c>
      <c r="AV346" s="32">
        <f t="shared" si="343"/>
        <v>1.5707963267948966</v>
      </c>
      <c r="AW346" s="32" t="str">
        <f t="shared" si="320"/>
        <v>1+0.413680347105804i</v>
      </c>
      <c r="AX346" s="32">
        <f t="shared" si="344"/>
        <v>1.0821882597688715</v>
      </c>
      <c r="AY346" s="32">
        <f t="shared" si="345"/>
        <v>0.39224386821397283</v>
      </c>
      <c r="AZ346" s="32" t="str">
        <f t="shared" si="321"/>
        <v>1+14.0651318015973i</v>
      </c>
      <c r="BA346" s="32">
        <f t="shared" si="346"/>
        <v>14.100635893331324</v>
      </c>
      <c r="BB346" s="32">
        <f t="shared" si="347"/>
        <v>1.4998179570123475</v>
      </c>
      <c r="BC346" s="59" t="str">
        <f t="shared" si="348"/>
        <v>-0.477268923504086+0.238380745246932i</v>
      </c>
      <c r="BD346" s="50">
        <f t="shared" si="349"/>
        <v>-5.457483110722487</v>
      </c>
      <c r="BE346" s="62">
        <f t="shared" si="350"/>
        <v>153.45932078619472</v>
      </c>
      <c r="BF346" s="59" t="str">
        <f t="shared" si="351"/>
        <v>0.286216813596175+0.0762250762931322i</v>
      </c>
      <c r="BG346" s="65">
        <f t="shared" si="352"/>
        <v>-10.568502536559389</v>
      </c>
      <c r="BH346" s="62">
        <f t="shared" si="353"/>
        <v>14.912837040588427</v>
      </c>
      <c r="BI346" s="59" t="str">
        <f t="shared" si="306"/>
        <v>0.440432272238305+0.601687684409875i</v>
      </c>
      <c r="BJ346" s="65">
        <f t="shared" si="354"/>
        <v>-2.5491844722448604</v>
      </c>
      <c r="BK346" s="62">
        <f t="shared" si="307"/>
        <v>53.796065278280878</v>
      </c>
      <c r="BL346" s="50">
        <f t="shared" si="355"/>
        <v>-10.568502536559389</v>
      </c>
      <c r="BM346" s="62">
        <f t="shared" si="356"/>
        <v>14.912837040588427</v>
      </c>
    </row>
    <row r="347" spans="14:65" x14ac:dyDescent="0.3">
      <c r="N347" s="11">
        <v>29</v>
      </c>
      <c r="O347" s="51">
        <f t="shared" si="308"/>
        <v>19498.445997580486</v>
      </c>
      <c r="P347" s="49" t="str">
        <f t="shared" si="309"/>
        <v>27.9103246607183</v>
      </c>
      <c r="Q347" s="18" t="str">
        <f t="shared" si="310"/>
        <v>1+60.1807262643174i</v>
      </c>
      <c r="R347" s="18">
        <f t="shared" si="322"/>
        <v>60.189033998733535</v>
      </c>
      <c r="S347" s="18">
        <f t="shared" si="323"/>
        <v>1.5541812402047601</v>
      </c>
      <c r="T347" s="18" t="str">
        <f t="shared" si="311"/>
        <v>1+0.0539054337381261i</v>
      </c>
      <c r="U347" s="18">
        <f t="shared" si="324"/>
        <v>1.0014518439677944</v>
      </c>
      <c r="V347" s="18">
        <f t="shared" si="325"/>
        <v>5.3853311853915051E-2</v>
      </c>
      <c r="W347" s="32" t="str">
        <f t="shared" si="312"/>
        <v>1-0.710874126176185i</v>
      </c>
      <c r="X347" s="18">
        <f t="shared" si="326"/>
        <v>1.2269238049963636</v>
      </c>
      <c r="Y347" s="18">
        <f t="shared" si="327"/>
        <v>-0.61798681425683211</v>
      </c>
      <c r="Z347" s="32" t="str">
        <f t="shared" si="313"/>
        <v>0.99214484718346+0.325075381659412i</v>
      </c>
      <c r="AA347" s="18">
        <f t="shared" si="328"/>
        <v>1.0440428159580926</v>
      </c>
      <c r="AB347" s="18">
        <f t="shared" si="329"/>
        <v>0.31662606454163628</v>
      </c>
      <c r="AC347" s="67" t="str">
        <f t="shared" si="330"/>
        <v>-0.415048610489916-0.354336800211891i</v>
      </c>
      <c r="AD347" s="65">
        <f t="shared" si="331"/>
        <v>-5.260462616630516</v>
      </c>
      <c r="AE347" s="62">
        <f t="shared" si="332"/>
        <v>-139.51183161383372</v>
      </c>
      <c r="AF347" s="50" t="str">
        <f t="shared" si="314"/>
        <v>79.1527877025864</v>
      </c>
      <c r="AG347" s="50" t="str">
        <f t="shared" si="315"/>
        <v>1+59.7106342945396i</v>
      </c>
      <c r="AH347" s="50">
        <f t="shared" si="333"/>
        <v>59.719007425243163</v>
      </c>
      <c r="AI347" s="50">
        <f t="shared" si="334"/>
        <v>1.5540504567276203</v>
      </c>
      <c r="AJ347" s="50" t="str">
        <f t="shared" si="316"/>
        <v>1+0.0539054337381261i</v>
      </c>
      <c r="AK347" s="50">
        <f t="shared" si="335"/>
        <v>1.0014518439677944</v>
      </c>
      <c r="AL347" s="50">
        <f t="shared" si="336"/>
        <v>5.3853311853915051E-2</v>
      </c>
      <c r="AM347" s="50" t="str">
        <f t="shared" si="317"/>
        <v>1-0.248705254268332i</v>
      </c>
      <c r="AN347" s="50">
        <f t="shared" si="337"/>
        <v>1.0304631499964838</v>
      </c>
      <c r="AO347" s="50">
        <f t="shared" si="338"/>
        <v>-0.24375970816254819</v>
      </c>
      <c r="AP347" s="59" t="str">
        <f t="shared" si="339"/>
        <v>-0.235663616829972-1.34732479786632i</v>
      </c>
      <c r="AQ347" s="50">
        <f t="shared" si="340"/>
        <v>2.7203234097936404</v>
      </c>
      <c r="AR347" s="62">
        <f t="shared" si="341"/>
        <v>-99.921367331894061</v>
      </c>
      <c r="AS347" s="32" t="str">
        <f t="shared" si="318"/>
        <v>-0.0000166666666666667</v>
      </c>
      <c r="AT347" s="32" t="str">
        <f t="shared" si="319"/>
        <v>0.00041654198797643i</v>
      </c>
      <c r="AU347" s="32">
        <f t="shared" si="342"/>
        <v>4.1654198797642998E-4</v>
      </c>
      <c r="AV347" s="32">
        <f t="shared" si="343"/>
        <v>1.5707963267948966</v>
      </c>
      <c r="AW347" s="32" t="str">
        <f t="shared" si="320"/>
        <v>1+0.423316200237637i</v>
      </c>
      <c r="AX347" s="32">
        <f t="shared" si="344"/>
        <v>1.0859081938099699</v>
      </c>
      <c r="AY347" s="32">
        <f t="shared" si="345"/>
        <v>0.40044358987094403</v>
      </c>
      <c r="AZ347" s="32" t="str">
        <f t="shared" si="321"/>
        <v>1+14.3927508080797i</v>
      </c>
      <c r="BA347" s="32">
        <f t="shared" si="346"/>
        <v>14.427448694189797</v>
      </c>
      <c r="BB347" s="32">
        <f t="shared" si="347"/>
        <v>1.5014283839994549</v>
      </c>
      <c r="BC347" s="59" t="str">
        <f t="shared" si="348"/>
        <v>-0.474004618166584+0.240665806594222i</v>
      </c>
      <c r="BD347" s="50">
        <f t="shared" si="349"/>
        <v>-5.4882721470202931</v>
      </c>
      <c r="BE347" s="62">
        <f t="shared" si="350"/>
        <v>153.08178201164341</v>
      </c>
      <c r="BF347" s="59" t="str">
        <f t="shared" si="351"/>
        <v>0.282011709964854+0.0680692710674399i</v>
      </c>
      <c r="BG347" s="65">
        <f t="shared" si="352"/>
        <v>-10.748734763650818</v>
      </c>
      <c r="BH347" s="62">
        <f t="shared" si="353"/>
        <v>13.569950397809716</v>
      </c>
      <c r="BI347" s="59" t="str">
        <f t="shared" si="306"/>
        <v>0.435960651934142+0.581922001929698i</v>
      </c>
      <c r="BJ347" s="65">
        <f t="shared" si="354"/>
        <v>-2.7679487372266558</v>
      </c>
      <c r="BK347" s="62">
        <f t="shared" si="307"/>
        <v>53.160414679749351</v>
      </c>
      <c r="BL347" s="50">
        <f t="shared" si="355"/>
        <v>-10.748734763650818</v>
      </c>
      <c r="BM347" s="62">
        <f t="shared" si="356"/>
        <v>13.569950397809716</v>
      </c>
    </row>
    <row r="348" spans="14:65" x14ac:dyDescent="0.3">
      <c r="N348" s="11">
        <v>30</v>
      </c>
      <c r="O348" s="51">
        <f t="shared" si="308"/>
        <v>19952.623149688792</v>
      </c>
      <c r="P348" s="49" t="str">
        <f t="shared" si="309"/>
        <v>27.9103246607183</v>
      </c>
      <c r="Q348" s="18" t="str">
        <f t="shared" si="310"/>
        <v>1+61.5825154566424i</v>
      </c>
      <c r="R348" s="18">
        <f t="shared" si="322"/>
        <v>61.590634109153321</v>
      </c>
      <c r="S348" s="18">
        <f t="shared" si="323"/>
        <v>1.5545593785061762</v>
      </c>
      <c r="T348" s="18" t="str">
        <f t="shared" si="311"/>
        <v>1+0.0551610525900791i</v>
      </c>
      <c r="U348" s="18">
        <f t="shared" si="324"/>
        <v>1.0015202153340919</v>
      </c>
      <c r="V348" s="18">
        <f t="shared" si="325"/>
        <v>5.5105207562480718E-2</v>
      </c>
      <c r="W348" s="32" t="str">
        <f t="shared" si="312"/>
        <v>1-0.727432511709796i</v>
      </c>
      <c r="X348" s="18">
        <f t="shared" si="326"/>
        <v>1.2365913064114684</v>
      </c>
      <c r="Y348" s="18">
        <f t="shared" si="327"/>
        <v>-0.6289007861313316</v>
      </c>
      <c r="Z348" s="32" t="str">
        <f t="shared" si="313"/>
        <v>0.991774645236498+0.332647360015068i</v>
      </c>
      <c r="AA348" s="18">
        <f t="shared" si="328"/>
        <v>1.0460741909917173</v>
      </c>
      <c r="AB348" s="18">
        <f t="shared" si="329"/>
        <v>0.32361496829605957</v>
      </c>
      <c r="AC348" s="67" t="str">
        <f t="shared" si="330"/>
        <v>-0.413906021442121-0.341349140672248i</v>
      </c>
      <c r="AD348" s="65">
        <f t="shared" si="331"/>
        <v>-5.4085273100580933</v>
      </c>
      <c r="AE348" s="62">
        <f t="shared" si="332"/>
        <v>-140.4875282167707</v>
      </c>
      <c r="AF348" s="50" t="str">
        <f t="shared" si="314"/>
        <v>79.1527877025864</v>
      </c>
      <c r="AG348" s="50" t="str">
        <f t="shared" si="315"/>
        <v>1+61.1014736382413i</v>
      </c>
      <c r="AH348" s="50">
        <f t="shared" si="333"/>
        <v>61.109656199038604</v>
      </c>
      <c r="AI348" s="50">
        <f t="shared" si="334"/>
        <v>1.5544315704240559</v>
      </c>
      <c r="AJ348" s="50" t="str">
        <f t="shared" si="316"/>
        <v>1+0.0551610525900791i</v>
      </c>
      <c r="AK348" s="50">
        <f t="shared" si="335"/>
        <v>1.0015202153340919</v>
      </c>
      <c r="AL348" s="50">
        <f t="shared" si="336"/>
        <v>5.5105207562480718E-2</v>
      </c>
      <c r="AM348" s="50" t="str">
        <f t="shared" si="317"/>
        <v>1-0.254498343836188i</v>
      </c>
      <c r="AN348" s="50">
        <f t="shared" si="337"/>
        <v>1.031876643313222</v>
      </c>
      <c r="AO348" s="50">
        <f t="shared" si="338"/>
        <v>-0.24920789689579484</v>
      </c>
      <c r="AP348" s="59" t="str">
        <f t="shared" si="339"/>
        <v>-0.236665510676566-1.31749083352681i</v>
      </c>
      <c r="AQ348" s="50">
        <f t="shared" si="340"/>
        <v>2.5328775328007462</v>
      </c>
      <c r="AR348" s="62">
        <f t="shared" si="341"/>
        <v>-100.18363341812891</v>
      </c>
      <c r="AS348" s="32" t="str">
        <f t="shared" si="318"/>
        <v>-0.0000166666666666667</v>
      </c>
      <c r="AT348" s="32" t="str">
        <f t="shared" si="319"/>
        <v>0.000426244497286974i</v>
      </c>
      <c r="AU348" s="32">
        <f t="shared" si="342"/>
        <v>4.2624449728697402E-4</v>
      </c>
      <c r="AV348" s="32">
        <f t="shared" si="343"/>
        <v>1.5707963267948966</v>
      </c>
      <c r="AW348" s="32" t="str">
        <f t="shared" si="320"/>
        <v>1+0.433176501222091i</v>
      </c>
      <c r="AX348" s="32">
        <f t="shared" si="344"/>
        <v>1.089789833505072</v>
      </c>
      <c r="AY348" s="32">
        <f t="shared" si="345"/>
        <v>0.40877578313631641</v>
      </c>
      <c r="AZ348" s="32" t="str">
        <f t="shared" si="321"/>
        <v>1+14.7280010415511i</v>
      </c>
      <c r="BA348" s="32">
        <f t="shared" si="346"/>
        <v>14.76191094269066</v>
      </c>
      <c r="BB348" s="32">
        <f t="shared" si="347"/>
        <v>1.5030025015054782</v>
      </c>
      <c r="BC348" s="59" t="str">
        <f t="shared" si="348"/>
        <v>-0.470633989522379+0.242968773979819i</v>
      </c>
      <c r="BD348" s="50">
        <f t="shared" si="349"/>
        <v>-5.5202041392120114</v>
      </c>
      <c r="BE348" s="62">
        <f t="shared" si="350"/>
        <v>152.69457279300306</v>
      </c>
      <c r="BF348" s="59" t="str">
        <f t="shared" si="351"/>
        <v>0.277735424366842+0.060084269321959i</v>
      </c>
      <c r="BG348" s="65">
        <f t="shared" si="352"/>
        <v>-10.928731449270092</v>
      </c>
      <c r="BH348" s="62">
        <f t="shared" si="353"/>
        <v>12.207044576232363</v>
      </c>
      <c r="BI348" s="59" t="str">
        <f t="shared" si="306"/>
        <v>0.431491966023722+0.562553638169494i</v>
      </c>
      <c r="BJ348" s="65">
        <f t="shared" si="354"/>
        <v>-2.9873266064112691</v>
      </c>
      <c r="BK348" s="62">
        <f t="shared" si="307"/>
        <v>52.510939374874184</v>
      </c>
      <c r="BL348" s="50">
        <f t="shared" si="355"/>
        <v>-10.928731449270092</v>
      </c>
      <c r="BM348" s="62">
        <f t="shared" si="356"/>
        <v>12.207044576232363</v>
      </c>
    </row>
    <row r="349" spans="14:65" x14ac:dyDescent="0.3">
      <c r="N349" s="11">
        <v>31</v>
      </c>
      <c r="O349" s="51">
        <f t="shared" si="308"/>
        <v>20417.379446695286</v>
      </c>
      <c r="P349" s="49" t="str">
        <f t="shared" si="309"/>
        <v>27.9103246607183</v>
      </c>
      <c r="Q349" s="18" t="str">
        <f t="shared" si="310"/>
        <v>1+63.0169565138032i</v>
      </c>
      <c r="R349" s="18">
        <f t="shared" si="322"/>
        <v>63.024890386755636</v>
      </c>
      <c r="S349" s="18">
        <f t="shared" si="323"/>
        <v>1.5549289138162847</v>
      </c>
      <c r="T349" s="18" t="str">
        <f t="shared" si="311"/>
        <v>1+0.0564459185622579i</v>
      </c>
      <c r="U349" s="18">
        <f t="shared" si="324"/>
        <v>1.0015918039412748</v>
      </c>
      <c r="V349" s="18">
        <f t="shared" si="325"/>
        <v>5.6386084672164945E-2</v>
      </c>
      <c r="W349" s="32" t="str">
        <f t="shared" si="312"/>
        <v>1-0.74437659158982i</v>
      </c>
      <c r="X349" s="18">
        <f t="shared" si="326"/>
        <v>1.246634072254917</v>
      </c>
      <c r="Y349" s="18">
        <f t="shared" si="327"/>
        <v>-0.63989240228301714</v>
      </c>
      <c r="Z349" s="32" t="str">
        <f t="shared" si="313"/>
        <v>0.991386996209291+0.340395712404111i</v>
      </c>
      <c r="AA349" s="18">
        <f t="shared" si="328"/>
        <v>1.0481972225091911</v>
      </c>
      <c r="AB349" s="18">
        <f t="shared" si="329"/>
        <v>0.33074099890864966</v>
      </c>
      <c r="AC349" s="67" t="str">
        <f t="shared" si="330"/>
        <v>-0.41268939999046-0.328581178279613i</v>
      </c>
      <c r="AD349" s="65">
        <f t="shared" si="331"/>
        <v>-5.5552092124595784</v>
      </c>
      <c r="AE349" s="62">
        <f t="shared" si="332"/>
        <v>-141.47337687226295</v>
      </c>
      <c r="AF349" s="50" t="str">
        <f t="shared" si="314"/>
        <v>79.1527877025864</v>
      </c>
      <c r="AG349" s="50" t="str">
        <f t="shared" si="315"/>
        <v>1+62.5247097920394i</v>
      </c>
      <c r="AH349" s="50">
        <f t="shared" si="333"/>
        <v>62.532706119108177</v>
      </c>
      <c r="AI349" s="50">
        <f t="shared" si="334"/>
        <v>1.5548040135077059</v>
      </c>
      <c r="AJ349" s="50" t="str">
        <f t="shared" si="316"/>
        <v>1+0.0564459185622579i</v>
      </c>
      <c r="AK349" s="50">
        <f t="shared" si="335"/>
        <v>1.0015918039412748</v>
      </c>
      <c r="AL349" s="50">
        <f t="shared" si="336"/>
        <v>5.6386084672164945E-2</v>
      </c>
      <c r="AM349" s="50" t="str">
        <f t="shared" si="317"/>
        <v>1-0.260426371794628i</v>
      </c>
      <c r="AN349" s="50">
        <f t="shared" si="337"/>
        <v>1.033354680216872</v>
      </c>
      <c r="AO349" s="50">
        <f t="shared" si="338"/>
        <v>-0.25476739117155095</v>
      </c>
      <c r="AP349" s="59" t="str">
        <f t="shared" si="339"/>
        <v>-0.237622335478803-1.2883539442603i</v>
      </c>
      <c r="AQ349" s="50">
        <f t="shared" si="340"/>
        <v>2.3459832907065072</v>
      </c>
      <c r="AR349" s="62">
        <f t="shared" si="341"/>
        <v>-100.45011954069892</v>
      </c>
      <c r="AS349" s="32" t="str">
        <f t="shared" si="318"/>
        <v>-0.0000166666666666667</v>
      </c>
      <c r="AT349" s="32" t="str">
        <f t="shared" si="319"/>
        <v>0.000436173007071993i</v>
      </c>
      <c r="AU349" s="32">
        <f t="shared" si="342"/>
        <v>4.3617300707199299E-4</v>
      </c>
      <c r="AV349" s="32">
        <f t="shared" si="343"/>
        <v>1.5707963267948966</v>
      </c>
      <c r="AW349" s="32" t="str">
        <f t="shared" si="320"/>
        <v>1+0.44326647812126i</v>
      </c>
      <c r="AX349" s="32">
        <f t="shared" si="344"/>
        <v>1.093839645755275</v>
      </c>
      <c r="AY349" s="32">
        <f t="shared" si="345"/>
        <v>0.41724023706810737</v>
      </c>
      <c r="AZ349" s="32" t="str">
        <f t="shared" si="321"/>
        <v>1+15.0710602561228i</v>
      </c>
      <c r="BA349" s="32">
        <f t="shared" si="346"/>
        <v>15.104199986880612</v>
      </c>
      <c r="BB349" s="32">
        <f t="shared" si="347"/>
        <v>1.5045411129274504</v>
      </c>
      <c r="BC349" s="59" t="str">
        <f t="shared" si="348"/>
        <v>-0.467155507147446+0.245285513703984i</v>
      </c>
      <c r="BD349" s="50">
        <f t="shared" si="349"/>
        <v>-5.5533193733514779</v>
      </c>
      <c r="BE349" s="62">
        <f t="shared" si="350"/>
        <v>152.29775124761824</v>
      </c>
      <c r="BF349" s="59" t="str">
        <f t="shared" si="351"/>
        <v>0.273386329054694+0.0522717755014691i</v>
      </c>
      <c r="BG349" s="65">
        <f t="shared" si="352"/>
        <v>-11.108528585811047</v>
      </c>
      <c r="BH349" s="62">
        <f t="shared" si="353"/>
        <v>10.824374375355287</v>
      </c>
      <c r="BI349" s="59" t="str">
        <f t="shared" si="306"/>
        <v>0.427021141690602+0.543576323590874i</v>
      </c>
      <c r="BJ349" s="65">
        <f t="shared" si="354"/>
        <v>-3.2073360826449737</v>
      </c>
      <c r="BK349" s="62">
        <f t="shared" si="307"/>
        <v>51.84763170691933</v>
      </c>
      <c r="BL349" s="50">
        <f t="shared" si="355"/>
        <v>-11.108528585811047</v>
      </c>
      <c r="BM349" s="62">
        <f t="shared" si="356"/>
        <v>10.824374375355287</v>
      </c>
    </row>
    <row r="350" spans="14:65" x14ac:dyDescent="0.3">
      <c r="N350" s="11">
        <v>32</v>
      </c>
      <c r="O350" s="51">
        <f t="shared" si="308"/>
        <v>20892.961308540423</v>
      </c>
      <c r="P350" s="49" t="str">
        <f t="shared" si="309"/>
        <v>27.9103246607183</v>
      </c>
      <c r="Q350" s="18" t="str">
        <f t="shared" si="310"/>
        <v>1+64.4848099954362i</v>
      </c>
      <c r="R350" s="18">
        <f t="shared" si="322"/>
        <v>64.492563293355829</v>
      </c>
      <c r="S350" s="18">
        <f t="shared" si="323"/>
        <v>1.5552900416636675</v>
      </c>
      <c r="T350" s="18" t="str">
        <f t="shared" si="311"/>
        <v>1+0.057760712907609i</v>
      </c>
      <c r="U350" s="18">
        <f t="shared" si="324"/>
        <v>1.0016667609317957</v>
      </c>
      <c r="V350" s="18">
        <f t="shared" si="325"/>
        <v>5.7696605499717203E-2</v>
      </c>
      <c r="W350" s="32" t="str">
        <f t="shared" si="312"/>
        <v>1-0.7617153497917i</v>
      </c>
      <c r="X350" s="18">
        <f t="shared" si="326"/>
        <v>1.2570641487642116</v>
      </c>
      <c r="Y350" s="18">
        <f t="shared" si="327"/>
        <v>-0.65095686725613411</v>
      </c>
      <c r="Z350" s="32" t="str">
        <f t="shared" si="313"/>
        <v>0.990981077846278+0.348324547105544i</v>
      </c>
      <c r="AA350" s="18">
        <f t="shared" si="328"/>
        <v>1.0504158637252452</v>
      </c>
      <c r="AB350" s="18">
        <f t="shared" si="329"/>
        <v>0.33800573508397275</v>
      </c>
      <c r="AC350" s="67" t="str">
        <f t="shared" si="330"/>
        <v>-0.41139773919461-0.316028478777609i</v>
      </c>
      <c r="AD350" s="65">
        <f t="shared" si="331"/>
        <v>-5.700506382742951</v>
      </c>
      <c r="AE350" s="62">
        <f t="shared" si="332"/>
        <v>-142.46916652905193</v>
      </c>
      <c r="AF350" s="50" t="str">
        <f t="shared" si="314"/>
        <v>79.1527877025864</v>
      </c>
      <c r="AG350" s="50" t="str">
        <f t="shared" si="315"/>
        <v>1+63.9810973745821i</v>
      </c>
      <c r="AH350" s="50">
        <f t="shared" si="333"/>
        <v>63.988911705511576</v>
      </c>
      <c r="AI350" s="50">
        <f t="shared" si="334"/>
        <v>1.5551679830392817</v>
      </c>
      <c r="AJ350" s="50" t="str">
        <f t="shared" si="316"/>
        <v>1+0.057760712907609i</v>
      </c>
      <c r="AK350" s="50">
        <f t="shared" si="335"/>
        <v>1.0016667609317957</v>
      </c>
      <c r="AL350" s="50">
        <f t="shared" si="336"/>
        <v>5.7696605499717203E-2</v>
      </c>
      <c r="AM350" s="50" t="str">
        <f t="shared" si="317"/>
        <v>1-0.266492481262547i</v>
      </c>
      <c r="AN350" s="50">
        <f t="shared" si="337"/>
        <v>1.0349001123632506</v>
      </c>
      <c r="AO350" s="50">
        <f t="shared" si="338"/>
        <v>-0.26043976346837933</v>
      </c>
      <c r="AP350" s="59" t="str">
        <f t="shared" si="339"/>
        <v>-0.238536117601466-1.25989877976961i</v>
      </c>
      <c r="AQ350" s="50">
        <f t="shared" si="340"/>
        <v>2.1596637527865852</v>
      </c>
      <c r="AR350" s="62">
        <f t="shared" si="341"/>
        <v>-100.72088913878207</v>
      </c>
      <c r="AS350" s="32" t="str">
        <f t="shared" si="318"/>
        <v>-0.0000166666666666667</v>
      </c>
      <c r="AT350" s="32" t="str">
        <f t="shared" si="319"/>
        <v>0.000446332781558795i</v>
      </c>
      <c r="AU350" s="32">
        <f t="shared" si="342"/>
        <v>4.4633278155879503E-4</v>
      </c>
      <c r="AV350" s="32">
        <f t="shared" si="343"/>
        <v>1.5707963267948966</v>
      </c>
      <c r="AW350" s="32" t="str">
        <f t="shared" si="320"/>
        <v>1+0.453591480774458i</v>
      </c>
      <c r="AX350" s="32">
        <f t="shared" si="344"/>
        <v>1.0980643111544812</v>
      </c>
      <c r="AY350" s="32">
        <f t="shared" si="345"/>
        <v>0.42583658696298937</v>
      </c>
      <c r="AZ350" s="32" t="str">
        <f t="shared" si="321"/>
        <v>1+15.4221103463316i</v>
      </c>
      <c r="BA350" s="32">
        <f t="shared" si="346"/>
        <v>15.454497323899867</v>
      </c>
      <c r="BB350" s="32">
        <f t="shared" si="347"/>
        <v>1.5060450049019718</v>
      </c>
      <c r="BC350" s="59" t="str">
        <f t="shared" si="348"/>
        <v>-0.463567777095631+0.247611740092171i</v>
      </c>
      <c r="BD350" s="50">
        <f t="shared" si="349"/>
        <v>-5.5876585722787562</v>
      </c>
      <c r="BE350" s="62">
        <f t="shared" si="350"/>
        <v>151.89138334240727</v>
      </c>
      <c r="BF350" s="59" t="str">
        <f t="shared" si="351"/>
        <v>0.268963097009419+0.0446337093338875i</v>
      </c>
      <c r="BG350" s="65">
        <f t="shared" si="352"/>
        <v>-11.288164955021712</v>
      </c>
      <c r="BH350" s="62">
        <f t="shared" si="353"/>
        <v>9.4222168133553161</v>
      </c>
      <c r="BI350" s="59" t="str">
        <f t="shared" si="306"/>
        <v>0.42254338699229+0.524984133549166i</v>
      </c>
      <c r="BJ350" s="65">
        <f t="shared" si="354"/>
        <v>-3.4279948194921737</v>
      </c>
      <c r="BK350" s="62">
        <f t="shared" si="307"/>
        <v>51.170494203625132</v>
      </c>
      <c r="BL350" s="50">
        <f t="shared" si="355"/>
        <v>-11.288164955021712</v>
      </c>
      <c r="BM350" s="62">
        <f t="shared" si="356"/>
        <v>9.4222168133553161</v>
      </c>
    </row>
    <row r="351" spans="14:65" x14ac:dyDescent="0.3">
      <c r="N351" s="11">
        <v>33</v>
      </c>
      <c r="O351" s="51">
        <f t="shared" si="308"/>
        <v>21379.620895022348</v>
      </c>
      <c r="P351" s="49" t="str">
        <f t="shared" si="309"/>
        <v>27.9103246607183</v>
      </c>
      <c r="Q351" s="18" t="str">
        <f t="shared" si="310"/>
        <v>1+65.9868541768856i</v>
      </c>
      <c r="R351" s="18">
        <f t="shared" si="322"/>
        <v>65.99443100869621</v>
      </c>
      <c r="S351" s="18">
        <f t="shared" si="323"/>
        <v>1.555642953146106</v>
      </c>
      <c r="T351" s="18" t="str">
        <f t="shared" si="311"/>
        <v>1+0.0591061327474966i</v>
      </c>
      <c r="U351" s="18">
        <f t="shared" si="324"/>
        <v>1.0017452445249564</v>
      </c>
      <c r="V351" s="18">
        <f t="shared" si="325"/>
        <v>5.9037446884248598E-2</v>
      </c>
      <c r="W351" s="32" t="str">
        <f t="shared" si="312"/>
        <v>1-0.779457979554528i</v>
      </c>
      <c r="X351" s="18">
        <f t="shared" si="326"/>
        <v>1.2678938212213304</v>
      </c>
      <c r="Y351" s="18">
        <f t="shared" si="327"/>
        <v>-0.66208921167997425</v>
      </c>
      <c r="Z351" s="32" t="str">
        <f t="shared" si="313"/>
        <v>0.990556029140188+0.35643806809247i</v>
      </c>
      <c r="AA351" s="18">
        <f t="shared" si="328"/>
        <v>1.0527342225136738</v>
      </c>
      <c r="AB351" s="18">
        <f t="shared" si="329"/>
        <v>0.34541070060822826</v>
      </c>
      <c r="AC351" s="67" t="str">
        <f t="shared" si="330"/>
        <v>-0.410029996818418-0.303686832035217i</v>
      </c>
      <c r="AD351" s="65">
        <f t="shared" si="331"/>
        <v>-5.844419338298672</v>
      </c>
      <c r="AE351" s="62">
        <f t="shared" si="332"/>
        <v>-143.47467193875895</v>
      </c>
      <c r="AF351" s="50" t="str">
        <f t="shared" si="314"/>
        <v>79.1527877025864</v>
      </c>
      <c r="AG351" s="50" t="str">
        <f t="shared" si="315"/>
        <v>1+65.4714085818422i</v>
      </c>
      <c r="AH351" s="50">
        <f t="shared" si="333"/>
        <v>65.479045057869627</v>
      </c>
      <c r="AI351" s="50">
        <f t="shared" si="334"/>
        <v>1.5555236716142939</v>
      </c>
      <c r="AJ351" s="50" t="str">
        <f t="shared" si="316"/>
        <v>1+0.0591061327474966i</v>
      </c>
      <c r="AK351" s="50">
        <f t="shared" si="335"/>
        <v>1.0017452445249564</v>
      </c>
      <c r="AL351" s="50">
        <f t="shared" si="336"/>
        <v>5.9037446884248598E-2</v>
      </c>
      <c r="AM351" s="50" t="str">
        <f t="shared" si="317"/>
        <v>1-0.272699888571474i</v>
      </c>
      <c r="AN351" s="50">
        <f t="shared" si="337"/>
        <v>1.036515908815149</v>
      </c>
      <c r="AO351" s="50">
        <f t="shared" si="338"/>
        <v>-0.26622656064412298</v>
      </c>
      <c r="AP351" s="59" t="str">
        <f t="shared" si="339"/>
        <v>-0.239408792390489-1.23211034465028i</v>
      </c>
      <c r="AQ351" s="50">
        <f t="shared" si="340"/>
        <v>1.9739427910554708</v>
      </c>
      <c r="AR351" s="62">
        <f t="shared" si="341"/>
        <v>-100.99600309568962</v>
      </c>
      <c r="AS351" s="32" t="str">
        <f t="shared" si="318"/>
        <v>-0.0000166666666666667</v>
      </c>
      <c r="AT351" s="32" t="str">
        <f t="shared" si="319"/>
        <v>0.000456729207594292i</v>
      </c>
      <c r="AU351" s="32">
        <f t="shared" si="342"/>
        <v>4.5672920759429197E-4</v>
      </c>
      <c r="AV351" s="32">
        <f t="shared" si="343"/>
        <v>1.5707963267948966</v>
      </c>
      <c r="AW351" s="32" t="str">
        <f t="shared" si="320"/>
        <v>1+0.464156983634752i</v>
      </c>
      <c r="AX351" s="32">
        <f t="shared" si="344"/>
        <v>1.1024707277097707</v>
      </c>
      <c r="AY351" s="32">
        <f t="shared" si="345"/>
        <v>0.43456430770686966</v>
      </c>
      <c r="AZ351" s="32" t="str">
        <f t="shared" si="321"/>
        <v>1+15.7813374435816i</v>
      </c>
      <c r="BA351" s="32">
        <f t="shared" si="346"/>
        <v>15.812988696264558</v>
      </c>
      <c r="BB351" s="32">
        <f t="shared" si="347"/>
        <v>1.5075149475864345</v>
      </c>
      <c r="BC351" s="59" t="str">
        <f t="shared" si="348"/>
        <v>-0.459869555379526+0.249943018530437i</v>
      </c>
      <c r="BD351" s="50">
        <f t="shared" si="349"/>
        <v>-5.6232628481507705</v>
      </c>
      <c r="BE351" s="62">
        <f t="shared" si="350"/>
        <v>151.47554329096013</v>
      </c>
      <c r="BF351" s="59" t="str">
        <f t="shared" si="351"/>
        <v>0.264464715815982+0.0371721933298312i</v>
      </c>
      <c r="BG351" s="65">
        <f t="shared" si="352"/>
        <v>-11.467682186449453</v>
      </c>
      <c r="BH351" s="62">
        <f t="shared" si="353"/>
        <v>8.0008713522011821</v>
      </c>
      <c r="BI351" s="59" t="str">
        <f t="shared" si="306"/>
        <v>0.418054193615031+0.506771480140033i</v>
      </c>
      <c r="BJ351" s="65">
        <f t="shared" si="354"/>
        <v>-3.6493200570953039</v>
      </c>
      <c r="BK351" s="62">
        <f t="shared" si="307"/>
        <v>50.479540195270516</v>
      </c>
      <c r="BL351" s="50">
        <f t="shared" si="355"/>
        <v>-11.467682186449453</v>
      </c>
      <c r="BM351" s="62">
        <f t="shared" si="356"/>
        <v>8.0008713522011821</v>
      </c>
    </row>
    <row r="352" spans="14:65" x14ac:dyDescent="0.3">
      <c r="N352" s="11">
        <v>34</v>
      </c>
      <c r="O352" s="51">
        <f t="shared" si="308"/>
        <v>21877.61623949555</v>
      </c>
      <c r="P352" s="49" t="str">
        <f t="shared" si="309"/>
        <v>27.9103246607183</v>
      </c>
      <c r="Q352" s="18" t="str">
        <f t="shared" si="310"/>
        <v>1+67.5238854618591i</v>
      </c>
      <c r="R352" s="18">
        <f t="shared" si="322"/>
        <v>67.531289843051752</v>
      </c>
      <c r="S352" s="18">
        <f t="shared" si="323"/>
        <v>1.5559878350301066</v>
      </c>
      <c r="T352" s="18" t="str">
        <f t="shared" si="311"/>
        <v>1+0.0604828914413293i</v>
      </c>
      <c r="U352" s="18">
        <f t="shared" si="324"/>
        <v>1.0018274203459914</v>
      </c>
      <c r="V352" s="18">
        <f t="shared" si="325"/>
        <v>6.0409300461590536E-2</v>
      </c>
      <c r="W352" s="32" t="str">
        <f t="shared" si="312"/>
        <v>1-0.797613888255464i</v>
      </c>
      <c r="X352" s="18">
        <f t="shared" si="326"/>
        <v>1.279135612332797</v>
      </c>
      <c r="Y352" s="18">
        <f t="shared" si="327"/>
        <v>-0.67328430159992059</v>
      </c>
      <c r="Z352" s="32" t="str">
        <f t="shared" si="313"/>
        <v>0.990110948505731+0.364740577261115i</v>
      </c>
      <c r="AA352" s="18">
        <f t="shared" si="328"/>
        <v>1.0551565661321023</v>
      </c>
      <c r="AB352" s="18">
        <f t="shared" si="329"/>
        <v>0.35295735895107699</v>
      </c>
      <c r="AC352" s="67" t="str">
        <f t="shared" si="330"/>
        <v>-0.408585101552568-0.291552253004841i</v>
      </c>
      <c r="AD352" s="65">
        <f t="shared" si="331"/>
        <v>-5.9869511545489216</v>
      </c>
      <c r="AE352" s="62">
        <f t="shared" si="332"/>
        <v>-144.48965387120586</v>
      </c>
      <c r="AF352" s="50" t="str">
        <f t="shared" si="314"/>
        <v>79.1527877025864</v>
      </c>
      <c r="AG352" s="50" t="str">
        <f t="shared" si="315"/>
        <v>1+66.9964335965493i</v>
      </c>
      <c r="AH352" s="50">
        <f t="shared" si="333"/>
        <v>67.003896264745975</v>
      </c>
      <c r="AI352" s="50">
        <f t="shared" si="334"/>
        <v>1.5558712674633288</v>
      </c>
      <c r="AJ352" s="50" t="str">
        <f t="shared" si="316"/>
        <v>1+0.0604828914413293i</v>
      </c>
      <c r="AK352" s="50">
        <f t="shared" si="335"/>
        <v>1.0018274203459914</v>
      </c>
      <c r="AL352" s="50">
        <f t="shared" si="336"/>
        <v>6.0409300461590536E-2</v>
      </c>
      <c r="AM352" s="50" t="str">
        <f t="shared" si="317"/>
        <v>1-0.279051884970932i</v>
      </c>
      <c r="AN352" s="50">
        <f t="shared" si="337"/>
        <v>1.0382051601229068</v>
      </c>
      <c r="AO352" s="50">
        <f t="shared" si="338"/>
        <v>-0.27212930004356561</v>
      </c>
      <c r="AP352" s="59" t="str">
        <f t="shared" si="339"/>
        <v>-0.240242208253428-1.20497399087741i</v>
      </c>
      <c r="AQ352" s="50">
        <f t="shared" si="340"/>
        <v>1.7888450961553406</v>
      </c>
      <c r="AR352" s="62">
        <f t="shared" si="341"/>
        <v>-101.27551950587753</v>
      </c>
      <c r="AS352" s="32" t="str">
        <f t="shared" si="318"/>
        <v>-0.0000166666666666667</v>
      </c>
      <c r="AT352" s="32" t="str">
        <f t="shared" si="319"/>
        <v>0.000467367797501181i</v>
      </c>
      <c r="AU352" s="32">
        <f t="shared" si="342"/>
        <v>4.6736779750118098E-4</v>
      </c>
      <c r="AV352" s="32">
        <f t="shared" si="343"/>
        <v>1.5707963267948966</v>
      </c>
      <c r="AW352" s="32" t="str">
        <f t="shared" si="320"/>
        <v>1+0.474968588671615i</v>
      </c>
      <c r="AX352" s="32">
        <f t="shared" si="344"/>
        <v>1.1070660143933178</v>
      </c>
      <c r="AY352" s="32">
        <f t="shared" si="345"/>
        <v>0.44342270728295119</v>
      </c>
      <c r="AZ352" s="32" t="str">
        <f t="shared" si="321"/>
        <v>1+16.1489320148349i</v>
      </c>
      <c r="BA352" s="32">
        <f t="shared" si="346"/>
        <v>16.179864190399115</v>
      </c>
      <c r="BB352" s="32">
        <f t="shared" si="347"/>
        <v>1.5089516949403734</v>
      </c>
      <c r="BC352" s="59" t="str">
        <f t="shared" si="348"/>
        <v>-0.456059761671808+0.252274769589472i</v>
      </c>
      <c r="BD352" s="50">
        <f t="shared" si="349"/>
        <v>-5.6601736499477457</v>
      </c>
      <c r="BE352" s="62">
        <f t="shared" si="350"/>
        <v>151.0503139416175</v>
      </c>
      <c r="BF352" s="59" t="str">
        <f t="shared" si="351"/>
        <v>0.259890501486803+0.0298895386684014i</v>
      </c>
      <c r="BG352" s="65">
        <f t="shared" si="352"/>
        <v>-11.647124804496677</v>
      </c>
      <c r="BH352" s="62">
        <f t="shared" si="353"/>
        <v>6.5606600704116707</v>
      </c>
      <c r="BI352" s="59" t="str">
        <f t="shared" si="306"/>
        <v>0.413549340149472+0.488933103367479i</v>
      </c>
      <c r="BJ352" s="65">
        <f t="shared" si="354"/>
        <v>-3.8713285537924143</v>
      </c>
      <c r="BK352" s="62">
        <f t="shared" si="307"/>
        <v>49.774794435739977</v>
      </c>
      <c r="BL352" s="50">
        <f t="shared" si="355"/>
        <v>-11.647124804496677</v>
      </c>
      <c r="BM352" s="62">
        <f t="shared" si="356"/>
        <v>6.5606600704116707</v>
      </c>
    </row>
    <row r="353" spans="14:65" x14ac:dyDescent="0.3">
      <c r="N353" s="11">
        <v>35</v>
      </c>
      <c r="O353" s="51">
        <f t="shared" si="308"/>
        <v>22387.211385683382</v>
      </c>
      <c r="P353" s="49" t="str">
        <f t="shared" si="309"/>
        <v>27.9103246607183</v>
      </c>
      <c r="Q353" s="18" t="str">
        <f t="shared" si="310"/>
        <v>1+69.0967188046884i</v>
      </c>
      <c r="R353" s="18">
        <f t="shared" si="322"/>
        <v>69.10395465944174</v>
      </c>
      <c r="S353" s="18">
        <f t="shared" si="323"/>
        <v>1.5563248698482495</v>
      </c>
      <c r="T353" s="18" t="str">
        <f t="shared" si="311"/>
        <v>1+0.0618917189647896i</v>
      </c>
      <c r="U353" s="18">
        <f t="shared" si="324"/>
        <v>1.0019134617702352</v>
      </c>
      <c r="V353" s="18">
        <f t="shared" si="325"/>
        <v>6.1812872940563805E-2</v>
      </c>
      <c r="W353" s="32" t="str">
        <f t="shared" si="312"/>
        <v>1-0.816192702397617i</v>
      </c>
      <c r="X353" s="18">
        <f t="shared" si="326"/>
        <v>1.2908022805399457</v>
      </c>
      <c r="Y353" s="18">
        <f t="shared" si="327"/>
        <v>-0.68453684873925624</v>
      </c>
      <c r="Z353" s="32" t="str">
        <f t="shared" si="313"/>
        <v>0.989644891867205+0.373236476711734i</v>
      </c>
      <c r="AA353" s="18">
        <f t="shared" si="328"/>
        <v>1.0576873259839321</v>
      </c>
      <c r="AB353" s="18">
        <f t="shared" si="329"/>
        <v>0.36064710767452707</v>
      </c>
      <c r="AC353" s="67" t="str">
        <f t="shared" si="330"/>
        <v>-0.407061959587645-0.279620982595628i</v>
      </c>
      <c r="AD353" s="65">
        <f t="shared" si="331"/>
        <v>-6.1281075571636281</v>
      </c>
      <c r="AE353" s="62">
        <f t="shared" si="332"/>
        <v>-145.51385937177426</v>
      </c>
      <c r="AF353" s="50" t="str">
        <f t="shared" si="314"/>
        <v>79.1527877025864</v>
      </c>
      <c r="AG353" s="50" t="str">
        <f t="shared" si="315"/>
        <v>1+68.5569810071514i</v>
      </c>
      <c r="AH353" s="50">
        <f t="shared" si="333"/>
        <v>68.5642738225595</v>
      </c>
      <c r="AI353" s="50">
        <f t="shared" si="334"/>
        <v>1.5562109545501335</v>
      </c>
      <c r="AJ353" s="50" t="str">
        <f t="shared" si="316"/>
        <v>1+0.0618917189647896i</v>
      </c>
      <c r="AK353" s="50">
        <f t="shared" si="335"/>
        <v>1.0019134617702352</v>
      </c>
      <c r="AL353" s="50">
        <f t="shared" si="336"/>
        <v>6.1812872940563805E-2</v>
      </c>
      <c r="AM353" s="50" t="str">
        <f t="shared" si="317"/>
        <v>1-0.285551838373488i</v>
      </c>
      <c r="AN353" s="50">
        <f t="shared" si="337"/>
        <v>1.0399710824818538</v>
      </c>
      <c r="AO353" s="50">
        <f t="shared" si="338"/>
        <v>-0.27814946539720636</v>
      </c>
      <c r="AP353" s="59" t="str">
        <f t="shared" si="339"/>
        <v>-0.241038130557708-1.17847541044773i</v>
      </c>
      <c r="AQ353" s="50">
        <f t="shared" si="340"/>
        <v>1.604396192338736</v>
      </c>
      <c r="AR353" s="62">
        <f t="shared" si="341"/>
        <v>-101.55949342975518</v>
      </c>
      <c r="AS353" s="32" t="str">
        <f t="shared" si="318"/>
        <v>-0.0000166666666666667</v>
      </c>
      <c r="AT353" s="32" t="str">
        <f t="shared" si="319"/>
        <v>0.000478254192000648i</v>
      </c>
      <c r="AU353" s="32">
        <f t="shared" si="342"/>
        <v>4.7825419200064802E-4</v>
      </c>
      <c r="AV353" s="32">
        <f t="shared" si="343"/>
        <v>1.5707963267948966</v>
      </c>
      <c r="AW353" s="32" t="str">
        <f t="shared" si="320"/>
        <v>1+0.486032028341141i</v>
      </c>
      <c r="AX353" s="32">
        <f t="shared" si="344"/>
        <v>1.1118575145104717</v>
      </c>
      <c r="AY353" s="32">
        <f t="shared" si="345"/>
        <v>0.4524109204830728</v>
      </c>
      <c r="AZ353" s="32" t="str">
        <f t="shared" si="321"/>
        <v>1+16.5250889635988i</v>
      </c>
      <c r="BA353" s="32">
        <f t="shared" si="346"/>
        <v>16.55531833746651</v>
      </c>
      <c r="BB353" s="32">
        <f t="shared" si="347"/>
        <v>1.5103559850065023</v>
      </c>
      <c r="BC353" s="59" t="str">
        <f t="shared" si="348"/>
        <v>-0.452137493143893+0.254602274297917i</v>
      </c>
      <c r="BD353" s="50">
        <f t="shared" si="349"/>
        <v>-5.6984327058990738</v>
      </c>
      <c r="BE353" s="62">
        <f t="shared" si="350"/>
        <v>150.61578715388816</v>
      </c>
      <c r="BF353" s="59" t="str">
        <f t="shared" si="351"/>
        <v>0.255240112072464+0.0227882294100382i</v>
      </c>
      <c r="BG353" s="65">
        <f t="shared" si="352"/>
        <v>-11.826540263062688</v>
      </c>
      <c r="BH353" s="62">
        <f t="shared" si="353"/>
        <v>5.1019277821139157</v>
      </c>
      <c r="BI353" s="59" t="str">
        <f t="shared" si="306"/>
        <v>0.409024895806616+0.471464061579046i</v>
      </c>
      <c r="BJ353" s="65">
        <f t="shared" si="354"/>
        <v>-4.0940365135603338</v>
      </c>
      <c r="BK353" s="62">
        <f t="shared" si="307"/>
        <v>49.056293724132956</v>
      </c>
      <c r="BL353" s="50">
        <f t="shared" si="355"/>
        <v>-11.826540263062688</v>
      </c>
      <c r="BM353" s="62">
        <f t="shared" si="356"/>
        <v>5.1019277821139157</v>
      </c>
    </row>
    <row r="354" spans="14:65" x14ac:dyDescent="0.3">
      <c r="N354" s="11">
        <v>36</v>
      </c>
      <c r="O354" s="51">
        <f t="shared" si="308"/>
        <v>22908.676527677751</v>
      </c>
      <c r="P354" s="49" t="str">
        <f t="shared" si="309"/>
        <v>27.9103246607183</v>
      </c>
      <c r="Q354" s="18" t="str">
        <f t="shared" si="310"/>
        <v>1+70.7061881424319i</v>
      </c>
      <c r="R354" s="18">
        <f t="shared" si="322"/>
        <v>70.713259305684502</v>
      </c>
      <c r="S354" s="18">
        <f t="shared" si="323"/>
        <v>1.5566542359944033</v>
      </c>
      <c r="T354" s="18" t="str">
        <f t="shared" si="311"/>
        <v>1+0.0633333622968795i</v>
      </c>
      <c r="U354" s="18">
        <f t="shared" si="324"/>
        <v>1.0020035502830456</v>
      </c>
      <c r="V354" s="18">
        <f t="shared" si="325"/>
        <v>6.3248886380907463E-2</v>
      </c>
      <c r="W354" s="32" t="str">
        <f t="shared" si="312"/>
        <v>1-0.835204272714178i</v>
      </c>
      <c r="X354" s="18">
        <f t="shared" si="326"/>
        <v>1.3029068182951606</v>
      </c>
      <c r="Y354" s="18">
        <f t="shared" si="327"/>
        <v>-0.69584142165310425</v>
      </c>
      <c r="Z354" s="32" t="str">
        <f t="shared" si="313"/>
        <v>0.989156870655996+0.381930271082679i</v>
      </c>
      <c r="AA354" s="18">
        <f t="shared" si="328"/>
        <v>1.0603311024087012</v>
      </c>
      <c r="AB354" s="18">
        <f t="shared" si="329"/>
        <v>0.36848127265750469</v>
      </c>
      <c r="AC354" s="67" t="str">
        <f t="shared" si="330"/>
        <v>-0.405459461550202-0.267889488425066i</v>
      </c>
      <c r="AD354" s="65">
        <f t="shared" si="331"/>
        <v>-6.2678970059895924</v>
      </c>
      <c r="AE354" s="62">
        <f t="shared" si="332"/>
        <v>-146.5470220591028</v>
      </c>
      <c r="AF354" s="50" t="str">
        <f t="shared" si="314"/>
        <v>79.1527877025864</v>
      </c>
      <c r="AG354" s="50" t="str">
        <f t="shared" si="315"/>
        <v>1+70.1538782365432i</v>
      </c>
      <c r="AH354" s="50">
        <f t="shared" si="333"/>
        <v>70.161005064264373</v>
      </c>
      <c r="AI354" s="50">
        <f t="shared" si="334"/>
        <v>1.556542912667553</v>
      </c>
      <c r="AJ354" s="50" t="str">
        <f t="shared" si="316"/>
        <v>1+0.0633333622968795i</v>
      </c>
      <c r="AK354" s="50">
        <f t="shared" si="335"/>
        <v>1.0020035502830456</v>
      </c>
      <c r="AL354" s="50">
        <f t="shared" si="336"/>
        <v>6.3248886380907463E-2</v>
      </c>
      <c r="AM354" s="50" t="str">
        <f t="shared" si="317"/>
        <v>1-0.292203195140479i</v>
      </c>
      <c r="AN354" s="50">
        <f t="shared" si="337"/>
        <v>1.0418170219622565</v>
      </c>
      <c r="AO354" s="50">
        <f t="shared" si="338"/>
        <v>-0.28428850250867171</v>
      </c>
      <c r="AP354" s="59" t="str">
        <f t="shared" si="339"/>
        <v>-0.24179824535467-1.15260062817461i</v>
      </c>
      <c r="AQ354" s="50">
        <f t="shared" si="340"/>
        <v>1.4206224514074655</v>
      </c>
      <c r="AR354" s="62">
        <f t="shared" si="341"/>
        <v>-101.84797663616388</v>
      </c>
      <c r="AS354" s="32" t="str">
        <f t="shared" si="318"/>
        <v>-0.0000166666666666667</v>
      </c>
      <c r="AT354" s="32" t="str">
        <f t="shared" si="319"/>
        <v>0.000489394163203158i</v>
      </c>
      <c r="AU354" s="32">
        <f t="shared" si="342"/>
        <v>4.89394163203158E-4</v>
      </c>
      <c r="AV354" s="32">
        <f t="shared" si="343"/>
        <v>1.5707963267948966</v>
      </c>
      <c r="AW354" s="32" t="str">
        <f t="shared" si="320"/>
        <v>1+0.497353168625494i</v>
      </c>
      <c r="AX354" s="32">
        <f t="shared" si="344"/>
        <v>1.1168527988691344</v>
      </c>
      <c r="AY354" s="32">
        <f t="shared" si="345"/>
        <v>0.46152790287069195</v>
      </c>
      <c r="AZ354" s="32" t="str">
        <f t="shared" si="321"/>
        <v>1+16.9100077332668i</v>
      </c>
      <c r="BA354" s="32">
        <f t="shared" si="346"/>
        <v>16.939550216553652</v>
      </c>
      <c r="BB354" s="32">
        <f t="shared" si="347"/>
        <v>1.5117285401910701</v>
      </c>
      <c r="BC354" s="59" t="str">
        <f t="shared" si="348"/>
        <v>-0.448102038349216+0.256920680620376i</v>
      </c>
      <c r="BD354" s="50">
        <f t="shared" si="349"/>
        <v>-5.7380819608009412</v>
      </c>
      <c r="BE354" s="62">
        <f t="shared" si="350"/>
        <v>150.17206416040688</v>
      </c>
      <c r="BF354" s="59" t="str">
        <f t="shared" si="351"/>
        <v>0.250513560885833+0.0158709049901517i</v>
      </c>
      <c r="BG354" s="65">
        <f t="shared" si="352"/>
        <v>-12.005978966790549</v>
      </c>
      <c r="BH354" s="62">
        <f t="shared" si="353"/>
        <v>3.6250421013040883</v>
      </c>
      <c r="BI354" s="59" t="str">
        <f t="shared" si="306"/>
        <v>0.404477224486785+0.454359721118295i</v>
      </c>
      <c r="BJ354" s="65">
        <f t="shared" si="354"/>
        <v>-4.3174595093934789</v>
      </c>
      <c r="BK354" s="62">
        <f t="shared" si="307"/>
        <v>48.324087524243019</v>
      </c>
      <c r="BL354" s="50">
        <f t="shared" si="355"/>
        <v>-12.005978966790549</v>
      </c>
      <c r="BM354" s="62">
        <f t="shared" si="356"/>
        <v>3.6250421013040883</v>
      </c>
    </row>
    <row r="355" spans="14:65" x14ac:dyDescent="0.3">
      <c r="N355" s="11">
        <v>37</v>
      </c>
      <c r="O355" s="51">
        <f t="shared" si="308"/>
        <v>23442.288153199243</v>
      </c>
      <c r="P355" s="49" t="str">
        <f t="shared" si="309"/>
        <v>27.9103246607183</v>
      </c>
      <c r="Q355" s="18" t="str">
        <f t="shared" si="310"/>
        <v>1+72.3531468370352i</v>
      </c>
      <c r="R355" s="18">
        <f t="shared" si="322"/>
        <v>72.360057056511337</v>
      </c>
      <c r="S355" s="18">
        <f t="shared" si="323"/>
        <v>1.556976107816852</v>
      </c>
      <c r="T355" s="18" t="str">
        <f t="shared" si="311"/>
        <v>1+0.064808585815975i</v>
      </c>
      <c r="U355" s="18">
        <f t="shared" si="324"/>
        <v>1.0020978758561794</v>
      </c>
      <c r="V355" s="18">
        <f t="shared" si="325"/>
        <v>6.4718078472564888E-2</v>
      </c>
      <c r="W355" s="32" t="str">
        <f t="shared" si="312"/>
        <v>1-0.854658679391363i</v>
      </c>
      <c r="X355" s="18">
        <f t="shared" si="326"/>
        <v>1.3154624503416996</v>
      </c>
      <c r="Y355" s="18">
        <f t="shared" si="327"/>
        <v>-0.70719245772647699</v>
      </c>
      <c r="Z355" s="32" t="str">
        <f t="shared" si="313"/>
        <v>0.988645849713685+0.390826569938794i</v>
      </c>
      <c r="AA355" s="18">
        <f t="shared" si="328"/>
        <v>1.0630926694913372</v>
      </c>
      <c r="AB355" s="18">
        <f t="shared" si="329"/>
        <v>0.37646110214666967</v>
      </c>
      <c r="AC355" s="67" t="str">
        <f t="shared" si="330"/>
        <v>-0.403776489811919-0.25635446540936i</v>
      </c>
      <c r="AD355" s="65">
        <f t="shared" si="331"/>
        <v>-6.4063307697575862</v>
      </c>
      <c r="AE355" s="62">
        <f t="shared" si="332"/>
        <v>-147.58886246099561</v>
      </c>
      <c r="AF355" s="50" t="str">
        <f t="shared" si="314"/>
        <v>79.1527877025864</v>
      </c>
      <c r="AG355" s="50" t="str">
        <f t="shared" si="315"/>
        <v>1+71.7879719807721i</v>
      </c>
      <c r="AH355" s="50">
        <f t="shared" si="333"/>
        <v>71.794936598008917</v>
      </c>
      <c r="AI355" s="50">
        <f t="shared" si="334"/>
        <v>1.5568673175313632</v>
      </c>
      <c r="AJ355" s="50" t="str">
        <f t="shared" si="316"/>
        <v>1+0.064808585815975i</v>
      </c>
      <c r="AK355" s="50">
        <f t="shared" si="335"/>
        <v>1.0020978758561794</v>
      </c>
      <c r="AL355" s="50">
        <f t="shared" si="336"/>
        <v>6.4718078472564888E-2</v>
      </c>
      <c r="AM355" s="50" t="str">
        <f t="shared" si="317"/>
        <v>1-0.299009481909298i</v>
      </c>
      <c r="AN355" s="50">
        <f t="shared" si="337"/>
        <v>1.0437464588067673</v>
      </c>
      <c r="AO355" s="50">
        <f t="shared" si="338"/>
        <v>-0.29054781472909252</v>
      </c>
      <c r="AP355" s="59" t="str">
        <f t="shared" si="339"/>
        <v>-0.242524162937202-1.12733599463425i</v>
      </c>
      <c r="AQ355" s="50">
        <f t="shared" si="340"/>
        <v>1.2375511054658452</v>
      </c>
      <c r="AR355" s="62">
        <f t="shared" si="341"/>
        <v>-102.14101733245241</v>
      </c>
      <c r="AS355" s="32" t="str">
        <f t="shared" si="318"/>
        <v>-0.0000166666666666667</v>
      </c>
      <c r="AT355" s="32" t="str">
        <f t="shared" si="319"/>
        <v>0.000500793617668895i</v>
      </c>
      <c r="AU355" s="32">
        <f t="shared" si="342"/>
        <v>5.0079361766889501E-4</v>
      </c>
      <c r="AV355" s="32">
        <f t="shared" si="343"/>
        <v>1.5707963267948966</v>
      </c>
      <c r="AW355" s="32" t="str">
        <f t="shared" si="320"/>
        <v>1+0.508938012143097i</v>
      </c>
      <c r="AX355" s="32">
        <f t="shared" si="344"/>
        <v>1.1220596687361002</v>
      </c>
      <c r="AY355" s="32">
        <f t="shared" si="345"/>
        <v>0.47077242504585154</v>
      </c>
      <c r="AZ355" s="32" t="str">
        <f t="shared" si="321"/>
        <v>1+17.3038924128653i</v>
      </c>
      <c r="BA355" s="32">
        <f t="shared" si="346"/>
        <v>17.332763560264048</v>
      </c>
      <c r="BB355" s="32">
        <f t="shared" si="347"/>
        <v>1.5130700675431747</v>
      </c>
      <c r="BC355" s="59" t="str">
        <f t="shared" si="348"/>
        <v>-0.443952891049098+0.259225011188569i</v>
      </c>
      <c r="BD355" s="50">
        <f t="shared" si="349"/>
        <v>-5.7791635082330419</v>
      </c>
      <c r="BE355" s="62">
        <f t="shared" si="350"/>
        <v>149.7192559115322</v>
      </c>
      <c r="BF355" s="59" t="str">
        <f t="shared" si="351"/>
        <v>0.245711229153639+0.00914034096265555i</v>
      </c>
      <c r="BG355" s="65">
        <f t="shared" si="352"/>
        <v>-12.185494277990632</v>
      </c>
      <c r="BH355" s="62">
        <f t="shared" si="353"/>
        <v>2.130393450536558</v>
      </c>
      <c r="BI355" s="59" t="str">
        <f t="shared" si="306"/>
        <v>0.399902989107573+0.437615745150691i</v>
      </c>
      <c r="BJ355" s="65">
        <f t="shared" si="354"/>
        <v>-4.5416124027672025</v>
      </c>
      <c r="BK355" s="62">
        <f t="shared" si="307"/>
        <v>47.57823857907978</v>
      </c>
      <c r="BL355" s="50">
        <f t="shared" si="355"/>
        <v>-12.185494277990632</v>
      </c>
      <c r="BM355" s="62">
        <f t="shared" si="356"/>
        <v>2.130393450536558</v>
      </c>
    </row>
    <row r="356" spans="14:65" x14ac:dyDescent="0.3">
      <c r="N356" s="11">
        <v>38</v>
      </c>
      <c r="O356" s="51">
        <f t="shared" si="308"/>
        <v>23988.329190194923</v>
      </c>
      <c r="P356" s="49" t="str">
        <f t="shared" si="309"/>
        <v>27.9103246607183</v>
      </c>
      <c r="Q356" s="18" t="str">
        <f t="shared" si="310"/>
        <v>1+74.0384681277983i</v>
      </c>
      <c r="R356" s="18">
        <f t="shared" si="322"/>
        <v>74.045221065987803</v>
      </c>
      <c r="S356" s="18">
        <f t="shared" si="323"/>
        <v>1.557290655709372</v>
      </c>
      <c r="T356" s="18" t="str">
        <f t="shared" si="311"/>
        <v>1+0.0663181717051129i</v>
      </c>
      <c r="U356" s="18">
        <f t="shared" si="324"/>
        <v>1.0021966373413498</v>
      </c>
      <c r="V356" s="18">
        <f t="shared" si="325"/>
        <v>6.6221202816021341E-2</v>
      </c>
      <c r="W356" s="32" t="str">
        <f t="shared" si="312"/>
        <v>1-0.874566237413103i</v>
      </c>
      <c r="X356" s="18">
        <f t="shared" si="326"/>
        <v>1.3284826320366074</v>
      </c>
      <c r="Y356" s="18">
        <f t="shared" si="327"/>
        <v>-0.71858427595964547</v>
      </c>
      <c r="Z356" s="32" t="str">
        <f t="shared" si="313"/>
        <v>0.98811074509634+0.399930090215491i</v>
      </c>
      <c r="AA356" s="18">
        <f t="shared" si="328"/>
        <v>1.0659769798802481</v>
      </c>
      <c r="AB356" s="18">
        <f t="shared" si="329"/>
        <v>0.3845877606463462</v>
      </c>
      <c r="AC356" s="67" t="str">
        <f t="shared" si="330"/>
        <v>-0.402011926178909-0.245012836150168i</v>
      </c>
      <c r="AD356" s="65">
        <f t="shared" si="331"/>
        <v>-6.5434229906682742</v>
      </c>
      <c r="AE356" s="62">
        <f t="shared" si="332"/>
        <v>-148.63908838604462</v>
      </c>
      <c r="AF356" s="50" t="str">
        <f t="shared" si="314"/>
        <v>79.1527877025864</v>
      </c>
      <c r="AG356" s="50" t="str">
        <f t="shared" si="315"/>
        <v>1+73.460128657971i</v>
      </c>
      <c r="AH356" s="50">
        <f t="shared" si="333"/>
        <v>73.466934756022397</v>
      </c>
      <c r="AI356" s="50">
        <f t="shared" si="334"/>
        <v>1.5571843408720407</v>
      </c>
      <c r="AJ356" s="50" t="str">
        <f t="shared" si="316"/>
        <v>1+0.0663181717051129i</v>
      </c>
      <c r="AK356" s="50">
        <f t="shared" si="335"/>
        <v>1.0021966373413498</v>
      </c>
      <c r="AL356" s="50">
        <f t="shared" si="336"/>
        <v>6.6221202816021341E-2</v>
      </c>
      <c r="AM356" s="50" t="str">
        <f t="shared" si="317"/>
        <v>1-0.305974307463283i</v>
      </c>
      <c r="AN356" s="50">
        <f t="shared" si="337"/>
        <v>1.045763011789782</v>
      </c>
      <c r="AO356" s="50">
        <f t="shared" si="338"/>
        <v>-0.2969287582179389</v>
      </c>
      <c r="AP356" s="59" t="str">
        <f t="shared" si="339"/>
        <v>-0.243217421238334-1.10266817926073i</v>
      </c>
      <c r="AQ356" s="50">
        <f t="shared" si="340"/>
        <v>1.0552102583346168</v>
      </c>
      <c r="AR356" s="62">
        <f t="shared" si="341"/>
        <v>-102.43865988213938</v>
      </c>
      <c r="AS356" s="32" t="str">
        <f t="shared" si="318"/>
        <v>-0.0000166666666666667</v>
      </c>
      <c r="AT356" s="32" t="str">
        <f t="shared" si="319"/>
        <v>0.000512458599539508i</v>
      </c>
      <c r="AU356" s="32">
        <f t="shared" si="342"/>
        <v>5.1245859953950802E-4</v>
      </c>
      <c r="AV356" s="32">
        <f t="shared" si="343"/>
        <v>1.5707963267948966</v>
      </c>
      <c r="AW356" s="32" t="str">
        <f t="shared" si="320"/>
        <v>1+0.520792701331327i</v>
      </c>
      <c r="AX356" s="32">
        <f t="shared" si="344"/>
        <v>1.127486158566916</v>
      </c>
      <c r="AY356" s="32">
        <f t="shared" si="345"/>
        <v>0.48014306726449546</v>
      </c>
      <c r="AZ356" s="32" t="str">
        <f t="shared" si="321"/>
        <v>1+17.7069518452651i</v>
      </c>
      <c r="BA356" s="32">
        <f t="shared" si="346"/>
        <v>17.735166862776822</v>
      </c>
      <c r="BB356" s="32">
        <f t="shared" si="347"/>
        <v>1.5143812590327257</v>
      </c>
      <c r="BC356" s="59" t="str">
        <f t="shared" si="348"/>
        <v>-0.439689763869908+0.261510172325982i</v>
      </c>
      <c r="BD356" s="50">
        <f t="shared" si="349"/>
        <v>-5.8217195177208039</v>
      </c>
      <c r="BE356" s="62">
        <f t="shared" si="350"/>
        <v>149.25748339956141</v>
      </c>
      <c r="BF356" s="59" t="str">
        <f t="shared" si="351"/>
        <v>0.240833877898199+0.00259942797981737i</v>
      </c>
      <c r="BG356" s="65">
        <f t="shared" si="352"/>
        <v>-12.365142508389091</v>
      </c>
      <c r="BH356" s="62">
        <f t="shared" si="353"/>
        <v>0.61839501351678305</v>
      </c>
      <c r="BI356" s="59" t="str">
        <f t="shared" si="306"/>
        <v>0.395299156090181+0.421228081625294i</v>
      </c>
      <c r="BJ356" s="65">
        <f t="shared" si="354"/>
        <v>-4.76650925938619</v>
      </c>
      <c r="BK356" s="62">
        <f t="shared" si="307"/>
        <v>46.81882351742204</v>
      </c>
      <c r="BL356" s="50">
        <f t="shared" si="355"/>
        <v>-12.365142508389091</v>
      </c>
      <c r="BM356" s="62">
        <f t="shared" si="356"/>
        <v>0.61839501351678305</v>
      </c>
    </row>
    <row r="357" spans="14:65" x14ac:dyDescent="0.3">
      <c r="N357" s="11">
        <v>39</v>
      </c>
      <c r="O357" s="51">
        <f t="shared" si="308"/>
        <v>24547.089156850321</v>
      </c>
      <c r="P357" s="49" t="str">
        <f t="shared" si="309"/>
        <v>27.9103246607183</v>
      </c>
      <c r="Q357" s="18" t="str">
        <f t="shared" si="310"/>
        <v>1+75.7630455943778i</v>
      </c>
      <c r="R357" s="18">
        <f t="shared" si="322"/>
        <v>75.769644830471321</v>
      </c>
      <c r="S357" s="18">
        <f t="shared" si="323"/>
        <v>1.5575980462003047</v>
      </c>
      <c r="T357" s="18" t="str">
        <f t="shared" si="311"/>
        <v>1+0.0678629203667136i</v>
      </c>
      <c r="U357" s="18">
        <f t="shared" si="324"/>
        <v>1.0023000428817206</v>
      </c>
      <c r="V357" s="18">
        <f t="shared" si="325"/>
        <v>6.7759029203332474E-2</v>
      </c>
      <c r="W357" s="32" t="str">
        <f t="shared" si="312"/>
        <v>1-0.894937502030173i</v>
      </c>
      <c r="X357" s="18">
        <f t="shared" si="326"/>
        <v>1.3419810477573839</v>
      </c>
      <c r="Y357" s="18">
        <f t="shared" si="327"/>
        <v>-0.73001109047528856</v>
      </c>
      <c r="Z357" s="32" t="str">
        <f t="shared" si="313"/>
        <v>0.987550421775323+0.409245658719721i</v>
      </c>
      <c r="AA357" s="18">
        <f t="shared" si="328"/>
        <v>1.0689891696034888</v>
      </c>
      <c r="AB357" s="18">
        <f t="shared" si="329"/>
        <v>0.39286232266263071</v>
      </c>
      <c r="AC357" s="67" t="str">
        <f t="shared" si="330"/>
        <v>-0.400164659964891-0.233861751072901i</v>
      </c>
      <c r="AD357" s="65">
        <f t="shared" si="331"/>
        <v>-6.6791907379984661</v>
      </c>
      <c r="AE357" s="62">
        <f t="shared" si="332"/>
        <v>-149.69739532809822</v>
      </c>
      <c r="AF357" s="50" t="str">
        <f t="shared" si="314"/>
        <v>79.1527877025864</v>
      </c>
      <c r="AG357" s="50" t="str">
        <f t="shared" si="315"/>
        <v>1+75.1712348677441i</v>
      </c>
      <c r="AH357" s="50">
        <f t="shared" si="333"/>
        <v>75.177886053955703</v>
      </c>
      <c r="AI357" s="50">
        <f t="shared" si="334"/>
        <v>1.5574941505245146</v>
      </c>
      <c r="AJ357" s="50" t="str">
        <f t="shared" si="316"/>
        <v>1+0.0678629203667136i</v>
      </c>
      <c r="AK357" s="50">
        <f t="shared" si="335"/>
        <v>1.0023000428817206</v>
      </c>
      <c r="AL357" s="50">
        <f t="shared" si="336"/>
        <v>6.7759029203332474E-2</v>
      </c>
      <c r="AM357" s="50" t="str">
        <f t="shared" si="317"/>
        <v>1-0.313101364645133i</v>
      </c>
      <c r="AN357" s="50">
        <f t="shared" si="337"/>
        <v>1.0478704426324108</v>
      </c>
      <c r="AO357" s="50">
        <f t="shared" si="338"/>
        <v>-0.30343263699085105</v>
      </c>
      <c r="AP357" s="59" t="str">
        <f t="shared" si="339"/>
        <v>-0.243879489077819-1.07858416358815i</v>
      </c>
      <c r="AQ357" s="50">
        <f t="shared" si="340"/>
        <v>0.87362889546801048</v>
      </c>
      <c r="AR357" s="62">
        <f t="shared" si="341"/>
        <v>-102.74094451021432</v>
      </c>
      <c r="AS357" s="32" t="str">
        <f t="shared" si="318"/>
        <v>-0.0000166666666666667</v>
      </c>
      <c r="AT357" s="32" t="str">
        <f t="shared" si="319"/>
        <v>0.000524395293742788i</v>
      </c>
      <c r="AU357" s="32">
        <f t="shared" si="342"/>
        <v>5.24395293742788E-4</v>
      </c>
      <c r="AV357" s="32">
        <f t="shared" si="343"/>
        <v>1.5707963267948966</v>
      </c>
      <c r="AW357" s="32" t="str">
        <f t="shared" si="320"/>
        <v>1+0.532923521703309i</v>
      </c>
      <c r="AX357" s="32">
        <f t="shared" si="344"/>
        <v>1.133140538496729</v>
      </c>
      <c r="AY357" s="32">
        <f t="shared" si="345"/>
        <v>0.48963821446579681</v>
      </c>
      <c r="AZ357" s="32" t="str">
        <f t="shared" si="321"/>
        <v>1+18.1193997379125i</v>
      </c>
      <c r="BA357" s="32">
        <f t="shared" si="346"/>
        <v>18.14697349042709</v>
      </c>
      <c r="BB357" s="32">
        <f t="shared" si="347"/>
        <v>1.5156627918267558</v>
      </c>
      <c r="BC357" s="59" t="str">
        <f t="shared" si="348"/>
        <v>-0.435312601671821+0.263770964396676i</v>
      </c>
      <c r="BD357" s="50">
        <f t="shared" si="349"/>
        <v>-5.8657921569291895</v>
      </c>
      <c r="BE357" s="62">
        <f t="shared" si="350"/>
        <v>148.78687795947695</v>
      </c>
      <c r="BF357" s="59" t="str">
        <f t="shared" si="351"/>
        <v>0.235882658842431-0.00374885098533491i</v>
      </c>
      <c r="BG357" s="65">
        <f t="shared" si="352"/>
        <v>-12.544982894927646</v>
      </c>
      <c r="BH357" s="62">
        <f t="shared" si="353"/>
        <v>-0.91051736862125632</v>
      </c>
      <c r="BI357" s="59" t="str">
        <f t="shared" si="306"/>
        <v>0.390662999897488+0.405192950342958i</v>
      </c>
      <c r="BJ357" s="65">
        <f t="shared" si="354"/>
        <v>-4.9921632614611795</v>
      </c>
      <c r="BK357" s="62">
        <f t="shared" si="307"/>
        <v>46.045933449262691</v>
      </c>
      <c r="BL357" s="50">
        <f t="shared" si="355"/>
        <v>-12.544982894927646</v>
      </c>
      <c r="BM357" s="62">
        <f t="shared" si="356"/>
        <v>-0.91051736862125632</v>
      </c>
    </row>
    <row r="358" spans="14:65" x14ac:dyDescent="0.3">
      <c r="N358" s="11">
        <v>40</v>
      </c>
      <c r="O358" s="51">
        <f t="shared" si="308"/>
        <v>25118.86431509586</v>
      </c>
      <c r="P358" s="49" t="str">
        <f t="shared" si="309"/>
        <v>27.9103246607183</v>
      </c>
      <c r="Q358" s="18" t="str">
        <f t="shared" si="310"/>
        <v>1+77.5277936305744i</v>
      </c>
      <c r="R358" s="18">
        <f t="shared" si="322"/>
        <v>77.534242662354885</v>
      </c>
      <c r="S358" s="18">
        <f t="shared" si="323"/>
        <v>1.5578984420396638</v>
      </c>
      <c r="T358" s="18" t="str">
        <f t="shared" si="311"/>
        <v>1+0.0694436508469652i</v>
      </c>
      <c r="U358" s="18">
        <f t="shared" si="324"/>
        <v>1.0024083103421255</v>
      </c>
      <c r="V358" s="18">
        <f t="shared" si="325"/>
        <v>6.9332343899466409E-2</v>
      </c>
      <c r="W358" s="32" t="str">
        <f t="shared" si="312"/>
        <v>1-0.915783274356722i</v>
      </c>
      <c r="X358" s="18">
        <f t="shared" si="326"/>
        <v>1.3559716094341796</v>
      </c>
      <c r="Y358" s="18">
        <f t="shared" si="327"/>
        <v>-0.74146702467397907</v>
      </c>
      <c r="Z358" s="32" t="str">
        <f t="shared" si="313"/>
        <v>0.986963691229748+0.418778214689213i</v>
      </c>
      <c r="AA358" s="18">
        <f t="shared" si="328"/>
        <v>1.07213456287172</v>
      </c>
      <c r="AB358" s="18">
        <f t="shared" si="329"/>
        <v>0.40128576631931168</v>
      </c>
      <c r="AC358" s="67" t="str">
        <f t="shared" si="330"/>
        <v>-0.398233596448122-0.222898588269275i</v>
      </c>
      <c r="AD358" s="65">
        <f t="shared" si="331"/>
        <v>-6.8136540499246276</v>
      </c>
      <c r="AE358" s="62">
        <f t="shared" si="332"/>
        <v>-150.76346690040103</v>
      </c>
      <c r="AF358" s="50" t="str">
        <f t="shared" si="314"/>
        <v>79.1527877025864</v>
      </c>
      <c r="AG358" s="50" t="str">
        <f t="shared" si="315"/>
        <v>1+76.9221978612536i</v>
      </c>
      <c r="AH358" s="50">
        <f t="shared" si="333"/>
        <v>76.928697660923945</v>
      </c>
      <c r="AI358" s="50">
        <f t="shared" si="334"/>
        <v>1.5577969105159377</v>
      </c>
      <c r="AJ358" s="50" t="str">
        <f t="shared" si="316"/>
        <v>1+0.0694436508469652i</v>
      </c>
      <c r="AK358" s="50">
        <f t="shared" si="335"/>
        <v>1.0024083103421255</v>
      </c>
      <c r="AL358" s="50">
        <f t="shared" si="336"/>
        <v>6.9332343899466409E-2</v>
      </c>
      <c r="AM358" s="50" t="str">
        <f t="shared" si="317"/>
        <v>1-0.320394432314907i</v>
      </c>
      <c r="AN358" s="50">
        <f t="shared" si="337"/>
        <v>1.0500726604661181</v>
      </c>
      <c r="AO358" s="50">
        <f t="shared" si="338"/>
        <v>-0.31006069775640982</v>
      </c>
      <c r="AP358" s="59" t="str">
        <f t="shared" si="339"/>
        <v>-0.244511769263507-1.05507123463743i</v>
      </c>
      <c r="AQ358" s="50">
        <f t="shared" si="340"/>
        <v>0.6928368922043765</v>
      </c>
      <c r="AR358" s="62">
        <f t="shared" si="341"/>
        <v>-103.04790699621665</v>
      </c>
      <c r="AS358" s="32" t="str">
        <f t="shared" si="318"/>
        <v>-0.0000166666666666667</v>
      </c>
      <c r="AT358" s="32" t="str">
        <f t="shared" si="319"/>
        <v>0.000536610029272003i</v>
      </c>
      <c r="AU358" s="32">
        <f t="shared" si="342"/>
        <v>5.3661002927200298E-4</v>
      </c>
      <c r="AV358" s="32">
        <f t="shared" si="343"/>
        <v>1.5707963267948966</v>
      </c>
      <c r="AW358" s="32" t="str">
        <f t="shared" si="320"/>
        <v>1+0.545336905180579i</v>
      </c>
      <c r="AX358" s="32">
        <f t="shared" si="344"/>
        <v>1.1390313165808619</v>
      </c>
      <c r="AY358" s="32">
        <f t="shared" si="345"/>
        <v>0.49925605176232385</v>
      </c>
      <c r="AZ358" s="32" t="str">
        <f t="shared" si="321"/>
        <v>1+18.5414547761397i</v>
      </c>
      <c r="BA358" s="32">
        <f t="shared" si="346"/>
        <v>18.56840179486737</v>
      </c>
      <c r="BB358" s="32">
        <f t="shared" si="347"/>
        <v>1.5169153285638211</v>
      </c>
      <c r="BC358" s="59" t="str">
        <f t="shared" si="348"/>
        <v>-0.430821594501434+0.266002093497981i</v>
      </c>
      <c r="BD358" s="50">
        <f t="shared" si="349"/>
        <v>-5.9114235090200538</v>
      </c>
      <c r="BE358" s="62">
        <f t="shared" si="350"/>
        <v>148.30758154306139</v>
      </c>
      <c r="BF358" s="59" t="str">
        <f t="shared" si="351"/>
        <v>0.230859124123192-0.0099014451461429i</v>
      </c>
      <c r="BG358" s="65">
        <f t="shared" si="352"/>
        <v>-12.72507755894469</v>
      </c>
      <c r="BH358" s="62">
        <f t="shared" si="353"/>
        <v>-2.4558853573396626</v>
      </c>
      <c r="BI358" s="59" t="str">
        <f t="shared" si="306"/>
        <v>0.385992107511527+0.389506829110106i</v>
      </c>
      <c r="BJ358" s="65">
        <f t="shared" si="354"/>
        <v>-5.2185866168156734</v>
      </c>
      <c r="BK358" s="62">
        <f t="shared" si="307"/>
        <v>45.2596745468447</v>
      </c>
      <c r="BL358" s="50">
        <f t="shared" si="355"/>
        <v>-12.72507755894469</v>
      </c>
      <c r="BM358" s="62">
        <f t="shared" si="356"/>
        <v>-2.4558853573396626</v>
      </c>
    </row>
    <row r="359" spans="14:65" x14ac:dyDescent="0.3">
      <c r="N359" s="11">
        <v>41</v>
      </c>
      <c r="O359" s="51">
        <f t="shared" si="308"/>
        <v>25703.95782768865</v>
      </c>
      <c r="P359" s="49" t="str">
        <f t="shared" si="309"/>
        <v>27.9103246607183</v>
      </c>
      <c r="Q359" s="18" t="str">
        <f t="shared" si="310"/>
        <v>1+79.333647929155i</v>
      </c>
      <c r="R359" s="18">
        <f t="shared" si="322"/>
        <v>79.339950174846464</v>
      </c>
      <c r="S359" s="18">
        <f t="shared" si="323"/>
        <v>1.558192002284319</v>
      </c>
      <c r="T359" s="18" t="str">
        <f t="shared" si="311"/>
        <v>1+0.0710612012700908i</v>
      </c>
      <c r="U359" s="18">
        <f t="shared" si="324"/>
        <v>1.0025216677588311</v>
      </c>
      <c r="V359" s="18">
        <f t="shared" si="325"/>
        <v>7.09419499235385E-2</v>
      </c>
      <c r="W359" s="32" t="str">
        <f t="shared" si="312"/>
        <v>1-0.937114607097155i</v>
      </c>
      <c r="X359" s="18">
        <f t="shared" si="326"/>
        <v>1.3704684552498301</v>
      </c>
      <c r="Y359" s="18">
        <f t="shared" si="327"/>
        <v>-0.75294612595717969</v>
      </c>
      <c r="Z359" s="32" t="str">
        <f t="shared" si="313"/>
        <v>0.986349308925463+0.428532812411316i</v>
      </c>
      <c r="AA359" s="18">
        <f t="shared" si="328"/>
        <v>1.0754186768560843</v>
      </c>
      <c r="AB359" s="18">
        <f t="shared" si="329"/>
        <v>0.40985896686577467</v>
      </c>
      <c r="AC359" s="67" t="str">
        <f t="shared" si="330"/>
        <v>-0.396217665707685-0.212120952994628i</v>
      </c>
      <c r="AD359" s="65">
        <f t="shared" si="331"/>
        <v>-6.9468359628253715</v>
      </c>
      <c r="AE359" s="62">
        <f t="shared" si="332"/>
        <v>-151.83697529595659</v>
      </c>
      <c r="AF359" s="50" t="str">
        <f t="shared" si="314"/>
        <v>79.1527877025864</v>
      </c>
      <c r="AG359" s="50" t="str">
        <f t="shared" si="315"/>
        <v>1+78.7139460222542i</v>
      </c>
      <c r="AH359" s="50">
        <f t="shared" si="333"/>
        <v>78.720297880498066</v>
      </c>
      <c r="AI359" s="50">
        <f t="shared" si="334"/>
        <v>1.5580927811515206</v>
      </c>
      <c r="AJ359" s="50" t="str">
        <f t="shared" si="316"/>
        <v>1+0.0710612012700908i</v>
      </c>
      <c r="AK359" s="50">
        <f t="shared" si="335"/>
        <v>1.0025216677588311</v>
      </c>
      <c r="AL359" s="50">
        <f t="shared" si="336"/>
        <v>7.09419499235385E-2</v>
      </c>
      <c r="AM359" s="50" t="str">
        <f t="shared" si="317"/>
        <v>1-0.327857377353614i</v>
      </c>
      <c r="AN359" s="50">
        <f t="shared" si="337"/>
        <v>1.0523737263373645</v>
      </c>
      <c r="AO359" s="50">
        <f t="shared" si="338"/>
        <v>-0.31681412454517732</v>
      </c>
      <c r="AP359" s="59" t="str">
        <f t="shared" si="339"/>
        <v>-0.245115601553939-1.03211697844597i</v>
      </c>
      <c r="AQ359" s="50">
        <f t="shared" si="340"/>
        <v>0.51286502017838798</v>
      </c>
      <c r="AR359" s="62">
        <f t="shared" si="341"/>
        <v>-103.35957835530623</v>
      </c>
      <c r="AS359" s="32" t="str">
        <f t="shared" si="318"/>
        <v>-0.0000166666666666667</v>
      </c>
      <c r="AT359" s="32" t="str">
        <f t="shared" si="319"/>
        <v>0.00054910928254161i</v>
      </c>
      <c r="AU359" s="32">
        <f t="shared" si="342"/>
        <v>5.4910928254161E-4</v>
      </c>
      <c r="AV359" s="32">
        <f t="shared" si="343"/>
        <v>1.5707963267948966</v>
      </c>
      <c r="AW359" s="32" t="str">
        <f t="shared" si="320"/>
        <v>1+0.558039433503359i</v>
      </c>
      <c r="AX359" s="32">
        <f t="shared" si="344"/>
        <v>1.1451672407752285</v>
      </c>
      <c r="AY359" s="32">
        <f t="shared" si="345"/>
        <v>0.50899456044837799</v>
      </c>
      <c r="AZ359" s="32" t="str">
        <f t="shared" si="321"/>
        <v>1+18.9733407391142i</v>
      </c>
      <c r="BA359" s="32">
        <f t="shared" si="346"/>
        <v>18.999675228869851</v>
      </c>
      <c r="BB359" s="32">
        <f t="shared" si="347"/>
        <v>1.5181395176262484</v>
      </c>
      <c r="BC359" s="59" t="str">
        <f t="shared" si="348"/>
        <v>-0.426217189993738+0.268198184504354i</v>
      </c>
      <c r="BD359" s="50">
        <f t="shared" si="349"/>
        <v>-5.958655485349917</v>
      </c>
      <c r="BE359" s="62">
        <f t="shared" si="350"/>
        <v>147.81974696320211</v>
      </c>
      <c r="BF359" s="59" t="str">
        <f t="shared" si="351"/>
        <v>0.2257652345923-0.01585526208719i</v>
      </c>
      <c r="BG359" s="65">
        <f t="shared" si="352"/>
        <v>-12.905491448175304</v>
      </c>
      <c r="BH359" s="62">
        <f t="shared" si="353"/>
        <v>-4.0172283327544704</v>
      </c>
      <c r="BI359" s="59" t="str">
        <f t="shared" si="306"/>
        <v>0.381284382733273+0.37416643896761i</v>
      </c>
      <c r="BJ359" s="65">
        <f t="shared" si="354"/>
        <v>-5.4457904651715294</v>
      </c>
      <c r="BK359" s="62">
        <f t="shared" si="307"/>
        <v>44.460168607895937</v>
      </c>
      <c r="BL359" s="50">
        <f t="shared" si="355"/>
        <v>-12.905491448175304</v>
      </c>
      <c r="BM359" s="62">
        <f t="shared" si="356"/>
        <v>-4.0172283327544704</v>
      </c>
    </row>
    <row r="360" spans="14:65" x14ac:dyDescent="0.3">
      <c r="N360" s="11">
        <v>42</v>
      </c>
      <c r="O360" s="51">
        <f t="shared" si="308"/>
        <v>26302.679918953829</v>
      </c>
      <c r="P360" s="49" t="str">
        <f t="shared" si="309"/>
        <v>27.9103246607183</v>
      </c>
      <c r="Q360" s="18" t="str">
        <f t="shared" si="310"/>
        <v>1+81.1815659779728i</v>
      </c>
      <c r="R360" s="18">
        <f t="shared" si="322"/>
        <v>81.187724778047269</v>
      </c>
      <c r="S360" s="18">
        <f t="shared" si="323"/>
        <v>1.5584788823812947</v>
      </c>
      <c r="T360" s="18" t="str">
        <f t="shared" si="311"/>
        <v>1+0.072716429282736i</v>
      </c>
      <c r="U360" s="18">
        <f t="shared" si="324"/>
        <v>1.0026403538096953</v>
      </c>
      <c r="V360" s="18">
        <f t="shared" si="325"/>
        <v>7.2588667329490375E-2</v>
      </c>
      <c r="W360" s="32" t="str">
        <f t="shared" si="312"/>
        <v>1-0.958942810406449i</v>
      </c>
      <c r="X360" s="18">
        <f t="shared" si="326"/>
        <v>1.3854859485502617</v>
      </c>
      <c r="Y360" s="18">
        <f t="shared" si="327"/>
        <v>-0.76444238093041783</v>
      </c>
      <c r="Z360" s="32" t="str">
        <f t="shared" si="313"/>
        <v>0.985705971675229+0.438514623902862i</v>
      </c>
      <c r="AA360" s="18">
        <f t="shared" si="328"/>
        <v>1.0788472264286895</v>
      </c>
      <c r="AB360" s="18">
        <f t="shared" si="329"/>
        <v>0.41858269009979898</v>
      </c>
      <c r="AC360" s="67" t="str">
        <f t="shared" si="330"/>
        <v>-0.394115831830048-0.201526676768611i</v>
      </c>
      <c r="AD360" s="65">
        <f t="shared" si="331"/>
        <v>-7.0787625273985153</v>
      </c>
      <c r="AE360" s="62">
        <f t="shared" si="332"/>
        <v>-152.91758177045057</v>
      </c>
      <c r="AF360" s="50" t="str">
        <f t="shared" si="314"/>
        <v>79.1527877025864</v>
      </c>
      <c r="AG360" s="50" t="str">
        <f t="shared" si="315"/>
        <v>1+80.5474293593381i</v>
      </c>
      <c r="AH360" s="50">
        <f t="shared" si="333"/>
        <v>80.553636642907449</v>
      </c>
      <c r="AI360" s="50">
        <f t="shared" si="334"/>
        <v>1.5583819190984691</v>
      </c>
      <c r="AJ360" s="50" t="str">
        <f t="shared" si="316"/>
        <v>1+0.072716429282736i</v>
      </c>
      <c r="AK360" s="50">
        <f t="shared" si="335"/>
        <v>1.0026403538096953</v>
      </c>
      <c r="AL360" s="50">
        <f t="shared" si="336"/>
        <v>7.2588667329490375E-2</v>
      </c>
      <c r="AM360" s="50" t="str">
        <f t="shared" si="317"/>
        <v>1-0.3354941567135i</v>
      </c>
      <c r="AN360" s="50">
        <f t="shared" si="337"/>
        <v>1.0547778577448914</v>
      </c>
      <c r="AO360" s="50">
        <f t="shared" si="338"/>
        <v>-0.32369403313600192</v>
      </c>
      <c r="AP360" s="59" t="str">
        <f t="shared" si="339"/>
        <v>-0.245692265488339-1.00970927373766i</v>
      </c>
      <c r="AQ360" s="50">
        <f t="shared" si="340"/>
        <v>0.33374495171100016</v>
      </c>
      <c r="AR360" s="62">
        <f t="shared" si="341"/>
        <v>-103.67598450764176</v>
      </c>
      <c r="AS360" s="32" t="str">
        <f t="shared" si="318"/>
        <v>-0.0000166666666666667</v>
      </c>
      <c r="AT360" s="32" t="str">
        <f t="shared" si="319"/>
        <v>0.000561899680821142i</v>
      </c>
      <c r="AU360" s="32">
        <f t="shared" si="342"/>
        <v>5.6189968082114201E-4</v>
      </c>
      <c r="AV360" s="32">
        <f t="shared" si="343"/>
        <v>1.5707963267948966</v>
      </c>
      <c r="AW360" s="32" t="str">
        <f t="shared" si="320"/>
        <v>1+0.571037841720308i</v>
      </c>
      <c r="AX360" s="32">
        <f t="shared" si="344"/>
        <v>1.1515573006483819</v>
      </c>
      <c r="AY360" s="32">
        <f t="shared" si="345"/>
        <v>0.51885151458192946</v>
      </c>
      <c r="AZ360" s="32" t="str">
        <f t="shared" si="321"/>
        <v>1+19.4152866184905i</v>
      </c>
      <c r="BA360" s="32">
        <f t="shared" si="346"/>
        <v>19.441022464832869</v>
      </c>
      <c r="BB360" s="32">
        <f t="shared" si="347"/>
        <v>1.5193359934100241</v>
      </c>
      <c r="BC360" s="59" t="str">
        <f t="shared" si="348"/>
        <v>-0.421500105083084+0.270353795456009i</v>
      </c>
      <c r="BD360" s="50">
        <f t="shared" si="349"/>
        <v>-6.0075297337351135</v>
      </c>
      <c r="BE360" s="62">
        <f t="shared" si="350"/>
        <v>147.32353810519552</v>
      </c>
      <c r="BF360" s="59" t="str">
        <f t="shared" si="351"/>
        <v>0.220603366481303-0.0216071955495414i</v>
      </c>
      <c r="BG360" s="65">
        <f t="shared" si="352"/>
        <v>-13.086292261133611</v>
      </c>
      <c r="BH360" s="62">
        <f t="shared" si="353"/>
        <v>-5.5940436652550636</v>
      </c>
      <c r="BI360" s="59" t="str">
        <f t="shared" si="306"/>
        <v>0.376538050183543+0.35916872849483i</v>
      </c>
      <c r="BJ360" s="65">
        <f t="shared" si="354"/>
        <v>-5.6737847820241081</v>
      </c>
      <c r="BK360" s="62">
        <f t="shared" si="307"/>
        <v>43.647553597553696</v>
      </c>
      <c r="BL360" s="50">
        <f t="shared" si="355"/>
        <v>-13.086292261133611</v>
      </c>
      <c r="BM360" s="62">
        <f t="shared" si="356"/>
        <v>-5.5940436652550636</v>
      </c>
    </row>
    <row r="361" spans="14:65" x14ac:dyDescent="0.3">
      <c r="N361" s="11">
        <v>43</v>
      </c>
      <c r="O361" s="51">
        <f t="shared" si="308"/>
        <v>26915.348039269167</v>
      </c>
      <c r="P361" s="49" t="str">
        <f t="shared" si="309"/>
        <v>27.9103246607183</v>
      </c>
      <c r="Q361" s="18" t="str">
        <f t="shared" si="310"/>
        <v>1+83.0725275676374i</v>
      </c>
      <c r="R361" s="18">
        <f t="shared" si="322"/>
        <v>83.078546186581008</v>
      </c>
      <c r="S361" s="18">
        <f t="shared" si="323"/>
        <v>1.5587592342492254</v>
      </c>
      <c r="T361" s="18" t="str">
        <f t="shared" si="311"/>
        <v>1+0.0744102125087029i</v>
      </c>
      <c r="U361" s="18">
        <f t="shared" si="324"/>
        <v>1.0027646183056074</v>
      </c>
      <c r="V361" s="18">
        <f t="shared" si="325"/>
        <v>7.4273333485707971E-2</v>
      </c>
      <c r="W361" s="32" t="str">
        <f t="shared" si="312"/>
        <v>1-0.981279457886933i</v>
      </c>
      <c r="X361" s="18">
        <f t="shared" si="326"/>
        <v>1.4010386770074812</v>
      </c>
      <c r="Y361" s="18">
        <f t="shared" si="327"/>
        <v>-0.77594973099364939</v>
      </c>
      <c r="Z361" s="32" t="str">
        <f t="shared" si="313"/>
        <v>0.985032314874484+0.44872894165243i</v>
      </c>
      <c r="AA361" s="18">
        <f t="shared" si="328"/>
        <v>1.0824261288529089</v>
      </c>
      <c r="AB361" s="18">
        <f t="shared" si="329"/>
        <v>0.42745758573089759</v>
      </c>
      <c r="AC361" s="67" t="str">
        <f t="shared" si="330"/>
        <v>-0.391927102471658-0.191113816026403i</v>
      </c>
      <c r="AD361" s="65">
        <f t="shared" si="331"/>
        <v>-7.2094628110108596</v>
      </c>
      <c r="AE361" s="62">
        <f t="shared" si="332"/>
        <v>-154.00493714390561</v>
      </c>
      <c r="AF361" s="50" t="str">
        <f t="shared" si="314"/>
        <v>79.1527877025864</v>
      </c>
      <c r="AG361" s="50" t="str">
        <f t="shared" si="315"/>
        <v>1+82.4236200096399i</v>
      </c>
      <c r="AH361" s="50">
        <f t="shared" si="333"/>
        <v>82.429686008703882</v>
      </c>
      <c r="AI361" s="50">
        <f t="shared" si="334"/>
        <v>1.5586644774680618</v>
      </c>
      <c r="AJ361" s="50" t="str">
        <f t="shared" si="316"/>
        <v>1+0.0744102125087029i</v>
      </c>
      <c r="AK361" s="50">
        <f t="shared" si="335"/>
        <v>1.0027646183056074</v>
      </c>
      <c r="AL361" s="50">
        <f t="shared" si="336"/>
        <v>7.4273333485707971E-2</v>
      </c>
      <c r="AM361" s="50" t="str">
        <f t="shared" si="317"/>
        <v>1-0.343308819516066i</v>
      </c>
      <c r="AN361" s="50">
        <f t="shared" si="337"/>
        <v>1.057289433200538</v>
      </c>
      <c r="AO361" s="50">
        <f t="shared" si="338"/>
        <v>-0.33070146528623839</v>
      </c>
      <c r="AP361" s="59" t="str">
        <f t="shared" si="339"/>
        <v>-0.246242983089918-0.987836285731425i</v>
      </c>
      <c r="AQ361" s="50">
        <f t="shared" si="340"/>
        <v>0.15550926199302009</v>
      </c>
      <c r="AR361" s="62">
        <f t="shared" si="341"/>
        <v>-103.99714593647853</v>
      </c>
      <c r="AS361" s="32" t="str">
        <f t="shared" si="318"/>
        <v>-0.0000166666666666667</v>
      </c>
      <c r="AT361" s="32" t="str">
        <f t="shared" si="319"/>
        <v>0.000574988005749067i</v>
      </c>
      <c r="AU361" s="32">
        <f t="shared" si="342"/>
        <v>5.7498800574906704E-4</v>
      </c>
      <c r="AV361" s="32">
        <f t="shared" si="343"/>
        <v>1.5707963267948966</v>
      </c>
      <c r="AW361" s="32" t="str">
        <f t="shared" si="320"/>
        <v>1+0.584339021759519i</v>
      </c>
      <c r="AX361" s="32">
        <f t="shared" si="344"/>
        <v>1.1582107288187551</v>
      </c>
      <c r="AY361" s="32">
        <f t="shared" si="345"/>
        <v>0.52882447819490563</v>
      </c>
      <c r="AZ361" s="32" t="str">
        <f t="shared" si="321"/>
        <v>1+19.8675267398237i</v>
      </c>
      <c r="BA361" s="32">
        <f t="shared" si="346"/>
        <v>19.892677516051215</v>
      </c>
      <c r="BB361" s="32">
        <f t="shared" si="347"/>
        <v>1.5205053765921108</v>
      </c>
      <c r="BC361" s="59" t="str">
        <f t="shared" si="348"/>
        <v>-0.416671336878429+0.272463433270887i</v>
      </c>
      <c r="BD361" s="50">
        <f t="shared" si="349"/>
        <v>-6.0580875425624834</v>
      </c>
      <c r="BE361" s="62">
        <f t="shared" si="350"/>
        <v>146.81913010190169</v>
      </c>
      <c r="BF361" s="59" t="str">
        <f t="shared" si="351"/>
        <v>0.215376316205809-0.0271541547116792i</v>
      </c>
      <c r="BG361" s="65">
        <f t="shared" si="352"/>
        <v>-13.26755035357335</v>
      </c>
      <c r="BH361" s="62">
        <f t="shared" si="353"/>
        <v>-7.1858070420039146</v>
      </c>
      <c r="BI361" s="59" t="str">
        <f t="shared" si="306"/>
        <v>0.371751658880954+0.344510857201191i</v>
      </c>
      <c r="BJ361" s="65">
        <f t="shared" si="354"/>
        <v>-5.9025782805694522</v>
      </c>
      <c r="BK361" s="62">
        <f t="shared" si="307"/>
        <v>42.821984165423167</v>
      </c>
      <c r="BL361" s="50">
        <f t="shared" si="355"/>
        <v>-13.26755035357335</v>
      </c>
      <c r="BM361" s="62">
        <f t="shared" si="356"/>
        <v>-7.1858070420039146</v>
      </c>
    </row>
    <row r="362" spans="14:65" x14ac:dyDescent="0.3">
      <c r="N362" s="11">
        <v>44</v>
      </c>
      <c r="O362" s="51">
        <f t="shared" si="308"/>
        <v>27542.287033381719</v>
      </c>
      <c r="P362" s="49" t="str">
        <f t="shared" si="309"/>
        <v>27.9103246607183</v>
      </c>
      <c r="Q362" s="18" t="str">
        <f t="shared" si="310"/>
        <v>1+85.0075353110133i</v>
      </c>
      <c r="R362" s="18">
        <f t="shared" si="322"/>
        <v>85.013416939052462</v>
      </c>
      <c r="S362" s="18">
        <f t="shared" si="323"/>
        <v>1.5590332063580017</v>
      </c>
      <c r="T362" s="18" t="str">
        <f t="shared" si="311"/>
        <v>1+0.0761434490142776i</v>
      </c>
      <c r="U362" s="18">
        <f t="shared" si="324"/>
        <v>1.002894722704128</v>
      </c>
      <c r="V362" s="18">
        <f t="shared" si="325"/>
        <v>7.5996803353045927E-2</v>
      </c>
      <c r="W362" s="32" t="str">
        <f t="shared" si="312"/>
        <v>1-1.00413639272476i</v>
      </c>
      <c r="X362" s="18">
        <f t="shared" si="326"/>
        <v>1.4171414520767831</v>
      </c>
      <c r="Y362" s="18">
        <f t="shared" si="327"/>
        <v>-0.78746208822132346</v>
      </c>
      <c r="Z362" s="32" t="str">
        <f t="shared" si="313"/>
        <v>0.984326909606835+0.459181181426492i</v>
      </c>
      <c r="AA362" s="18">
        <f t="shared" si="328"/>
        <v>1.0861615084104073</v>
      </c>
      <c r="AB362" s="18">
        <f t="shared" si="329"/>
        <v>0.43648418071276679</v>
      </c>
      <c r="AC362" s="67" t="str">
        <f t="shared" si="330"/>
        <v>-0.389650538757697-0.180880650266367i</v>
      </c>
      <c r="AD362" s="65">
        <f t="shared" si="331"/>
        <v>-7.3389688857922373</v>
      </c>
      <c r="AE362" s="62">
        <f t="shared" si="332"/>
        <v>-155.09868231715396</v>
      </c>
      <c r="AF362" s="50" t="str">
        <f t="shared" si="314"/>
        <v>79.1527877025864</v>
      </c>
      <c r="AG362" s="50" t="str">
        <f t="shared" si="315"/>
        <v>1+84.3435127542765i</v>
      </c>
      <c r="AH362" s="50">
        <f t="shared" si="333"/>
        <v>84.349440684161053</v>
      </c>
      <c r="AI362" s="50">
        <f t="shared" si="334"/>
        <v>1.5589406058959085</v>
      </c>
      <c r="AJ362" s="50" t="str">
        <f t="shared" si="316"/>
        <v>1+0.0761434490142776i</v>
      </c>
      <c r="AK362" s="50">
        <f t="shared" si="335"/>
        <v>1.002894722704128</v>
      </c>
      <c r="AL362" s="50">
        <f t="shared" si="336"/>
        <v>7.5996803353045927E-2</v>
      </c>
      <c r="AM362" s="50" t="str">
        <f t="shared" si="317"/>
        <v>1-0.351305509198969i</v>
      </c>
      <c r="AN362" s="50">
        <f t="shared" si="337"/>
        <v>1.0599129968037693</v>
      </c>
      <c r="AO362" s="50">
        <f t="shared" si="338"/>
        <v>-0.33783738277451758</v>
      </c>
      <c r="AP362" s="59" t="str">
        <f t="shared" si="339"/>
        <v>-0.246768921448129-0.966486460085909i</v>
      </c>
      <c r="AQ362" s="50">
        <f t="shared" si="340"/>
        <v>-2.1808571131363745E-2</v>
      </c>
      <c r="AR362" s="62">
        <f t="shared" si="341"/>
        <v>-104.32307733551333</v>
      </c>
      <c r="AS362" s="32" t="str">
        <f t="shared" si="318"/>
        <v>-0.0000166666666666667</v>
      </c>
      <c r="AT362" s="32" t="str">
        <f t="shared" si="319"/>
        <v>0.000588381196928507i</v>
      </c>
      <c r="AU362" s="32">
        <f t="shared" si="342"/>
        <v>5.8838119692850705E-4</v>
      </c>
      <c r="AV362" s="32">
        <f t="shared" si="343"/>
        <v>1.5707963267948966</v>
      </c>
      <c r="AW362" s="32" t="str">
        <f t="shared" si="320"/>
        <v>1+0.597950026082708i</v>
      </c>
      <c r="AX362" s="32">
        <f t="shared" si="344"/>
        <v>1.1651370021127607</v>
      </c>
      <c r="AY362" s="32">
        <f t="shared" si="345"/>
        <v>0.5389108031854849</v>
      </c>
      <c r="AZ362" s="32" t="str">
        <f t="shared" si="321"/>
        <v>1+20.3303008868121i</v>
      </c>
      <c r="BA362" s="32">
        <f t="shared" si="346"/>
        <v>20.354879860817473</v>
      </c>
      <c r="BB362" s="32">
        <f t="shared" si="347"/>
        <v>1.5216482743950384</v>
      </c>
      <c r="BC362" s="59" t="str">
        <f t="shared" si="348"/>
        <v>-0.411732172555409+0.274521570742544i</v>
      </c>
      <c r="BD362" s="50">
        <f t="shared" si="349"/>
        <v>-6.1103697410749716</v>
      </c>
      <c r="BE362" s="62">
        <f t="shared" si="350"/>
        <v>146.30670946966663</v>
      </c>
      <c r="BF362" s="59" t="str">
        <f t="shared" si="351"/>
        <v>0.210087303088148-0.0324930948330351i</v>
      </c>
      <c r="BG362" s="65">
        <f t="shared" si="352"/>
        <v>-13.44933862686721</v>
      </c>
      <c r="BH362" s="62">
        <f t="shared" si="353"/>
        <v>-8.7919728474873455</v>
      </c>
      <c r="BI362" s="59" t="str">
        <f t="shared" si="306"/>
        <v>0.366924085271178+0.330190178030174i</v>
      </c>
      <c r="BJ362" s="65">
        <f t="shared" si="354"/>
        <v>-6.1321783122063351</v>
      </c>
      <c r="BK362" s="62">
        <f t="shared" si="307"/>
        <v>41.983632134153297</v>
      </c>
      <c r="BL362" s="50">
        <f t="shared" si="355"/>
        <v>-13.44933862686721</v>
      </c>
      <c r="BM362" s="62">
        <f t="shared" si="356"/>
        <v>-8.7919728474873455</v>
      </c>
    </row>
    <row r="363" spans="14:65" x14ac:dyDescent="0.3">
      <c r="N363" s="11">
        <v>45</v>
      </c>
      <c r="O363" s="51">
        <f t="shared" si="308"/>
        <v>28183.829312644593</v>
      </c>
      <c r="P363" s="49" t="str">
        <f t="shared" si="309"/>
        <v>27.9103246607183</v>
      </c>
      <c r="Q363" s="18" t="str">
        <f t="shared" si="310"/>
        <v>1+86.9876151748187i</v>
      </c>
      <c r="R363" s="18">
        <f t="shared" si="322"/>
        <v>86.993362929607159</v>
      </c>
      <c r="S363" s="18">
        <f t="shared" si="323"/>
        <v>1.5593009438066519</v>
      </c>
      <c r="T363" s="18" t="str">
        <f t="shared" si="311"/>
        <v>1+0.0779170577843971i</v>
      </c>
      <c r="U363" s="18">
        <f t="shared" si="324"/>
        <v>1.0030309406462878</v>
      </c>
      <c r="V363" s="18">
        <f t="shared" si="325"/>
        <v>7.7759949760673283E-2</v>
      </c>
      <c r="W363" s="32" t="str">
        <f t="shared" si="312"/>
        <v>1-1.02752573396932i</v>
      </c>
      <c r="X363" s="18">
        <f t="shared" si="326"/>
        <v>1.4338093087887209</v>
      </c>
      <c r="Y363" s="18">
        <f t="shared" si="327"/>
        <v>-0.79897335143119086</v>
      </c>
      <c r="Z363" s="32" t="str">
        <f t="shared" si="313"/>
        <v>0.983588259613135+0.469876885140927i</v>
      </c>
      <c r="AA363" s="18">
        <f t="shared" si="328"/>
        <v>1.0900597009515285</v>
      </c>
      <c r="AB363" s="18">
        <f t="shared" si="329"/>
        <v>0.44566287257630893</v>
      </c>
      <c r="AC363" s="67" t="str">
        <f t="shared" si="330"/>
        <v>-0.387285265491172-0.170825679639554i</v>
      </c>
      <c r="AD363" s="65">
        <f t="shared" si="331"/>
        <v>-7.467315802082739</v>
      </c>
      <c r="AE363" s="62">
        <f t="shared" si="332"/>
        <v>-156.19844879918011</v>
      </c>
      <c r="AF363" s="50" t="str">
        <f t="shared" si="314"/>
        <v>79.1527877025864</v>
      </c>
      <c r="AG363" s="50" t="str">
        <f t="shared" si="315"/>
        <v>1+86.3081255457935i</v>
      </c>
      <c r="AH363" s="50">
        <f t="shared" si="333"/>
        <v>86.31391854868167</v>
      </c>
      <c r="AI363" s="50">
        <f t="shared" si="334"/>
        <v>1.5592104506204285</v>
      </c>
      <c r="AJ363" s="50" t="str">
        <f t="shared" si="316"/>
        <v>1+0.0779170577843971i</v>
      </c>
      <c r="AK363" s="50">
        <f t="shared" si="335"/>
        <v>1.0030309406462878</v>
      </c>
      <c r="AL363" s="50">
        <f t="shared" si="336"/>
        <v>7.7759949760673283E-2</v>
      </c>
      <c r="AM363" s="50" t="str">
        <f t="shared" si="317"/>
        <v>1-0.359488465712927i</v>
      </c>
      <c r="AN363" s="50">
        <f t="shared" si="337"/>
        <v>1.062653262819361</v>
      </c>
      <c r="AO363" s="50">
        <f t="shared" si="338"/>
        <v>-0.3451026612666907</v>
      </c>
      <c r="AP363" s="59" t="str">
        <f t="shared" si="339"/>
        <v>-0.247271195185251-0.945648516978241i</v>
      </c>
      <c r="AQ363" s="50">
        <f t="shared" si="340"/>
        <v>-0.19817416997583304</v>
      </c>
      <c r="AR363" s="62">
        <f t="shared" si="341"/>
        <v>-104.65378724612016</v>
      </c>
      <c r="AS363" s="32" t="str">
        <f t="shared" si="318"/>
        <v>-0.0000166666666666667</v>
      </c>
      <c r="AT363" s="32" t="str">
        <f t="shared" si="319"/>
        <v>0.000602086355606704i</v>
      </c>
      <c r="AU363" s="32">
        <f t="shared" si="342"/>
        <v>6.0208635560670396E-4</v>
      </c>
      <c r="AV363" s="32">
        <f t="shared" si="343"/>
        <v>1.5707963267948966</v>
      </c>
      <c r="AW363" s="32" t="str">
        <f t="shared" si="320"/>
        <v>1+0.61187807142453i</v>
      </c>
      <c r="AX363" s="32">
        <f t="shared" si="344"/>
        <v>1.1723458424416415</v>
      </c>
      <c r="AY363" s="32">
        <f t="shared" si="345"/>
        <v>0.54910762794412304</v>
      </c>
      <c r="AZ363" s="32" t="str">
        <f t="shared" si="321"/>
        <v>1+20.803854428434i</v>
      </c>
      <c r="BA363" s="32">
        <f t="shared" si="346"/>
        <v>20.827874569419535</v>
      </c>
      <c r="BB363" s="32">
        <f t="shared" si="347"/>
        <v>1.5227652808486012</v>
      </c>
      <c r="BC363" s="59" t="str">
        <f t="shared" si="348"/>
        <v>-0.406684198116851+0.276522664769489i</v>
      </c>
      <c r="BD363" s="50">
        <f t="shared" si="349"/>
        <v>-6.1644165962147515</v>
      </c>
      <c r="BE363" s="62">
        <f t="shared" si="350"/>
        <v>145.78647420204013</v>
      </c>
      <c r="BF363" s="59" t="str">
        <f t="shared" si="351"/>
        <v>0.204739969783738-0.0376210490975998i</v>
      </c>
      <c r="BG363" s="65">
        <f t="shared" si="352"/>
        <v>-13.631732398297471</v>
      </c>
      <c r="BH363" s="62">
        <f t="shared" si="353"/>
        <v>-10.41197459713997</v>
      </c>
      <c r="BI363" s="59" t="str">
        <f t="shared" si="306"/>
        <v>0.362054535581448+0.316204219014323i</v>
      </c>
      <c r="BJ363" s="65">
        <f t="shared" si="354"/>
        <v>-6.3625907661905812</v>
      </c>
      <c r="BK363" s="62">
        <f t="shared" si="307"/>
        <v>41.132686955919922</v>
      </c>
      <c r="BL363" s="50">
        <f t="shared" si="355"/>
        <v>-13.631732398297471</v>
      </c>
      <c r="BM363" s="62">
        <f t="shared" si="356"/>
        <v>-10.41197459713997</v>
      </c>
    </row>
    <row r="364" spans="14:65" x14ac:dyDescent="0.3">
      <c r="N364" s="11">
        <v>46</v>
      </c>
      <c r="O364" s="51">
        <f t="shared" si="308"/>
        <v>28840.315031266062</v>
      </c>
      <c r="P364" s="49" t="str">
        <f t="shared" si="309"/>
        <v>27.9103246607183</v>
      </c>
      <c r="Q364" s="18" t="str">
        <f t="shared" si="310"/>
        <v>1+89.0138170236064i</v>
      </c>
      <c r="R364" s="18">
        <f t="shared" si="322"/>
        <v>89.019433951874134</v>
      </c>
      <c r="S364" s="18">
        <f t="shared" si="323"/>
        <v>1.5595625883994879</v>
      </c>
      <c r="T364" s="18" t="str">
        <f t="shared" si="311"/>
        <v>1+0.0797319792099077i</v>
      </c>
      <c r="U364" s="18">
        <f t="shared" si="324"/>
        <v>1.0031735585175325</v>
      </c>
      <c r="V364" s="18">
        <f t="shared" si="325"/>
        <v>7.9563663679106389E-2</v>
      </c>
      <c r="W364" s="32" t="str">
        <f t="shared" si="312"/>
        <v>1-1.05145988295894i</v>
      </c>
      <c r="X364" s="18">
        <f t="shared" si="326"/>
        <v>1.4510575059149198</v>
      </c>
      <c r="Y364" s="18">
        <f t="shared" si="327"/>
        <v>-0.81047742233865128</v>
      </c>
      <c r="Z364" s="32" t="str">
        <f t="shared" si="313"/>
        <v>0.982814798117714+0.480821723799417i</v>
      </c>
      <c r="AA364" s="18">
        <f t="shared" si="328"/>
        <v>1.0941272583555379</v>
      </c>
      <c r="AB364" s="18">
        <f t="shared" si="329"/>
        <v>0.45499392279760881</v>
      </c>
      <c r="AC364" s="67" t="str">
        <f t="shared" si="330"/>
        <v>-0.38483048164012-0.160947621926405i</v>
      </c>
      <c r="AD364" s="65">
        <f t="shared" si="331"/>
        <v>-7.5945415469473554</v>
      </c>
      <c r="AE364" s="62">
        <f t="shared" si="332"/>
        <v>-157.30385924142874</v>
      </c>
      <c r="AF364" s="50" t="str">
        <f t="shared" si="314"/>
        <v>79.1527877025864</v>
      </c>
      <c r="AG364" s="50" t="str">
        <f t="shared" si="315"/>
        <v>1+88.3185000478976i</v>
      </c>
      <c r="AH364" s="50">
        <f t="shared" si="333"/>
        <v>88.324161194491325</v>
      </c>
      <c r="AI364" s="50">
        <f t="shared" si="334"/>
        <v>1.5594741545595838</v>
      </c>
      <c r="AJ364" s="50" t="str">
        <f t="shared" si="316"/>
        <v>1+0.0797319792099077i</v>
      </c>
      <c r="AK364" s="50">
        <f t="shared" si="335"/>
        <v>1.0031735585175325</v>
      </c>
      <c r="AL364" s="50">
        <f t="shared" si="336"/>
        <v>7.9563663679106389E-2</v>
      </c>
      <c r="AM364" s="50" t="str">
        <f t="shared" si="317"/>
        <v>1-0.367862027769797i</v>
      </c>
      <c r="AN364" s="50">
        <f t="shared" si="337"/>
        <v>1.0655151202469662</v>
      </c>
      <c r="AO364" s="50">
        <f t="shared" si="338"/>
        <v>-0.35249808401779131</v>
      </c>
      <c r="AP364" s="59" t="str">
        <f t="shared" si="339"/>
        <v>-0.247750868812485-0.925311445314661i</v>
      </c>
      <c r="AQ364" s="50">
        <f t="shared" si="340"/>
        <v>-0.37355226261674651</v>
      </c>
      <c r="AR364" s="62">
        <f t="shared" si="341"/>
        <v>-104.98927768525257</v>
      </c>
      <c r="AS364" s="32" t="str">
        <f t="shared" si="318"/>
        <v>-0.0000166666666666667</v>
      </c>
      <c r="AT364" s="32" t="str">
        <f t="shared" si="319"/>
        <v>0.000616110748440197i</v>
      </c>
      <c r="AU364" s="32">
        <f t="shared" si="342"/>
        <v>6.1611074844019698E-4</v>
      </c>
      <c r="AV364" s="32">
        <f t="shared" si="343"/>
        <v>1.5707963267948966</v>
      </c>
      <c r="AW364" s="32" t="str">
        <f t="shared" si="320"/>
        <v>1+0.62613054261898i</v>
      </c>
      <c r="AX364" s="32">
        <f t="shared" si="344"/>
        <v>1.1798472173973791</v>
      </c>
      <c r="AY364" s="32">
        <f t="shared" si="345"/>
        <v>0.55941187676241555</v>
      </c>
      <c r="AZ364" s="32" t="str">
        <f t="shared" si="321"/>
        <v>1+21.2884384490453i</v>
      </c>
      <c r="BA364" s="32">
        <f t="shared" si="346"/>
        <v>21.311912434101039</v>
      </c>
      <c r="BB364" s="32">
        <f t="shared" si="347"/>
        <v>1.5238569770485282</v>
      </c>
      <c r="BC364" s="59" t="str">
        <f t="shared" si="348"/>
        <v>-0.401529305874396+0.278461175743791i</v>
      </c>
      <c r="BD364" s="50">
        <f t="shared" si="349"/>
        <v>-6.2202677064596745</v>
      </c>
      <c r="BE364" s="62">
        <f t="shared" si="350"/>
        <v>145.25863381846571</v>
      </c>
      <c r="BF364" s="59" t="str">
        <f t="shared" si="351"/>
        <v>0.199338380207061-0.0425351614653131i</v>
      </c>
      <c r="BG364" s="65">
        <f t="shared" si="352"/>
        <v>-13.81480925340702</v>
      </c>
      <c r="BH364" s="62">
        <f t="shared" si="353"/>
        <v>-12.04522542296303</v>
      </c>
      <c r="BI364" s="59" t="str">
        <f t="shared" si="306"/>
        <v>0.357142547375563+0.30255066413376i</v>
      </c>
      <c r="BJ364" s="65">
        <f t="shared" si="354"/>
        <v>-6.5938199690764137</v>
      </c>
      <c r="BK364" s="62">
        <f t="shared" si="307"/>
        <v>40.269356133213122</v>
      </c>
      <c r="BL364" s="50">
        <f t="shared" si="355"/>
        <v>-13.81480925340702</v>
      </c>
      <c r="BM364" s="62">
        <f t="shared" si="356"/>
        <v>-12.04522542296303</v>
      </c>
    </row>
    <row r="365" spans="14:65" x14ac:dyDescent="0.3">
      <c r="N365" s="11">
        <v>47</v>
      </c>
      <c r="O365" s="51">
        <f t="shared" si="308"/>
        <v>29512.092266663854</v>
      </c>
      <c r="P365" s="49" t="str">
        <f t="shared" si="309"/>
        <v>27.9103246607183</v>
      </c>
      <c r="Q365" s="18" t="str">
        <f t="shared" si="310"/>
        <v>1+91.0872151764182i</v>
      </c>
      <c r="R365" s="18">
        <f t="shared" si="322"/>
        <v>91.092704255583001</v>
      </c>
      <c r="S365" s="18">
        <f t="shared" si="323"/>
        <v>1.5598182787205612</v>
      </c>
      <c r="T365" s="18" t="str">
        <f t="shared" si="311"/>
        <v>1+0.0815891755861737i</v>
      </c>
      <c r="U365" s="18">
        <f t="shared" si="324"/>
        <v>1.0033228760338475</v>
      </c>
      <c r="V365" s="18">
        <f t="shared" si="325"/>
        <v>8.1408854489744498E-2</v>
      </c>
      <c r="W365" s="32" t="str">
        <f t="shared" si="312"/>
        <v>1-1.07595152989623i</v>
      </c>
      <c r="X365" s="18">
        <f t="shared" si="326"/>
        <v>1.4689015265449341</v>
      </c>
      <c r="Y365" s="18">
        <f t="shared" si="327"/>
        <v>-0.82196822169238093</v>
      </c>
      <c r="Z365" s="32" t="str">
        <f t="shared" si="313"/>
        <v>0.98200488450504+0.492021500500298i</v>
      </c>
      <c r="AA365" s="18">
        <f t="shared" si="328"/>
        <v>1.0983709528871937</v>
      </c>
      <c r="AB365" s="18">
        <f t="shared" si="329"/>
        <v>0.46447745023817844</v>
      </c>
      <c r="AC365" s="67" t="str">
        <f t="shared" si="330"/>
        <v>-0.38228547106395-0.151245408846636i</v>
      </c>
      <c r="AD365" s="65">
        <f t="shared" si="331"/>
        <v>-7.7206869875832211</v>
      </c>
      <c r="AE365" s="62">
        <f t="shared" si="332"/>
        <v>-158.41452797528424</v>
      </c>
      <c r="AF365" s="50" t="str">
        <f t="shared" si="314"/>
        <v>79.1527877025864</v>
      </c>
      <c r="AG365" s="50" t="str">
        <f t="shared" si="315"/>
        <v>1+90.3757021877614i</v>
      </c>
      <c r="AH365" s="50">
        <f t="shared" si="333"/>
        <v>90.381234478905753</v>
      </c>
      <c r="AI365" s="50">
        <f t="shared" si="334"/>
        <v>1.5597318573859063</v>
      </c>
      <c r="AJ365" s="50" t="str">
        <f t="shared" si="316"/>
        <v>1+0.0815891755861737i</v>
      </c>
      <c r="AK365" s="50">
        <f t="shared" si="335"/>
        <v>1.0033228760338475</v>
      </c>
      <c r="AL365" s="50">
        <f t="shared" si="336"/>
        <v>8.1408854489744498E-2</v>
      </c>
      <c r="AM365" s="50" t="str">
        <f t="shared" si="317"/>
        <v>1-0.376430635143023i</v>
      </c>
      <c r="AN365" s="50">
        <f t="shared" si="337"/>
        <v>1.0685036373705892</v>
      </c>
      <c r="AO365" s="50">
        <f t="shared" si="338"/>
        <v>-0.36002433542519274</v>
      </c>
      <c r="AP365" s="59" t="str">
        <f t="shared" si="339"/>
        <v>-0.248208958980468-0.905464497070894i</v>
      </c>
      <c r="AQ365" s="50">
        <f t="shared" si="340"/>
        <v>-0.5479066914904841</v>
      </c>
      <c r="AR365" s="62">
        <f t="shared" si="341"/>
        <v>-105.32954376492204</v>
      </c>
      <c r="AS365" s="32" t="str">
        <f t="shared" si="318"/>
        <v>-0.0000166666666666667</v>
      </c>
      <c r="AT365" s="32" t="str">
        <f t="shared" si="319"/>
        <v>0.000630461811347704i</v>
      </c>
      <c r="AU365" s="32">
        <f t="shared" si="342"/>
        <v>6.3046181134770399E-4</v>
      </c>
      <c r="AV365" s="32">
        <f t="shared" si="343"/>
        <v>1.5707963267948966</v>
      </c>
      <c r="AW365" s="32" t="str">
        <f t="shared" si="320"/>
        <v>1+0.640714996514952i</v>
      </c>
      <c r="AX365" s="32">
        <f t="shared" si="344"/>
        <v>1.1876513405706048</v>
      </c>
      <c r="AY365" s="32">
        <f t="shared" si="345"/>
        <v>0.56982026007061271</v>
      </c>
      <c r="AZ365" s="32" t="str">
        <f t="shared" si="321"/>
        <v>1+21.7843098815084i</v>
      </c>
      <c r="BA365" s="32">
        <f t="shared" si="346"/>
        <v>21.807250102055153</v>
      </c>
      <c r="BB365" s="32">
        <f t="shared" si="347"/>
        <v>1.5249239314120047</v>
      </c>
      <c r="BC365" s="59" t="str">
        <f t="shared" si="348"/>
        <v>-0.396269700507237+0.280331588008572i</v>
      </c>
      <c r="BD365" s="50">
        <f t="shared" si="349"/>
        <v>-6.2779618931402599</v>
      </c>
      <c r="BE365" s="62">
        <f t="shared" si="350"/>
        <v>144.7234093653118</v>
      </c>
      <c r="BF365" s="59" t="str">
        <f t="shared" si="351"/>
        <v>0.193887014767763-0.047232720309211i</v>
      </c>
      <c r="BG365" s="65">
        <f t="shared" si="352"/>
        <v>-13.998648880723465</v>
      </c>
      <c r="BH365" s="62">
        <f t="shared" si="353"/>
        <v>-13.69111860997242</v>
      </c>
      <c r="BI365" s="59" t="str">
        <f t="shared" si="306"/>
        <v>0.35218799018767+0.28922733344527i</v>
      </c>
      <c r="BJ365" s="65">
        <f t="shared" si="354"/>
        <v>-6.8258685846307419</v>
      </c>
      <c r="BK365" s="62">
        <f t="shared" si="307"/>
        <v>39.393865600389745</v>
      </c>
      <c r="BL365" s="50">
        <f t="shared" si="355"/>
        <v>-13.998648880723465</v>
      </c>
      <c r="BM365" s="62">
        <f t="shared" si="356"/>
        <v>-13.69111860997242</v>
      </c>
    </row>
    <row r="366" spans="14:65" x14ac:dyDescent="0.3">
      <c r="N366" s="11">
        <v>48</v>
      </c>
      <c r="O366" s="51">
        <f t="shared" si="308"/>
        <v>30199.517204020212</v>
      </c>
      <c r="P366" s="49" t="str">
        <f t="shared" si="309"/>
        <v>27.9103246607183</v>
      </c>
      <c r="Q366" s="18" t="str">
        <f t="shared" si="310"/>
        <v>1+93.2089089763979i</v>
      </c>
      <c r="R366" s="18">
        <f t="shared" si="322"/>
        <v>93.214273116140475</v>
      </c>
      <c r="S366" s="18">
        <f t="shared" si="323"/>
        <v>1.5600681502064564</v>
      </c>
      <c r="T366" s="18" t="str">
        <f t="shared" si="311"/>
        <v>1+0.0834896316232956i</v>
      </c>
      <c r="U366" s="18">
        <f t="shared" si="324"/>
        <v>1.0034792068541298</v>
      </c>
      <c r="V366" s="18">
        <f t="shared" si="325"/>
        <v>8.3296450250161511E-2</v>
      </c>
      <c r="W366" s="32" t="str">
        <f t="shared" si="312"/>
        <v>1-1.10101366057657i</v>
      </c>
      <c r="X366" s="18">
        <f t="shared" si="326"/>
        <v>1.487357079109189</v>
      </c>
      <c r="Y366" s="18">
        <f t="shared" si="327"/>
        <v>-0.83343970528723454</v>
      </c>
      <c r="Z366" s="32" t="str">
        <f t="shared" si="313"/>
        <v>0.981156800839754+0.503482153513416i</v>
      </c>
      <c r="AA366" s="18">
        <f t="shared" si="328"/>
        <v>1.1027977814362013</v>
      </c>
      <c r="AB366" s="18">
        <f t="shared" si="329"/>
        <v>0.47411342469759504</v>
      </c>
      <c r="AC366" s="67" t="str">
        <f t="shared" si="330"/>
        <v>-0.379649613433037-0.141718181649705i</v>
      </c>
      <c r="AD366" s="65">
        <f t="shared" si="331"/>
        <v>-7.8457957995564627</v>
      </c>
      <c r="AE366" s="62">
        <f t="shared" si="332"/>
        <v>-159.53006154910713</v>
      </c>
      <c r="AF366" s="50" t="str">
        <f t="shared" si="314"/>
        <v>79.1527877025864</v>
      </c>
      <c r="AG366" s="50" t="str">
        <f t="shared" si="315"/>
        <v>1+92.4808227211887i</v>
      </c>
      <c r="AH366" s="50">
        <f t="shared" si="333"/>
        <v>92.486229089459215</v>
      </c>
      <c r="AI366" s="50">
        <f t="shared" si="334"/>
        <v>1.5599836955998525</v>
      </c>
      <c r="AJ366" s="50" t="str">
        <f t="shared" si="316"/>
        <v>1+0.0834896316232956i</v>
      </c>
      <c r="AK366" s="50">
        <f t="shared" si="335"/>
        <v>1.0034792068541298</v>
      </c>
      <c r="AL366" s="50">
        <f t="shared" si="336"/>
        <v>8.3296450250161511E-2</v>
      </c>
      <c r="AM366" s="50" t="str">
        <f t="shared" si="317"/>
        <v>1-0.385198831021649i</v>
      </c>
      <c r="AN366" s="50">
        <f t="shared" si="337"/>
        <v>1.0716240662753169</v>
      </c>
      <c r="AO366" s="50">
        <f t="shared" si="338"/>
        <v>-0.36768199445058641</v>
      </c>
      <c r="AP366" s="59" t="str">
        <f t="shared" si="339"/>
        <v>-0.248646436628927-0.886097181760119i</v>
      </c>
      <c r="AQ366" s="50">
        <f t="shared" si="340"/>
        <v>-0.72120042518229854</v>
      </c>
      <c r="AR366" s="62">
        <f t="shared" si="341"/>
        <v>-105.67457330430797</v>
      </c>
      <c r="AS366" s="32" t="str">
        <f t="shared" si="318"/>
        <v>-0.0000166666666666667</v>
      </c>
      <c r="AT366" s="32" t="str">
        <f t="shared" si="319"/>
        <v>0.000645147153452738i</v>
      </c>
      <c r="AU366" s="32">
        <f t="shared" si="342"/>
        <v>6.4514715345273803E-4</v>
      </c>
      <c r="AV366" s="32">
        <f t="shared" si="343"/>
        <v>1.5707963267948966</v>
      </c>
      <c r="AW366" s="32" t="str">
        <f t="shared" si="320"/>
        <v>1+0.655639165982938i</v>
      </c>
      <c r="AX366" s="32">
        <f t="shared" si="344"/>
        <v>1.1957686715961422</v>
      </c>
      <c r="AY366" s="32">
        <f t="shared" si="345"/>
        <v>0.5803292755454007</v>
      </c>
      <c r="AZ366" s="32" t="str">
        <f t="shared" si="321"/>
        <v>1+22.2917316434199i</v>
      </c>
      <c r="BA366" s="32">
        <f t="shared" si="346"/>
        <v>22.314150211519326</v>
      </c>
      <c r="BB366" s="32">
        <f t="shared" si="347"/>
        <v>1.5259666999299335</v>
      </c>
      <c r="BC366" s="59" t="str">
        <f t="shared" si="348"/>
        <v>-0.390907903559614+0.282128431275531i</v>
      </c>
      <c r="BD366" s="50">
        <f t="shared" si="349"/>
        <v>-6.3375370897756689</v>
      </c>
      <c r="BE366" s="62">
        <f t="shared" si="350"/>
        <v>144.18103336685527</v>
      </c>
      <c r="BF366" s="59" t="str">
        <f t="shared" si="351"/>
        <v>0.188390762746378-0.0517111925872577i</v>
      </c>
      <c r="BG366" s="65">
        <f t="shared" si="352"/>
        <v>-14.183332889332149</v>
      </c>
      <c r="BH366" s="62">
        <f t="shared" si="353"/>
        <v>-15.349028182251859</v>
      </c>
      <c r="BI366" s="59" t="str">
        <f t="shared" si="306"/>
        <v>0.347191065117834+0.27623216256356i</v>
      </c>
      <c r="BJ366" s="65">
        <f t="shared" si="354"/>
        <v>-7.0587375149579685</v>
      </c>
      <c r="BK366" s="62">
        <f t="shared" si="307"/>
        <v>38.506460062547234</v>
      </c>
      <c r="BL366" s="50">
        <f t="shared" si="355"/>
        <v>-14.183332889332149</v>
      </c>
      <c r="BM366" s="62">
        <f t="shared" si="356"/>
        <v>-15.349028182251859</v>
      </c>
    </row>
    <row r="367" spans="14:65" x14ac:dyDescent="0.3">
      <c r="N367" s="11">
        <v>49</v>
      </c>
      <c r="O367" s="51">
        <f t="shared" si="308"/>
        <v>30902.954325135954</v>
      </c>
      <c r="P367" s="49" t="str">
        <f t="shared" si="309"/>
        <v>27.9103246607183</v>
      </c>
      <c r="Q367" s="18" t="str">
        <f t="shared" si="310"/>
        <v>1+95.3800233736826i</v>
      </c>
      <c r="R367" s="18">
        <f t="shared" si="322"/>
        <v>95.38526541748594</v>
      </c>
      <c r="S367" s="18">
        <f t="shared" si="323"/>
        <v>1.5603123352174635</v>
      </c>
      <c r="T367" s="18" t="str">
        <f t="shared" si="311"/>
        <v>1+0.0854343549682199i</v>
      </c>
      <c r="U367" s="18">
        <f t="shared" si="324"/>
        <v>1.0036428792199124</v>
      </c>
      <c r="V367" s="18">
        <f t="shared" si="325"/>
        <v>8.5227397954366055E-2</v>
      </c>
      <c r="W367" s="32" t="str">
        <f t="shared" si="312"/>
        <v>1-1.12665956327338i</v>
      </c>
      <c r="X367" s="18">
        <f t="shared" si="326"/>
        <v>1.5064400988805906</v>
      </c>
      <c r="Y367" s="18">
        <f t="shared" si="327"/>
        <v>-0.84488587975191376</v>
      </c>
      <c r="Z367" s="32" t="str">
        <f t="shared" si="313"/>
        <v>0.980268748222697+0.515209759428701i</v>
      </c>
      <c r="AA367" s="18">
        <f t="shared" si="328"/>
        <v>1.1074149696264148</v>
      </c>
      <c r="AB367" s="18">
        <f t="shared" si="329"/>
        <v>0.48390166062152346</v>
      </c>
      <c r="AC367" s="67" t="str">
        <f t="shared" si="330"/>
        <v>-0.37692239528841-0.132365285935387i</v>
      </c>
      <c r="AD367" s="65">
        <f t="shared" si="331"/>
        <v>-7.9699143799237238</v>
      </c>
      <c r="AE367" s="62">
        <f t="shared" si="332"/>
        <v>-160.65005926146276</v>
      </c>
      <c r="AF367" s="50" t="str">
        <f t="shared" si="314"/>
        <v>79.1527877025864</v>
      </c>
      <c r="AG367" s="50" t="str">
        <f t="shared" si="315"/>
        <v>1+94.6349778109511i</v>
      </c>
      <c r="AH367" s="50">
        <f t="shared" si="333"/>
        <v>94.640261122205317</v>
      </c>
      <c r="AI367" s="50">
        <f t="shared" si="334"/>
        <v>1.5602298026015264</v>
      </c>
      <c r="AJ367" s="50" t="str">
        <f t="shared" si="316"/>
        <v>1+0.0854343549682199i</v>
      </c>
      <c r="AK367" s="50">
        <f t="shared" si="335"/>
        <v>1.0036428792199124</v>
      </c>
      <c r="AL367" s="50">
        <f t="shared" si="336"/>
        <v>8.5227397954366055E-2</v>
      </c>
      <c r="AM367" s="50" t="str">
        <f t="shared" si="317"/>
        <v>1-0.394171264419191i</v>
      </c>
      <c r="AN367" s="50">
        <f t="shared" si="337"/>
        <v>1.0748818473180313</v>
      </c>
      <c r="AO367" s="50">
        <f t="shared" si="338"/>
        <v>-0.3754715279310652</v>
      </c>
      <c r="AP367" s="59" t="str">
        <f t="shared" si="339"/>
        <v>-0.249064229039969-0.867199261026328i</v>
      </c>
      <c r="AQ367" s="50">
        <f t="shared" si="340"/>
        <v>-0.89339557360380462</v>
      </c>
      <c r="AR367" s="62">
        <f t="shared" si="341"/>
        <v>-106.02434643570842</v>
      </c>
      <c r="AS367" s="32" t="str">
        <f t="shared" si="318"/>
        <v>-0.0000166666666666667</v>
      </c>
      <c r="AT367" s="32" t="str">
        <f t="shared" si="319"/>
        <v>0.000660174561118063i</v>
      </c>
      <c r="AU367" s="32">
        <f t="shared" si="342"/>
        <v>6.6017456111806296E-4</v>
      </c>
      <c r="AV367" s="32">
        <f t="shared" si="343"/>
        <v>1.5707963267948966</v>
      </c>
      <c r="AW367" s="32" t="str">
        <f t="shared" si="320"/>
        <v>1+0.670910964015138i</v>
      </c>
      <c r="AX367" s="32">
        <f t="shared" si="344"/>
        <v>1.2042099159348099</v>
      </c>
      <c r="AY367" s="32">
        <f t="shared" si="345"/>
        <v>0.59093521012488115</v>
      </c>
      <c r="AZ367" s="32" t="str">
        <f t="shared" si="321"/>
        <v>1+22.8109727765147i</v>
      </c>
      <c r="BA367" s="32">
        <f t="shared" si="346"/>
        <v>22.832881531048479</v>
      </c>
      <c r="BB367" s="32">
        <f t="shared" si="347"/>
        <v>1.5269858264158542</v>
      </c>
      <c r="BC367" s="59" t="str">
        <f t="shared" si="348"/>
        <v>-0.385446756246827+0.283846302875524i</v>
      </c>
      <c r="BD367" s="50">
        <f t="shared" si="349"/>
        <v>-6.3990302300132491</v>
      </c>
      <c r="BE367" s="62">
        <f t="shared" si="350"/>
        <v>143.63174972409243</v>
      </c>
      <c r="BF367" s="59" t="str">
        <f t="shared" si="351"/>
        <v>0.182854911662523-0.0559682582701233i</v>
      </c>
      <c r="BG367" s="65">
        <f t="shared" si="352"/>
        <v>-14.368944609936982</v>
      </c>
      <c r="BH367" s="62">
        <f t="shared" si="353"/>
        <v>-17.018309537370328</v>
      </c>
      <c r="BI367" s="59" t="str">
        <f t="shared" si="306"/>
        <v>0.342152303279283+0.263563181590706i</v>
      </c>
      <c r="BJ367" s="65">
        <f t="shared" si="354"/>
        <v>-7.2924258036170428</v>
      </c>
      <c r="BK367" s="62">
        <f t="shared" si="307"/>
        <v>37.607403288384006</v>
      </c>
      <c r="BL367" s="50">
        <f t="shared" si="355"/>
        <v>-14.368944609936982</v>
      </c>
      <c r="BM367" s="62">
        <f t="shared" si="356"/>
        <v>-17.018309537370328</v>
      </c>
    </row>
    <row r="368" spans="14:65" x14ac:dyDescent="0.3">
      <c r="N368" s="11">
        <v>50</v>
      </c>
      <c r="O368" s="51">
        <f t="shared" si="308"/>
        <v>31622.77660168384</v>
      </c>
      <c r="P368" s="49" t="str">
        <f t="shared" si="309"/>
        <v>27.9103246607183</v>
      </c>
      <c r="Q368" s="18" t="str">
        <f t="shared" si="310"/>
        <v>1+97.6017095218638i</v>
      </c>
      <c r="R368" s="18">
        <f t="shared" si="322"/>
        <v>97.606832248517719</v>
      </c>
      <c r="S368" s="18">
        <f t="shared" si="323"/>
        <v>1.5605509631071621</v>
      </c>
      <c r="T368" s="18" t="str">
        <f t="shared" si="311"/>
        <v>1+0.0874243767390058i</v>
      </c>
      <c r="U368" s="18">
        <f t="shared" si="324"/>
        <v>1.0038142366235914</v>
      </c>
      <c r="V368" s="18">
        <f t="shared" si="325"/>
        <v>8.7202663787155174E-2</v>
      </c>
      <c r="W368" s="32" t="str">
        <f t="shared" si="312"/>
        <v>1-1.15290283578374i</v>
      </c>
      <c r="X368" s="18">
        <f t="shared" si="326"/>
        <v>1.52616674998448</v>
      </c>
      <c r="Y368" s="18">
        <f t="shared" si="327"/>
        <v>-0.85630081801150693</v>
      </c>
      <c r="Z368" s="32" t="str">
        <f t="shared" si="313"/>
        <v>0.979338842975207+0.527210536378042i</v>
      </c>
      <c r="AA368" s="18">
        <f t="shared" si="328"/>
        <v>1.1122299757820051</v>
      </c>
      <c r="AB368" s="18">
        <f t="shared" si="329"/>
        <v>0.49384181101058422</v>
      </c>
      <c r="AC368" s="67" t="str">
        <f t="shared" si="330"/>
        <v>-0.374103421181116-0.123186265657155i</v>
      </c>
      <c r="AD368" s="65">
        <f t="shared" si="331"/>
        <v>-8.0930917454087883</v>
      </c>
      <c r="AE368" s="62">
        <f t="shared" si="332"/>
        <v>-161.77411368747701</v>
      </c>
      <c r="AF368" s="50" t="str">
        <f t="shared" si="314"/>
        <v>79.1527877025864</v>
      </c>
      <c r="AG368" s="50" t="str">
        <f t="shared" si="315"/>
        <v>1+96.8393096185908i</v>
      </c>
      <c r="AH368" s="50">
        <f t="shared" si="333"/>
        <v>96.844472673484532</v>
      </c>
      <c r="AI368" s="50">
        <f t="shared" si="334"/>
        <v>1.5604703087607983</v>
      </c>
      <c r="AJ368" s="50" t="str">
        <f t="shared" si="316"/>
        <v>1+0.0874243767390058i</v>
      </c>
      <c r="AK368" s="50">
        <f t="shared" si="335"/>
        <v>1.0038142366235914</v>
      </c>
      <c r="AL368" s="50">
        <f t="shared" si="336"/>
        <v>8.7202663787155174E-2</v>
      </c>
      <c r="AM368" s="50" t="str">
        <f t="shared" si="317"/>
        <v>1-0.403352692638602i</v>
      </c>
      <c r="AN368" s="50">
        <f t="shared" si="337"/>
        <v>1.0782826135382182</v>
      </c>
      <c r="AO368" s="50">
        <f t="shared" si="338"/>
        <v>-0.38339328380222387</v>
      </c>
      <c r="AP368" s="59" t="str">
        <f t="shared" si="339"/>
        <v>-0.249463221799318-0.848760743361028i</v>
      </c>
      <c r="AQ368" s="50">
        <f t="shared" si="340"/>
        <v>-1.0644534067505953</v>
      </c>
      <c r="AR368" s="62">
        <f t="shared" si="341"/>
        <v>-106.37883520569672</v>
      </c>
      <c r="AS368" s="32" t="str">
        <f t="shared" si="318"/>
        <v>-0.0000166666666666667</v>
      </c>
      <c r="AT368" s="32" t="str">
        <f t="shared" si="319"/>
        <v>0.000675552002074136i</v>
      </c>
      <c r="AU368" s="32">
        <f t="shared" si="342"/>
        <v>6.7555200207413595E-4</v>
      </c>
      <c r="AV368" s="32">
        <f t="shared" si="343"/>
        <v>1.5707963267948966</v>
      </c>
      <c r="AW368" s="32" t="str">
        <f t="shared" si="320"/>
        <v>1+0.686538487921015i</v>
      </c>
      <c r="AX368" s="32">
        <f t="shared" si="344"/>
        <v>1.21298602440295</v>
      </c>
      <c r="AY368" s="32">
        <f t="shared" si="345"/>
        <v>0.60163414296187578</v>
      </c>
      <c r="AZ368" s="32" t="str">
        <f t="shared" si="321"/>
        <v>1+23.3423085893145i</v>
      </c>
      <c r="BA368" s="32">
        <f t="shared" si="346"/>
        <v>23.363719102034793</v>
      </c>
      <c r="BB368" s="32">
        <f t="shared" si="347"/>
        <v>1.5279818427514276</v>
      </c>
      <c r="BC368" s="59" t="str">
        <f t="shared" si="348"/>
        <v>-0.379889420450092+0.285479890697157i</v>
      </c>
      <c r="BD368" s="50">
        <f t="shared" si="349"/>
        <v>-6.4624771348042751</v>
      </c>
      <c r="BE368" s="62">
        <f t="shared" si="350"/>
        <v>143.07581355959314</v>
      </c>
      <c r="BF368" s="59" t="str">
        <f t="shared" si="351"/>
        <v>0.177285133516086-0.0600018447203098i</v>
      </c>
      <c r="BG368" s="65">
        <f t="shared" si="352"/>
        <v>-14.55556888021308</v>
      </c>
      <c r="BH368" s="62">
        <f t="shared" si="353"/>
        <v>-18.698300127883911</v>
      </c>
      <c r="BI368" s="59" t="str">
        <f t="shared" si="306"/>
        <v>0.3370725629957+0.25121849360398i</v>
      </c>
      <c r="BJ368" s="65">
        <f t="shared" si="354"/>
        <v>-7.5269305415548686</v>
      </c>
      <c r="BK368" s="62">
        <f t="shared" si="307"/>
        <v>36.696978353896384</v>
      </c>
      <c r="BL368" s="50">
        <f t="shared" si="355"/>
        <v>-14.55556888021308</v>
      </c>
      <c r="BM368" s="62">
        <f t="shared" si="356"/>
        <v>-18.698300127883911</v>
      </c>
    </row>
    <row r="369" spans="14:65" x14ac:dyDescent="0.3">
      <c r="N369" s="11">
        <v>51</v>
      </c>
      <c r="O369" s="51">
        <f t="shared" si="308"/>
        <v>32359.365692962871</v>
      </c>
      <c r="P369" s="49" t="str">
        <f t="shared" si="309"/>
        <v>27.9103246607183</v>
      </c>
      <c r="Q369" s="18" t="str">
        <f t="shared" si="310"/>
        <v>1+99.8751453883449i</v>
      </c>
      <c r="R369" s="18">
        <f t="shared" si="322"/>
        <v>99.880151513416479</v>
      </c>
      <c r="S369" s="18">
        <f t="shared" si="323"/>
        <v>1.5607841602904493</v>
      </c>
      <c r="T369" s="18" t="str">
        <f t="shared" si="311"/>
        <v>1+0.0894607520715371i</v>
      </c>
      <c r="U369" s="18">
        <f t="shared" si="324"/>
        <v>1.0039936385063428</v>
      </c>
      <c r="V369" s="18">
        <f t="shared" si="325"/>
        <v>8.9223233371637789E-2</v>
      </c>
      <c r="W369" s="32" t="str">
        <f t="shared" si="312"/>
        <v>1-1.17975739263811i</v>
      </c>
      <c r="X369" s="18">
        <f t="shared" si="326"/>
        <v>1.5465534279436557</v>
      </c>
      <c r="Y369" s="18">
        <f t="shared" si="327"/>
        <v>-0.86767867432890555</v>
      </c>
      <c r="Z369" s="32" t="str">
        <f t="shared" si="313"/>
        <v>0.978365112643577+0.539490847332228i</v>
      </c>
      <c r="AA369" s="18">
        <f t="shared" si="328"/>
        <v>1.1172504947384561</v>
      </c>
      <c r="AB369" s="18">
        <f t="shared" si="329"/>
        <v>0.50393336157808344</v>
      </c>
      <c r="AC369" s="67" t="str">
        <f t="shared" si="330"/>
        <v>-0.371192424823518-0.114180856265028i</v>
      </c>
      <c r="AD369" s="65">
        <f t="shared" si="331"/>
        <v>-8.2153794159222429</v>
      </c>
      <c r="AE369" s="62">
        <f t="shared" si="332"/>
        <v>-162.90181119562402</v>
      </c>
      <c r="AF369" s="50" t="str">
        <f t="shared" si="314"/>
        <v>79.1527877025864</v>
      </c>
      <c r="AG369" s="50" t="str">
        <f t="shared" si="315"/>
        <v>1+99.0949869100101i</v>
      </c>
      <c r="AH369" s="50">
        <f t="shared" si="333"/>
        <v>99.100032445479428</v>
      </c>
      <c r="AI369" s="50">
        <f t="shared" si="334"/>
        <v>1.56070534148586</v>
      </c>
      <c r="AJ369" s="50" t="str">
        <f t="shared" si="316"/>
        <v>1+0.0894607520715371i</v>
      </c>
      <c r="AK369" s="50">
        <f t="shared" si="335"/>
        <v>1.0039936385063428</v>
      </c>
      <c r="AL369" s="50">
        <f t="shared" si="336"/>
        <v>8.9223233371637789E-2</v>
      </c>
      <c r="AM369" s="50" t="str">
        <f t="shared" si="317"/>
        <v>1-0.412747983794654i</v>
      </c>
      <c r="AN369" s="50">
        <f t="shared" si="337"/>
        <v>1.0818321949944696</v>
      </c>
      <c r="AO369" s="50">
        <f t="shared" si="338"/>
        <v>-0.3914474842590433</v>
      </c>
      <c r="AP369" s="59" t="str">
        <f t="shared" si="339"/>
        <v>-0.249844260669604-0.830771878941135i</v>
      </c>
      <c r="AQ369" s="50">
        <f t="shared" si="340"/>
        <v>-1.2343343772257418</v>
      </c>
      <c r="AR369" s="62">
        <f t="shared" si="341"/>
        <v>-106.73800317301495</v>
      </c>
      <c r="AS369" s="32" t="str">
        <f t="shared" si="318"/>
        <v>-0.0000166666666666667</v>
      </c>
      <c r="AT369" s="32" t="str">
        <f t="shared" si="319"/>
        <v>0.000691287629643697i</v>
      </c>
      <c r="AU369" s="32">
        <f t="shared" si="342"/>
        <v>6.9128762964369695E-4</v>
      </c>
      <c r="AV369" s="32">
        <f t="shared" si="343"/>
        <v>1.5707963267948966</v>
      </c>
      <c r="AW369" s="32" t="str">
        <f t="shared" si="320"/>
        <v>1+0.702530023620599i</v>
      </c>
      <c r="AX369" s="32">
        <f t="shared" si="344"/>
        <v>1.2221081924643002</v>
      </c>
      <c r="AY369" s="32">
        <f t="shared" si="345"/>
        <v>0.61242194934051775</v>
      </c>
      <c r="AZ369" s="32" t="str">
        <f t="shared" si="321"/>
        <v>1+23.8860208031004i</v>
      </c>
      <c r="BA369" s="32">
        <f t="shared" si="346"/>
        <v>23.906944384553732</v>
      </c>
      <c r="BB369" s="32">
        <f t="shared" si="347"/>
        <v>1.5289552691284236</v>
      </c>
      <c r="BC369" s="59" t="str">
        <f t="shared" si="348"/>
        <v>-0.374239377793846+0.287023996651604i</v>
      </c>
      <c r="BD369" s="50">
        <f t="shared" si="349"/>
        <v>-6.5279123994847978</v>
      </c>
      <c r="BE369" s="62">
        <f t="shared" si="350"/>
        <v>142.51349100696126</v>
      </c>
      <c r="BF369" s="59" t="str">
        <f t="shared" si="351"/>
        <v>0.171687467814033-0.0638101606950535i</v>
      </c>
      <c r="BG369" s="65">
        <f t="shared" si="352"/>
        <v>-14.743291815407041</v>
      </c>
      <c r="BH369" s="62">
        <f t="shared" si="353"/>
        <v>-20.388320188662746</v>
      </c>
      <c r="BI369" s="59" t="str">
        <f t="shared" si="306"/>
        <v>0.331953025657803+0.2391962528257i</v>
      </c>
      <c r="BJ369" s="65">
        <f t="shared" si="354"/>
        <v>-7.7622467767105405</v>
      </c>
      <c r="BK369" s="62">
        <f t="shared" si="307"/>
        <v>35.775487833946357</v>
      </c>
      <c r="BL369" s="50">
        <f t="shared" si="355"/>
        <v>-14.743291815407041</v>
      </c>
      <c r="BM369" s="62">
        <f t="shared" si="356"/>
        <v>-20.388320188662746</v>
      </c>
    </row>
    <row r="370" spans="14:65" x14ac:dyDescent="0.3">
      <c r="N370" s="11">
        <v>52</v>
      </c>
      <c r="O370" s="51">
        <f t="shared" si="308"/>
        <v>33113.11214825909</v>
      </c>
      <c r="P370" s="49" t="str">
        <f t="shared" si="309"/>
        <v>27.9103246607183</v>
      </c>
      <c r="Q370" s="18" t="str">
        <f t="shared" si="310"/>
        <v>1+102.201536378915i</v>
      </c>
      <c r="R370" s="18">
        <f t="shared" si="322"/>
        <v>102.20642855618567</v>
      </c>
      <c r="S370" s="18">
        <f t="shared" si="323"/>
        <v>1.5610120503100486</v>
      </c>
      <c r="T370" s="18" t="str">
        <f t="shared" si="311"/>
        <v>1+0.0915445606789697i</v>
      </c>
      <c r="U370" s="18">
        <f t="shared" si="324"/>
        <v>1.0041814609869602</v>
      </c>
      <c r="V370" s="18">
        <f t="shared" si="325"/>
        <v>9.1290112008928143E-2</v>
      </c>
      <c r="W370" s="32" t="str">
        <f t="shared" si="312"/>
        <v>1-1.20723747247799i</v>
      </c>
      <c r="X370" s="18">
        <f t="shared" si="326"/>
        <v>1.5676167627819773</v>
      </c>
      <c r="Y370" s="18">
        <f t="shared" si="327"/>
        <v>-0.87901369883405001</v>
      </c>
      <c r="Z370" s="32" t="str">
        <f t="shared" si="313"/>
        <v>0.977345491815224+0.552057203474674i</v>
      </c>
      <c r="AA370" s="18">
        <f t="shared" si="328"/>
        <v>1.1224844614870264</v>
      </c>
      <c r="AB370" s="18">
        <f t="shared" si="329"/>
        <v>0.51417562520670812</v>
      </c>
      <c r="AC370" s="67" t="str">
        <f t="shared" si="330"/>
        <v>-0.36818928017753-0.105348976949591i</v>
      </c>
      <c r="AD370" s="65">
        <f t="shared" si="331"/>
        <v>-8.3368312838276477</v>
      </c>
      <c r="AE370" s="62">
        <f t="shared" si="332"/>
        <v>-164.0327324526605</v>
      </c>
      <c r="AF370" s="50" t="str">
        <f t="shared" si="314"/>
        <v>79.1527877025864</v>
      </c>
      <c r="AG370" s="50" t="str">
        <f t="shared" si="315"/>
        <v>1+101.403205675166i</v>
      </c>
      <c r="AH370" s="50">
        <f t="shared" si="333"/>
        <v>101.40813636587559</v>
      </c>
      <c r="AI370" s="50">
        <f t="shared" si="334"/>
        <v>1.5609350252902479</v>
      </c>
      <c r="AJ370" s="50" t="str">
        <f t="shared" si="316"/>
        <v>1+0.0915445606789697i</v>
      </c>
      <c r="AK370" s="50">
        <f t="shared" si="335"/>
        <v>1.0041814609869602</v>
      </c>
      <c r="AL370" s="50">
        <f t="shared" si="336"/>
        <v>9.1290112008928143E-2</v>
      </c>
      <c r="AM370" s="50" t="str">
        <f t="shared" si="317"/>
        <v>1-0.422362119395079i</v>
      </c>
      <c r="AN370" s="50">
        <f t="shared" si="337"/>
        <v>1.0855366230118184</v>
      </c>
      <c r="AO370" s="50">
        <f t="shared" si="338"/>
        <v>-0.39963421888318562</v>
      </c>
      <c r="AP370" s="59" t="str">
        <f t="shared" si="339"/>
        <v>-0.25020815337963-0.813223154585983i</v>
      </c>
      <c r="AQ370" s="50">
        <f t="shared" si="340"/>
        <v>-1.4029981467053629</v>
      </c>
      <c r="AR370" s="62">
        <f t="shared" si="341"/>
        <v>-107.10180500490334</v>
      </c>
      <c r="AS370" s="32" t="str">
        <f t="shared" si="318"/>
        <v>-0.0000166666666666667</v>
      </c>
      <c r="AT370" s="32" t="str">
        <f t="shared" si="319"/>
        <v>0.000707389787064767i</v>
      </c>
      <c r="AU370" s="32">
        <f t="shared" si="342"/>
        <v>7.0738978706476698E-4</v>
      </c>
      <c r="AV370" s="32">
        <f t="shared" si="343"/>
        <v>1.5707963267948966</v>
      </c>
      <c r="AW370" s="32" t="str">
        <f t="shared" si="320"/>
        <v>1+0.718894050037791i</v>
      </c>
      <c r="AX370" s="32">
        <f t="shared" si="344"/>
        <v>1.2315878593018601</v>
      </c>
      <c r="AY370" s="32">
        <f t="shared" si="345"/>
        <v>0.62329430557402632</v>
      </c>
      <c r="AZ370" s="32" t="str">
        <f t="shared" si="321"/>
        <v>1+24.4423977012849i</v>
      </c>
      <c r="BA370" s="32">
        <f t="shared" si="346"/>
        <v>24.462845406611585</v>
      </c>
      <c r="BB370" s="32">
        <f t="shared" si="347"/>
        <v>1.5299066142871576</v>
      </c>
      <c r="BC370" s="59" t="str">
        <f t="shared" si="348"/>
        <v>-0.368500426714646+0.288473560485901i</v>
      </c>
      <c r="BD370" s="50">
        <f t="shared" si="349"/>
        <v>-6.5953692814694476</v>
      </c>
      <c r="BE370" s="62">
        <f t="shared" si="350"/>
        <v>141.94505894387416</v>
      </c>
      <c r="BF370" s="59" t="str">
        <f t="shared" si="351"/>
        <v>0.166068301331374-0.0673917296256774i</v>
      </c>
      <c r="BG370" s="65">
        <f t="shared" si="352"/>
        <v>-14.932200565297084</v>
      </c>
      <c r="BH370" s="62">
        <f t="shared" si="353"/>
        <v>-22.087673508786327</v>
      </c>
      <c r="BI370" s="59" t="str">
        <f t="shared" ref="BI370:BI433" si="357">IMPRODUCT(AP370,BC370)</f>
        <v>0.326795190160872+0.227494642611141i</v>
      </c>
      <c r="BJ370" s="65">
        <f t="shared" si="354"/>
        <v>-7.9983674281748094</v>
      </c>
      <c r="BK370" s="62">
        <f t="shared" ref="BK370:BK433" si="358">(180/PI())*IMARGUMENT(BI370)</f>
        <v>34.843253938970832</v>
      </c>
      <c r="BL370" s="50">
        <f t="shared" si="355"/>
        <v>-14.932200565297084</v>
      </c>
      <c r="BM370" s="62">
        <f t="shared" si="356"/>
        <v>-22.087673508786327</v>
      </c>
    </row>
    <row r="371" spans="14:65" x14ac:dyDescent="0.3">
      <c r="N371" s="11">
        <v>53</v>
      </c>
      <c r="O371" s="51">
        <f t="shared" si="308"/>
        <v>33884.41561392029</v>
      </c>
      <c r="P371" s="49" t="str">
        <f t="shared" si="309"/>
        <v>27.9103246607183</v>
      </c>
      <c r="Q371" s="18" t="str">
        <f t="shared" si="310"/>
        <v>1+104.58211597687i</v>
      </c>
      <c r="R371" s="18">
        <f t="shared" si="322"/>
        <v>104.5868967997401</v>
      </c>
      <c r="S371" s="18">
        <f t="shared" si="323"/>
        <v>1.5612347539015285</v>
      </c>
      <c r="T371" s="18" t="str">
        <f t="shared" si="311"/>
        <v>1+0.0936769074242105i</v>
      </c>
      <c r="U371" s="18">
        <f t="shared" si="324"/>
        <v>1.0043780976228844</v>
      </c>
      <c r="V371" s="18">
        <f t="shared" si="325"/>
        <v>9.3404324908933314E-2</v>
      </c>
      <c r="W371" s="32" t="str">
        <f t="shared" si="312"/>
        <v>1-1.23535764560547i</v>
      </c>
      <c r="X371" s="18">
        <f t="shared" si="326"/>
        <v>1.5893736227067221</v>
      </c>
      <c r="Y371" s="18">
        <f t="shared" si="327"/>
        <v>-0.89030025145590586</v>
      </c>
      <c r="Z371" s="32" t="str">
        <f t="shared" si="313"/>
        <v>0.976277817737668+0.564916267653748i</v>
      </c>
      <c r="AA371" s="18">
        <f t="shared" si="328"/>
        <v>1.1279400546422953</v>
      </c>
      <c r="AB371" s="18">
        <f t="shared" si="329"/>
        <v>0.5245677367562307</v>
      </c>
      <c r="AC371" s="67" t="str">
        <f t="shared" si="330"/>
        <v>-0.365094012397876-0.0966907219549832i</v>
      </c>
      <c r="AD371" s="65">
        <f t="shared" si="331"/>
        <v>-8.4575034694686799</v>
      </c>
      <c r="AE371" s="62">
        <f t="shared" si="332"/>
        <v>-165.16645291487376</v>
      </c>
      <c r="AF371" s="50" t="str">
        <f t="shared" si="314"/>
        <v>79.1527877025864</v>
      </c>
      <c r="AG371" s="50" t="str">
        <f t="shared" si="315"/>
        <v>1+103.765189762202i</v>
      </c>
      <c r="AH371" s="50">
        <f t="shared" si="333"/>
        <v>103.77000822196071</v>
      </c>
      <c r="AI371" s="50">
        <f t="shared" si="334"/>
        <v>1.5611594818583638</v>
      </c>
      <c r="AJ371" s="50" t="str">
        <f t="shared" si="316"/>
        <v>1+0.0936769074242105i</v>
      </c>
      <c r="AK371" s="50">
        <f t="shared" si="335"/>
        <v>1.0043780976228844</v>
      </c>
      <c r="AL371" s="50">
        <f t="shared" si="336"/>
        <v>9.3404324908933314E-2</v>
      </c>
      <c r="AM371" s="50" t="str">
        <f t="shared" si="317"/>
        <v>1-0.432200196981834i</v>
      </c>
      <c r="AN371" s="50">
        <f t="shared" si="337"/>
        <v>1.0894021343246654</v>
      </c>
      <c r="AO371" s="50">
        <f t="shared" si="338"/>
        <v>-0.40795343776823728</v>
      </c>
      <c r="AP371" s="59" t="str">
        <f t="shared" si="339"/>
        <v>-0.250555671333384-0.796105288831338i</v>
      </c>
      <c r="AQ371" s="50">
        <f t="shared" si="340"/>
        <v>-1.5704036165109247</v>
      </c>
      <c r="AR371" s="62">
        <f t="shared" si="341"/>
        <v>-107.47018607373704</v>
      </c>
      <c r="AS371" s="32" t="str">
        <f t="shared" si="318"/>
        <v>-0.0000166666666666667</v>
      </c>
      <c r="AT371" s="32" t="str">
        <f t="shared" si="319"/>
        <v>0.000723867011914352i</v>
      </c>
      <c r="AU371" s="32">
        <f t="shared" si="342"/>
        <v>7.2386701191435199E-4</v>
      </c>
      <c r="AV371" s="32">
        <f t="shared" si="343"/>
        <v>1.5707963267948966</v>
      </c>
      <c r="AW371" s="32" t="str">
        <f t="shared" si="320"/>
        <v>1+0.735639243596005i</v>
      </c>
      <c r="AX371" s="32">
        <f t="shared" si="344"/>
        <v>1.241436706690479</v>
      </c>
      <c r="AY371" s="32">
        <f t="shared" si="345"/>
        <v>0.63424669489396446</v>
      </c>
      <c r="AZ371" s="32" t="str">
        <f t="shared" si="321"/>
        <v>1+25.0117342822642i</v>
      </c>
      <c r="BA371" s="32">
        <f t="shared" si="346"/>
        <v>25.031716916875482</v>
      </c>
      <c r="BB371" s="32">
        <f t="shared" si="347"/>
        <v>1.5308363757513217</v>
      </c>
      <c r="BC371" s="59" t="str">
        <f t="shared" si="348"/>
        <v>-0.362676677448981+0.289823683752911i</v>
      </c>
      <c r="BD371" s="50">
        <f t="shared" si="349"/>
        <v>-6.6648795892922035</v>
      </c>
      <c r="BE371" s="62">
        <f t="shared" si="350"/>
        <v>141.37080466810792</v>
      </c>
      <c r="BF371" s="59" t="str">
        <f t="shared" si="351"/>
        <v>0.1604343445947-0.0707454218105068i</v>
      </c>
      <c r="BG371" s="65">
        <f t="shared" si="352"/>
        <v>-15.122383058760903</v>
      </c>
      <c r="BH371" s="62">
        <f t="shared" si="353"/>
        <v>-23.795648246765879</v>
      </c>
      <c r="BI371" s="59" t="str">
        <f t="shared" si="357"/>
        <v>0.321600865859464+0.216111853401886i</v>
      </c>
      <c r="BJ371" s="65">
        <f t="shared" si="354"/>
        <v>-8.2352832058031318</v>
      </c>
      <c r="BK371" s="62">
        <f t="shared" si="358"/>
        <v>33.90061859437089</v>
      </c>
      <c r="BL371" s="50">
        <f t="shared" si="355"/>
        <v>-15.122383058760903</v>
      </c>
      <c r="BM371" s="62">
        <f t="shared" si="356"/>
        <v>-23.795648246765879</v>
      </c>
    </row>
    <row r="372" spans="14:65" x14ac:dyDescent="0.3">
      <c r="N372" s="11">
        <v>54</v>
      </c>
      <c r="O372" s="51">
        <f t="shared" si="308"/>
        <v>34673.685045253202</v>
      </c>
      <c r="P372" s="49" t="str">
        <f t="shared" si="309"/>
        <v>27.9103246607183</v>
      </c>
      <c r="Q372" s="18" t="str">
        <f t="shared" si="310"/>
        <v>1+107.018146397024i</v>
      </c>
      <c r="R372" s="18">
        <f t="shared" si="322"/>
        <v>107.02281839988545</v>
      </c>
      <c r="S372" s="18">
        <f t="shared" si="323"/>
        <v>1.5614523890568672</v>
      </c>
      <c r="T372" s="18" t="str">
        <f t="shared" si="311"/>
        <v>1+0.0958589229057272i</v>
      </c>
      <c r="U372" s="18">
        <f t="shared" si="324"/>
        <v>1.0045839602047437</v>
      </c>
      <c r="V372" s="18">
        <f t="shared" si="325"/>
        <v>9.5566917411076188E-2</v>
      </c>
      <c r="W372" s="32" t="str">
        <f t="shared" si="312"/>
        <v>1-1.26413282170852i</v>
      </c>
      <c r="X372" s="18">
        <f t="shared" si="326"/>
        <v>1.6118411183862833</v>
      </c>
      <c r="Y372" s="18">
        <f t="shared" si="327"/>
        <v>-0.9015328151788341</v>
      </c>
      <c r="Z372" s="32" t="str">
        <f t="shared" si="313"/>
        <v>0.975159825731045+0.578074857915476i</v>
      </c>
      <c r="AA372" s="18">
        <f t="shared" si="328"/>
        <v>1.1336256997235903</v>
      </c>
      <c r="AB372" s="18">
        <f t="shared" si="329"/>
        <v>0.5351086482757017</v>
      </c>
      <c r="AC372" s="67" t="str">
        <f t="shared" si="330"/>
        <v>-0.36190680854173-0.0882063509357638i</v>
      </c>
      <c r="AD372" s="65">
        <f t="shared" si="331"/>
        <v>-8.5774541635826349</v>
      </c>
      <c r="AE372" s="62">
        <f t="shared" si="332"/>
        <v>-166.30254330429096</v>
      </c>
      <c r="AF372" s="50" t="str">
        <f t="shared" si="314"/>
        <v>79.1527877025864</v>
      </c>
      <c r="AG372" s="50" t="str">
        <f t="shared" si="315"/>
        <v>1+106.182191526344i</v>
      </c>
      <c r="AH372" s="50">
        <f t="shared" si="333"/>
        <v>106.18690030948828</v>
      </c>
      <c r="AI372" s="50">
        <f t="shared" si="334"/>
        <v>1.5613788301095335</v>
      </c>
      <c r="AJ372" s="50" t="str">
        <f t="shared" si="316"/>
        <v>1+0.0958589229057272i</v>
      </c>
      <c r="AK372" s="50">
        <f t="shared" si="335"/>
        <v>1.0045839602047437</v>
      </c>
      <c r="AL372" s="50">
        <f t="shared" si="336"/>
        <v>9.5566917411076188E-2</v>
      </c>
      <c r="AM372" s="50" t="str">
        <f t="shared" si="317"/>
        <v>1-0.44226743283387i</v>
      </c>
      <c r="AN372" s="50">
        <f t="shared" si="337"/>
        <v>1.0934351750997686</v>
      </c>
      <c r="AO372" s="50">
        <f t="shared" si="338"/>
        <v>-0.41640494467735828</v>
      </c>
      <c r="AP372" s="59" t="str">
        <f t="shared" si="339"/>
        <v>-0.250887551242373-0.779409227118469i</v>
      </c>
      <c r="AQ372" s="50">
        <f t="shared" si="340"/>
        <v>-1.736508962436909</v>
      </c>
      <c r="AR372" s="62">
        <f t="shared" si="341"/>
        <v>-107.84308205601144</v>
      </c>
      <c r="AS372" s="32" t="str">
        <f t="shared" si="318"/>
        <v>-0.0000166666666666667</v>
      </c>
      <c r="AT372" s="32" t="str">
        <f t="shared" si="319"/>
        <v>0.000740728040635165i</v>
      </c>
      <c r="AU372" s="32">
        <f t="shared" si="342"/>
        <v>7.4072804063516501E-4</v>
      </c>
      <c r="AV372" s="32">
        <f t="shared" si="343"/>
        <v>1.5707963267948966</v>
      </c>
      <c r="AW372" s="32" t="str">
        <f t="shared" si="320"/>
        <v>1+0.752774482818504i</v>
      </c>
      <c r="AX372" s="32">
        <f t="shared" si="344"/>
        <v>1.251666657693919</v>
      </c>
      <c r="AY372" s="32">
        <f t="shared" si="345"/>
        <v>0.64527441433310184</v>
      </c>
      <c r="AZ372" s="32" t="str">
        <f t="shared" si="321"/>
        <v>1+25.5943324158291i</v>
      </c>
      <c r="BA372" s="32">
        <f t="shared" si="346"/>
        <v>25.613860540964147</v>
      </c>
      <c r="BB372" s="32">
        <f t="shared" si="347"/>
        <v>1.5317450400591783</v>
      </c>
      <c r="BC372" s="59" t="str">
        <f t="shared" si="348"/>
        <v>-0.356772544887511+0.291069653733857i</v>
      </c>
      <c r="BD372" s="50">
        <f t="shared" si="349"/>
        <v>-6.7364735737529537</v>
      </c>
      <c r="BE372" s="62">
        <f t="shared" si="350"/>
        <v>140.79102551642555</v>
      </c>
      <c r="BF372" s="59" t="str">
        <f t="shared" si="351"/>
        <v>0.15479260511955-0.0738704851475733i</v>
      </c>
      <c r="BG372" s="65">
        <f t="shared" si="352"/>
        <v>-15.313927737335591</v>
      </c>
      <c r="BH372" s="62">
        <f t="shared" si="353"/>
        <v>-25.51151778786539</v>
      </c>
      <c r="BI372" s="59" t="str">
        <f t="shared" si="357"/>
        <v>0.316372163991683+0.205046060801611i</v>
      </c>
      <c r="BJ372" s="65">
        <f t="shared" si="354"/>
        <v>-8.4729825361898712</v>
      </c>
      <c r="BK372" s="62">
        <f t="shared" si="358"/>
        <v>32.947943460414081</v>
      </c>
      <c r="BL372" s="50">
        <f t="shared" si="355"/>
        <v>-15.313927737335591</v>
      </c>
      <c r="BM372" s="62">
        <f t="shared" si="356"/>
        <v>-25.51151778786539</v>
      </c>
    </row>
    <row r="373" spans="14:65" x14ac:dyDescent="0.3">
      <c r="N373" s="11">
        <v>55</v>
      </c>
      <c r="O373" s="51">
        <f t="shared" si="308"/>
        <v>35481.33892335758</v>
      </c>
      <c r="P373" s="49" t="str">
        <f t="shared" si="309"/>
        <v>27.9103246607183</v>
      </c>
      <c r="Q373" s="18" t="str">
        <f t="shared" si="310"/>
        <v>1+109.510919254951i</v>
      </c>
      <c r="R373" s="18">
        <f t="shared" si="322"/>
        <v>109.51548491452887</v>
      </c>
      <c r="S373" s="18">
        <f t="shared" si="323"/>
        <v>1.5616650710865909</v>
      </c>
      <c r="T373" s="18" t="str">
        <f t="shared" si="311"/>
        <v>1+0.0980917640570121i</v>
      </c>
      <c r="U373" s="18">
        <f t="shared" si="324"/>
        <v>1.0047994795857611</v>
      </c>
      <c r="V373" s="18">
        <f t="shared" si="325"/>
        <v>9.7778955193727368E-2</v>
      </c>
      <c r="W373" s="32" t="str">
        <f t="shared" si="312"/>
        <v>1-1.29357825776643i</v>
      </c>
      <c r="X373" s="18">
        <f t="shared" si="326"/>
        <v>1.6350366078366663</v>
      </c>
      <c r="Y373" s="18">
        <f t="shared" si="327"/>
        <v>-0.91270600855280959</v>
      </c>
      <c r="Z373" s="32" t="str">
        <f t="shared" si="313"/>
        <v>0.973989144384418+0.591539951118602i</v>
      </c>
      <c r="AA373" s="18">
        <f t="shared" si="328"/>
        <v>1.1395500722425886</v>
      </c>
      <c r="AB373" s="18">
        <f t="shared" si="329"/>
        <v>0.54579712467483654</v>
      </c>
      <c r="AC373" s="67" t="str">
        <f t="shared" si="330"/>
        <v>-0.358628027950187-0.0798962783407506i</v>
      </c>
      <c r="AD373" s="65">
        <f t="shared" si="331"/>
        <v>-8.6967434573254803</v>
      </c>
      <c r="AE373" s="62">
        <f t="shared" si="332"/>
        <v>-167.44057006901105</v>
      </c>
      <c r="AF373" s="50" t="str">
        <f t="shared" si="314"/>
        <v>79.1527877025864</v>
      </c>
      <c r="AG373" s="50" t="str">
        <f t="shared" si="315"/>
        <v>1+108.655492493921i</v>
      </c>
      <c r="AH373" s="50">
        <f t="shared" si="333"/>
        <v>108.66009409666698</v>
      </c>
      <c r="AI373" s="50">
        <f t="shared" si="334"/>
        <v>1.5615931862606254</v>
      </c>
      <c r="AJ373" s="50" t="str">
        <f t="shared" si="316"/>
        <v>1+0.0980917640570121i</v>
      </c>
      <c r="AK373" s="50">
        <f t="shared" si="335"/>
        <v>1.0047994795857611</v>
      </c>
      <c r="AL373" s="50">
        <f t="shared" si="336"/>
        <v>9.7778955193727368E-2</v>
      </c>
      <c r="AM373" s="50" t="str">
        <f t="shared" si="317"/>
        <v>1-0.4525691647329i</v>
      </c>
      <c r="AN373" s="50">
        <f t="shared" si="337"/>
        <v>1.0976424048236451</v>
      </c>
      <c r="AO373" s="50">
        <f t="shared" si="338"/>
        <v>-0.42498839027078172</v>
      </c>
      <c r="AP373" s="59" t="str">
        <f t="shared" si="339"/>
        <v>-0.251204496684732-0.76312613709609i</v>
      </c>
      <c r="AQ373" s="50">
        <f t="shared" si="340"/>
        <v>-1.9012716739671105</v>
      </c>
      <c r="AR373" s="62">
        <f t="shared" si="341"/>
        <v>-108.22041853589559</v>
      </c>
      <c r="AS373" s="32" t="str">
        <f t="shared" si="318"/>
        <v>-0.0000166666666666667</v>
      </c>
      <c r="AT373" s="32" t="str">
        <f t="shared" si="319"/>
        <v>0.000757981813167818i</v>
      </c>
      <c r="AU373" s="32">
        <f t="shared" si="342"/>
        <v>7.5798181316781804E-4</v>
      </c>
      <c r="AV373" s="32">
        <f t="shared" si="343"/>
        <v>1.5707963267948966</v>
      </c>
      <c r="AW373" s="32" t="str">
        <f t="shared" si="320"/>
        <v>1+0.770308853035947i</v>
      </c>
      <c r="AX373" s="32">
        <f t="shared" si="344"/>
        <v>1.2622898752131209</v>
      </c>
      <c r="AY373" s="32">
        <f t="shared" si="345"/>
        <v>0.65637258259545705</v>
      </c>
      <c r="AZ373" s="32" t="str">
        <f t="shared" si="321"/>
        <v>1+26.1905010032222i</v>
      </c>
      <c r="BA373" s="32">
        <f t="shared" si="346"/>
        <v>26.209584941387053</v>
      </c>
      <c r="BB373" s="32">
        <f t="shared" si="347"/>
        <v>1.5326330829910881</v>
      </c>
      <c r="BC373" s="59" t="str">
        <f t="shared" si="348"/>
        <v>-0.350792739265584+0.292206967099587i</v>
      </c>
      <c r="BD373" s="50">
        <f t="shared" si="349"/>
        <v>-6.8101798219411647</v>
      </c>
      <c r="BE373" s="62">
        <f t="shared" si="350"/>
        <v>140.20602842669123</v>
      </c>
      <c r="BF373" s="59" t="str">
        <f t="shared" si="351"/>
        <v>0.149150357478556-0.0767665740279526i</v>
      </c>
      <c r="BG373" s="65">
        <f t="shared" si="352"/>
        <v>-15.506923279266632</v>
      </c>
      <c r="BH373" s="62">
        <f t="shared" si="353"/>
        <v>-27.234541642319755</v>
      </c>
      <c r="BI373" s="59" t="str">
        <f t="shared" si="357"/>
        <v>0.311111487543142+0.194295403939077i</v>
      </c>
      <c r="BJ373" s="65">
        <f t="shared" si="354"/>
        <v>-8.7114514959082694</v>
      </c>
      <c r="BK373" s="62">
        <f t="shared" si="358"/>
        <v>31.985609890795576</v>
      </c>
      <c r="BL373" s="50">
        <f t="shared" si="355"/>
        <v>-15.506923279266632</v>
      </c>
      <c r="BM373" s="62">
        <f t="shared" si="356"/>
        <v>-27.234541642319755</v>
      </c>
    </row>
    <row r="374" spans="14:65" x14ac:dyDescent="0.3">
      <c r="N374" s="11">
        <v>56</v>
      </c>
      <c r="O374" s="51">
        <f t="shared" si="308"/>
        <v>36307.805477010232</v>
      </c>
      <c r="P374" s="49" t="str">
        <f t="shared" si="309"/>
        <v>27.9103246607183</v>
      </c>
      <c r="Q374" s="18" t="str">
        <f t="shared" si="310"/>
        <v>1+112.061756251815i</v>
      </c>
      <c r="R374" s="18">
        <f t="shared" si="322"/>
        <v>112.06621798847856</v>
      </c>
      <c r="S374" s="18">
        <f t="shared" si="323"/>
        <v>1.56187291268052</v>
      </c>
      <c r="T374" s="18" t="str">
        <f t="shared" si="311"/>
        <v>1+0.100376614759998i</v>
      </c>
      <c r="U374" s="18">
        <f t="shared" si="324"/>
        <v>1.005025106547432</v>
      </c>
      <c r="V374" s="18">
        <f t="shared" si="325"/>
        <v>0.10004152447099851</v>
      </c>
      <c r="W374" s="32" t="str">
        <f t="shared" si="312"/>
        <v>1-1.32370956613913i</v>
      </c>
      <c r="X374" s="18">
        <f t="shared" si="326"/>
        <v>1.6589777019261722</v>
      </c>
      <c r="Y374" s="18">
        <f t="shared" si="327"/>
        <v>-0.92381459739486238</v>
      </c>
      <c r="Z374" s="32" t="str">
        <f t="shared" si="313"/>
        <v>0.972763290525694+0.605318686633765i</v>
      </c>
      <c r="AA374" s="18">
        <f t="shared" si="328"/>
        <v>1.1457221005908904</v>
      </c>
      <c r="AB374" s="18">
        <f t="shared" si="329"/>
        <v>0.55663173990972137</v>
      </c>
      <c r="AC374" s="67" t="str">
        <f t="shared" si="330"/>
        <v>-0.355258212201383-0.0717610618162747i</v>
      </c>
      <c r="AD374" s="65">
        <f t="shared" si="331"/>
        <v>-8.8154331607357346</v>
      </c>
      <c r="AE374" s="62">
        <f t="shared" si="332"/>
        <v>-168.58009582730944</v>
      </c>
      <c r="AF374" s="50" t="str">
        <f t="shared" si="314"/>
        <v>79.1527877025864</v>
      </c>
      <c r="AG374" s="50" t="str">
        <f t="shared" si="315"/>
        <v>1+111.186404041843i</v>
      </c>
      <c r="AH374" s="50">
        <f t="shared" si="333"/>
        <v>111.19090090360794</v>
      </c>
      <c r="AI374" s="50">
        <f t="shared" si="334"/>
        <v>1.5618026638872675</v>
      </c>
      <c r="AJ374" s="50" t="str">
        <f t="shared" si="316"/>
        <v>1+0.100376614759998i</v>
      </c>
      <c r="AK374" s="50">
        <f t="shared" si="335"/>
        <v>1.005025106547432</v>
      </c>
      <c r="AL374" s="50">
        <f t="shared" si="336"/>
        <v>0.10004152447099851</v>
      </c>
      <c r="AM374" s="50" t="str">
        <f t="shared" si="317"/>
        <v>1-0.463110854793531i</v>
      </c>
      <c r="AN374" s="50">
        <f t="shared" si="337"/>
        <v>1.1020307000386127</v>
      </c>
      <c r="AO374" s="50">
        <f t="shared" si="338"/>
        <v>-0.43370326544333088</v>
      </c>
      <c r="AP374" s="59" t="str">
        <f t="shared" si="339"/>
        <v>-0.251507179594333-0.747247404033331i</v>
      </c>
      <c r="AQ374" s="50">
        <f t="shared" si="340"/>
        <v>-2.0646485979889095</v>
      </c>
      <c r="AR374" s="62">
        <f t="shared" si="341"/>
        <v>-108.60211061573142</v>
      </c>
      <c r="AS374" s="32" t="str">
        <f t="shared" si="318"/>
        <v>-0.0000166666666666667</v>
      </c>
      <c r="AT374" s="32" t="str">
        <f t="shared" si="319"/>
        <v>0.00077563747769089i</v>
      </c>
      <c r="AU374" s="32">
        <f t="shared" si="342"/>
        <v>7.7563747769089002E-4</v>
      </c>
      <c r="AV374" s="32">
        <f t="shared" si="343"/>
        <v>1.5707963267948966</v>
      </c>
      <c r="AW374" s="32" t="str">
        <f t="shared" si="320"/>
        <v>1+0.788251651203509i</v>
      </c>
      <c r="AX374" s="32">
        <f t="shared" si="344"/>
        <v>1.2733187604151046</v>
      </c>
      <c r="AY374" s="32">
        <f t="shared" si="345"/>
        <v>0.66753614889799107</v>
      </c>
      <c r="AZ374" s="32" t="str">
        <f t="shared" si="321"/>
        <v>1+26.8005561409193i</v>
      </c>
      <c r="BA374" s="32">
        <f t="shared" si="346"/>
        <v>26.819205981209947</v>
      </c>
      <c r="BB374" s="32">
        <f t="shared" si="347"/>
        <v>1.5335009697933415</v>
      </c>
      <c r="BC374" s="59" t="str">
        <f t="shared" si="348"/>
        <v>-0.344742254683852+0.293231353089356i</v>
      </c>
      <c r="BD374" s="50">
        <f t="shared" si="349"/>
        <v>-6.8860251549171885</v>
      </c>
      <c r="BE374" s="62">
        <f t="shared" si="350"/>
        <v>139.61612944410578</v>
      </c>
      <c r="BF374" s="59" t="str">
        <f t="shared" si="351"/>
        <v>0.143515110324774-0.0794337760108673i</v>
      </c>
      <c r="BG374" s="65">
        <f t="shared" si="352"/>
        <v>-15.701458315652934</v>
      </c>
      <c r="BH374" s="62">
        <f t="shared" si="353"/>
        <v>-28.963966383203719</v>
      </c>
      <c r="BI374" s="59" t="str">
        <f t="shared" si="357"/>
        <v>0.305821519539729+0.183857964288972i</v>
      </c>
      <c r="BJ374" s="65">
        <f t="shared" si="354"/>
        <v>-8.9506737529061002</v>
      </c>
      <c r="BK374" s="62">
        <f t="shared" si="358"/>
        <v>31.014018828374393</v>
      </c>
      <c r="BL374" s="50">
        <f t="shared" si="355"/>
        <v>-15.701458315652934</v>
      </c>
      <c r="BM374" s="62">
        <f t="shared" si="356"/>
        <v>-28.963966383203719</v>
      </c>
    </row>
    <row r="375" spans="14:65" x14ac:dyDescent="0.3">
      <c r="N375" s="11">
        <v>57</v>
      </c>
      <c r="O375" s="51">
        <f t="shared" si="308"/>
        <v>37153.522909717351</v>
      </c>
      <c r="P375" s="49" t="str">
        <f t="shared" si="309"/>
        <v>27.9103246607183</v>
      </c>
      <c r="Q375" s="18" t="str">
        <f t="shared" si="310"/>
        <v>1+114.672009875156i</v>
      </c>
      <c r="R375" s="18">
        <f t="shared" si="322"/>
        <v>114.67637005420023</v>
      </c>
      <c r="S375" s="18">
        <f t="shared" si="323"/>
        <v>1.5620760239671501</v>
      </c>
      <c r="T375" s="18" t="str">
        <f t="shared" si="311"/>
        <v>1+0.10271468647277i</v>
      </c>
      <c r="U375" s="18">
        <f t="shared" si="324"/>
        <v>1.0052613127029209</v>
      </c>
      <c r="V375" s="18">
        <f t="shared" si="325"/>
        <v>0.10235573217549364</v>
      </c>
      <c r="W375" s="32" t="str">
        <f t="shared" si="312"/>
        <v>1-1.35454272284517i</v>
      </c>
      <c r="X375" s="18">
        <f t="shared" si="326"/>
        <v>1.6836822705049808</v>
      </c>
      <c r="Y375" s="18">
        <f t="shared" si="327"/>
        <v>-0.93485350562822134</v>
      </c>
      <c r="Z375" s="32" t="str">
        <f t="shared" si="313"/>
        <v>0.971479663954486+0.619418370128921i</v>
      </c>
      <c r="AA375" s="18">
        <f t="shared" si="328"/>
        <v>1.1521509687234091</v>
      </c>
      <c r="AB375" s="18">
        <f t="shared" si="329"/>
        <v>0.56761087373829777</v>
      </c>
      <c r="AC375" s="67" t="str">
        <f t="shared" si="330"/>
        <v>-0.351798094530808-0.0638013896313991i</v>
      </c>
      <c r="AD375" s="65">
        <f t="shared" si="331"/>
        <v>-8.9335866105503552</v>
      </c>
      <c r="AE375" s="62">
        <f t="shared" si="332"/>
        <v>-169.72067979571108</v>
      </c>
      <c r="AF375" s="50" t="str">
        <f t="shared" si="314"/>
        <v>79.1527877025864</v>
      </c>
      <c r="AG375" s="50" t="str">
        <f t="shared" si="315"/>
        <v>1+113.776268092915i</v>
      </c>
      <c r="AH375" s="50">
        <f t="shared" si="333"/>
        <v>113.78066259760867</v>
      </c>
      <c r="AI375" s="50">
        <f t="shared" si="334"/>
        <v>1.5620073739836924</v>
      </c>
      <c r="AJ375" s="50" t="str">
        <f t="shared" si="316"/>
        <v>1+0.10271468647277i</v>
      </c>
      <c r="AK375" s="50">
        <f t="shared" si="335"/>
        <v>1.0052613127029209</v>
      </c>
      <c r="AL375" s="50">
        <f t="shared" si="336"/>
        <v>0.10235573217549364</v>
      </c>
      <c r="AM375" s="50" t="str">
        <f t="shared" si="317"/>
        <v>1-0.47389809235937i</v>
      </c>
      <c r="AN375" s="50">
        <f t="shared" si="337"/>
        <v>1.1066071579118988</v>
      </c>
      <c r="AO375" s="50">
        <f t="shared" si="338"/>
        <v>-0.44254889481506077</v>
      </c>
      <c r="AP375" s="59" t="str">
        <f t="shared" si="339"/>
        <v>-0.251796241683087-0.731764626341645i</v>
      </c>
      <c r="AQ375" s="50">
        <f t="shared" si="340"/>
        <v>-2.2265959870930012</v>
      </c>
      <c r="AR375" s="62">
        <f t="shared" si="341"/>
        <v>-108.98806253603313</v>
      </c>
      <c r="AS375" s="32" t="str">
        <f t="shared" si="318"/>
        <v>-0.0000166666666666667</v>
      </c>
      <c r="AT375" s="32" t="str">
        <f t="shared" si="319"/>
        <v>0.000793704395471407i</v>
      </c>
      <c r="AU375" s="32">
        <f t="shared" si="342"/>
        <v>7.9370439547140703E-4</v>
      </c>
      <c r="AV375" s="32">
        <f t="shared" si="343"/>
        <v>1.5707963267948966</v>
      </c>
      <c r="AW375" s="32" t="str">
        <f t="shared" si="320"/>
        <v>1+0.806612390830284i</v>
      </c>
      <c r="AX375" s="32">
        <f t="shared" si="344"/>
        <v>1.2847659510747267</v>
      </c>
      <c r="AY375" s="32">
        <f t="shared" si="345"/>
        <v>0.67875990275940712</v>
      </c>
      <c r="AZ375" s="32" t="str">
        <f t="shared" si="321"/>
        <v>1+27.4248212882296i</v>
      </c>
      <c r="BA375" s="32">
        <f t="shared" si="346"/>
        <v>27.443046891541243</v>
      </c>
      <c r="BB375" s="32">
        <f t="shared" si="347"/>
        <v>1.5343491553982946</v>
      </c>
      <c r="BC375" s="59" t="str">
        <f t="shared" si="348"/>
        <v>-0.338626355478184+0.294138795982014i</v>
      </c>
      <c r="BD375" s="50">
        <f t="shared" si="349"/>
        <v>-6.9640345298252724</v>
      </c>
      <c r="BE375" s="62">
        <f t="shared" si="350"/>
        <v>139.02165317296055</v>
      </c>
      <c r="BF375" s="59" t="str">
        <f t="shared" si="351"/>
        <v>0.137894570543296-0.0818726359087343i</v>
      </c>
      <c r="BG375" s="65">
        <f t="shared" si="352"/>
        <v>-15.897621140375639</v>
      </c>
      <c r="BH375" s="62">
        <f t="shared" si="353"/>
        <v>-30.699026622750562</v>
      </c>
      <c r="BI375" s="59" t="str">
        <f t="shared" si="357"/>
        <v>0.300505209778608+0.173731745124467i</v>
      </c>
      <c r="BJ375" s="65">
        <f t="shared" si="354"/>
        <v>-9.1906305169182616</v>
      </c>
      <c r="BK375" s="62">
        <f t="shared" si="358"/>
        <v>30.033590636927403</v>
      </c>
      <c r="BL375" s="50">
        <f t="shared" si="355"/>
        <v>-15.897621140375639</v>
      </c>
      <c r="BM375" s="62">
        <f t="shared" si="356"/>
        <v>-30.699026622750562</v>
      </c>
    </row>
    <row r="376" spans="14:65" x14ac:dyDescent="0.3">
      <c r="N376" s="11">
        <v>58</v>
      </c>
      <c r="O376" s="51">
        <f t="shared" si="308"/>
        <v>38018.939632056143</v>
      </c>
      <c r="P376" s="49" t="str">
        <f t="shared" si="309"/>
        <v>27.9103246607183</v>
      </c>
      <c r="Q376" s="18" t="str">
        <f t="shared" si="310"/>
        <v>1+117.343064115997i</v>
      </c>
      <c r="R376" s="18">
        <f t="shared" si="322"/>
        <v>117.34732504889483</v>
      </c>
      <c r="S376" s="18">
        <f t="shared" si="323"/>
        <v>1.5622745125717021</v>
      </c>
      <c r="T376" s="18" t="str">
        <f t="shared" si="311"/>
        <v>1+0.105107218871901i</v>
      </c>
      <c r="U376" s="18">
        <f t="shared" si="324"/>
        <v>1.0055085914396682</v>
      </c>
      <c r="V376" s="18">
        <f t="shared" si="325"/>
        <v>0.10472270612549177</v>
      </c>
      <c r="W376" s="32" t="str">
        <f t="shared" si="312"/>
        <v>1-1.38609407603236i</v>
      </c>
      <c r="X376" s="18">
        <f t="shared" si="326"/>
        <v>1.7091684491623409</v>
      </c>
      <c r="Y376" s="18">
        <f t="shared" si="327"/>
        <v>-0.94581782521435687</v>
      </c>
      <c r="Z376" s="32" t="str">
        <f t="shared" si="313"/>
        <v>0.970135541926737+0.633846477442891i</v>
      </c>
      <c r="AA376" s="18">
        <f t="shared" si="328"/>
        <v>1.1588461186353625</v>
      </c>
      <c r="AB376" s="18">
        <f t="shared" si="329"/>
        <v>0.57873270910036745</v>
      </c>
      <c r="AC376" s="67" t="str">
        <f t="shared" si="330"/>
        <v>-0.348248608610596-0.0560180671390554i</v>
      </c>
      <c r="AD376" s="65">
        <f t="shared" si="331"/>
        <v>-9.0512684683735944</v>
      </c>
      <c r="AE376" s="62">
        <f t="shared" si="332"/>
        <v>-170.86187820168536</v>
      </c>
      <c r="AF376" s="50" t="str">
        <f t="shared" si="314"/>
        <v>79.1527877025864</v>
      </c>
      <c r="AG376" s="50" t="str">
        <f t="shared" si="315"/>
        <v>1+116.426457827336i</v>
      </c>
      <c r="AH376" s="50">
        <f t="shared" si="333"/>
        <v>116.43075230462287</v>
      </c>
      <c r="AI376" s="50">
        <f t="shared" si="334"/>
        <v>1.5622074250212337</v>
      </c>
      <c r="AJ376" s="50" t="str">
        <f t="shared" si="316"/>
        <v>1+0.105107218871901i</v>
      </c>
      <c r="AK376" s="50">
        <f t="shared" si="335"/>
        <v>1.0055085914396682</v>
      </c>
      <c r="AL376" s="50">
        <f t="shared" si="336"/>
        <v>0.10472270612549177</v>
      </c>
      <c r="AM376" s="50" t="str">
        <f t="shared" si="317"/>
        <v>1-0.48493659696656i</v>
      </c>
      <c r="AN376" s="50">
        <f t="shared" si="337"/>
        <v>1.1113790996224051</v>
      </c>
      <c r="AO376" s="50">
        <f t="shared" si="338"/>
        <v>-0.45152443042059054</v>
      </c>
      <c r="AP376" s="59" t="str">
        <f t="shared" si="339"/>
        <v>-0.252072295799396-0.716669611203813i</v>
      </c>
      <c r="AQ376" s="50">
        <f t="shared" si="340"/>
        <v>-2.387069552516317</v>
      </c>
      <c r="AR376" s="62">
        <f t="shared" si="341"/>
        <v>-109.37816730768542</v>
      </c>
      <c r="AS376" s="32" t="str">
        <f t="shared" si="318"/>
        <v>-0.0000166666666666667</v>
      </c>
      <c r="AT376" s="32" t="str">
        <f t="shared" si="319"/>
        <v>0.000812192145828322i</v>
      </c>
      <c r="AU376" s="32">
        <f t="shared" si="342"/>
        <v>8.1219214582832196E-4</v>
      </c>
      <c r="AV376" s="32">
        <f t="shared" si="343"/>
        <v>1.5707963267948966</v>
      </c>
      <c r="AW376" s="32" t="str">
        <f t="shared" si="320"/>
        <v>1+0.825400807023454i</v>
      </c>
      <c r="AX376" s="32">
        <f t="shared" si="344"/>
        <v>1.2966443198637663</v>
      </c>
      <c r="AY376" s="32">
        <f t="shared" si="345"/>
        <v>0.69003848470202245</v>
      </c>
      <c r="AZ376" s="32" t="str">
        <f t="shared" si="321"/>
        <v>1+28.0636274387974i</v>
      </c>
      <c r="BA376" s="32">
        <f t="shared" si="346"/>
        <v>28.081438442922089</v>
      </c>
      <c r="BB376" s="32">
        <f t="shared" si="347"/>
        <v>1.5351780846407901</v>
      </c>
      <c r="BC376" s="59" t="str">
        <f t="shared" si="348"/>
        <v>-0.332450560484302+0.294925556633189i</v>
      </c>
      <c r="BD376" s="50">
        <f t="shared" si="349"/>
        <v>-7.0442309472057456</v>
      </c>
      <c r="BE376" s="62">
        <f t="shared" si="350"/>
        <v>138.42293217586621</v>
      </c>
      <c r="BF376" s="59" t="str">
        <f t="shared" si="351"/>
        <v>0.132296604752972-0.0840841769235874i</v>
      </c>
      <c r="BG376" s="65">
        <f t="shared" si="352"/>
        <v>-16.095499415579347</v>
      </c>
      <c r="BH376" s="62">
        <f t="shared" si="353"/>
        <v>-32.438946025819213</v>
      </c>
      <c r="BI376" s="59" t="str">
        <f t="shared" si="357"/>
        <v>0.29516576002745+0.163914651776332i</v>
      </c>
      <c r="BJ376" s="65">
        <f t="shared" si="354"/>
        <v>-9.4313004997220524</v>
      </c>
      <c r="BK376" s="62">
        <f t="shared" si="358"/>
        <v>29.044764868180803</v>
      </c>
      <c r="BL376" s="50">
        <f t="shared" si="355"/>
        <v>-16.095499415579347</v>
      </c>
      <c r="BM376" s="62">
        <f t="shared" si="356"/>
        <v>-32.438946025819213</v>
      </c>
    </row>
    <row r="377" spans="14:65" x14ac:dyDescent="0.3">
      <c r="N377" s="11">
        <v>59</v>
      </c>
      <c r="O377" s="51">
        <f t="shared" si="308"/>
        <v>38904.514499428085</v>
      </c>
      <c r="P377" s="49" t="str">
        <f t="shared" si="309"/>
        <v>27.9103246607183</v>
      </c>
      <c r="Q377" s="18" t="str">
        <f t="shared" si="310"/>
        <v>1+120.076335202651i</v>
      </c>
      <c r="R377" s="18">
        <f t="shared" si="322"/>
        <v>120.0804991482772</v>
      </c>
      <c r="S377" s="18">
        <f t="shared" si="323"/>
        <v>1.5624684836728655</v>
      </c>
      <c r="T377" s="18" t="str">
        <f t="shared" si="311"/>
        <v>1+0.107555480509735i</v>
      </c>
      <c r="U377" s="18">
        <f t="shared" si="324"/>
        <v>1.0057674589027426</v>
      </c>
      <c r="V377" s="18">
        <f t="shared" si="325"/>
        <v>0.10714359517491891</v>
      </c>
      <c r="W377" s="32" t="str">
        <f t="shared" si="312"/>
        <v>1-1.41838035464578i</v>
      </c>
      <c r="X377" s="18">
        <f t="shared" si="326"/>
        <v>1.7354546466113969</v>
      </c>
      <c r="Y377" s="18">
        <f t="shared" si="327"/>
        <v>-0.95670282514261973</v>
      </c>
      <c r="Z377" s="32" t="str">
        <f t="shared" si="313"/>
        <v>0.968728073379417+0.648610658549152i</v>
      </c>
      <c r="AA377" s="18">
        <f t="shared" si="328"/>
        <v>1.1658172526330883</v>
      </c>
      <c r="AB377" s="18">
        <f t="shared" si="329"/>
        <v>0.58999523017586719</v>
      </c>
      <c r="AC377" s="67" t="str">
        <f t="shared" si="330"/>
        <v>-0.344610896577514-0.0484120022989629i</v>
      </c>
      <c r="AD377" s="65">
        <f t="shared" si="331"/>
        <v>-9.168544510269955</v>
      </c>
      <c r="AE377" s="62">
        <f t="shared" si="332"/>
        <v>-172.00324468212079</v>
      </c>
      <c r="AF377" s="50" t="str">
        <f t="shared" si="314"/>
        <v>79.1527877025864</v>
      </c>
      <c r="AG377" s="50" t="str">
        <f t="shared" si="315"/>
        <v>1+119.138378410784i</v>
      </c>
      <c r="AH377" s="50">
        <f t="shared" si="333"/>
        <v>119.14257513731674</v>
      </c>
      <c r="AI377" s="50">
        <f t="shared" si="334"/>
        <v>1.5624029230055139</v>
      </c>
      <c r="AJ377" s="50" t="str">
        <f t="shared" si="316"/>
        <v>1+0.107555480509735i</v>
      </c>
      <c r="AK377" s="50">
        <f t="shared" si="335"/>
        <v>1.0057674589027426</v>
      </c>
      <c r="AL377" s="50">
        <f t="shared" si="336"/>
        <v>0.10714359517491891</v>
      </c>
      <c r="AM377" s="50" t="str">
        <f t="shared" si="317"/>
        <v>1-0.496232221376358i</v>
      </c>
      <c r="AN377" s="50">
        <f t="shared" si="337"/>
        <v>1.1163540735501953</v>
      </c>
      <c r="AO377" s="50">
        <f t="shared" si="338"/>
        <v>-0.46062884564521794</v>
      </c>
      <c r="AP377" s="59" t="str">
        <f t="shared" si="339"/>
        <v>-0.252335927225612-0.701954370307981i</v>
      </c>
      <c r="AQ377" s="50">
        <f t="shared" si="340"/>
        <v>-2.5460245217574395</v>
      </c>
      <c r="AR377" s="62">
        <f t="shared" si="341"/>
        <v>-109.77230635919219</v>
      </c>
      <c r="AS377" s="32" t="str">
        <f t="shared" si="318"/>
        <v>-0.0000166666666666667</v>
      </c>
      <c r="AT377" s="32" t="str">
        <f t="shared" si="319"/>
        <v>0.00083111053121159i</v>
      </c>
      <c r="AU377" s="32">
        <f t="shared" si="342"/>
        <v>8.3111053121159005E-4</v>
      </c>
      <c r="AV377" s="32">
        <f t="shared" si="343"/>
        <v>1.5707963267948966</v>
      </c>
      <c r="AW377" s="32" t="str">
        <f t="shared" si="320"/>
        <v>1+0.84462686164998i</v>
      </c>
      <c r="AX377" s="32">
        <f t="shared" si="344"/>
        <v>1.3089669726240973</v>
      </c>
      <c r="AY377" s="32">
        <f t="shared" si="345"/>
        <v>0.70136639782353183</v>
      </c>
      <c r="AZ377" s="32" t="str">
        <f t="shared" si="321"/>
        <v>1+28.7173132960993i</v>
      </c>
      <c r="BA377" s="32">
        <f t="shared" si="346"/>
        <v>28.734719120713912</v>
      </c>
      <c r="BB377" s="32">
        <f t="shared" si="347"/>
        <v>1.5359881924708669</v>
      </c>
      <c r="BC377" s="59" t="str">
        <f t="shared" si="348"/>
        <v>-0.326220625269452+0.295588192854784i</v>
      </c>
      <c r="BD377" s="50">
        <f t="shared" si="349"/>
        <v>-7.1266353642477229</v>
      </c>
      <c r="BE377" s="62">
        <f t="shared" si="350"/>
        <v>137.82030632292674</v>
      </c>
      <c r="BF377" s="59" t="str">
        <f t="shared" si="351"/>
        <v>0.126729198428215-0.0860699184969004i</v>
      </c>
      <c r="BG377" s="65">
        <f t="shared" si="352"/>
        <v>-16.295179874517686</v>
      </c>
      <c r="BH377" s="62">
        <f t="shared" si="353"/>
        <v>-34.182938359194068</v>
      </c>
      <c r="BI377" s="59" t="str">
        <f t="shared" si="357"/>
        <v>0.28980660774334+0.154404472871539i</v>
      </c>
      <c r="BJ377" s="65">
        <f t="shared" si="354"/>
        <v>-9.6726598860051674</v>
      </c>
      <c r="BK377" s="62">
        <f t="shared" si="358"/>
        <v>28.047999963734547</v>
      </c>
      <c r="BL377" s="50">
        <f t="shared" si="355"/>
        <v>-16.295179874517686</v>
      </c>
      <c r="BM377" s="62">
        <f t="shared" si="356"/>
        <v>-34.182938359194068</v>
      </c>
    </row>
    <row r="378" spans="14:65" x14ac:dyDescent="0.3">
      <c r="N378" s="11">
        <v>60</v>
      </c>
      <c r="O378" s="51">
        <f t="shared" si="308"/>
        <v>39810.717055349742</v>
      </c>
      <c r="P378" s="49" t="str">
        <f t="shared" si="309"/>
        <v>27.9103246607183</v>
      </c>
      <c r="Q378" s="18" t="str">
        <f t="shared" si="310"/>
        <v>1+122.873272351627i</v>
      </c>
      <c r="R378" s="18">
        <f t="shared" si="322"/>
        <v>122.87734151745431</v>
      </c>
      <c r="S378" s="18">
        <f t="shared" si="323"/>
        <v>1.562658040058267</v>
      </c>
      <c r="T378" s="18" t="str">
        <f t="shared" si="311"/>
        <v>1+0.110060769487001i</v>
      </c>
      <c r="U378" s="18">
        <f t="shared" si="324"/>
        <v>1.0060384550205179</v>
      </c>
      <c r="V378" s="18">
        <f t="shared" si="325"/>
        <v>0.10961956934440654</v>
      </c>
      <c r="W378" s="32" t="str">
        <f t="shared" si="312"/>
        <v>1-1.45141867729771i</v>
      </c>
      <c r="X378" s="18">
        <f t="shared" si="326"/>
        <v>1.762559552698471</v>
      </c>
      <c r="Y378" s="18">
        <f t="shared" si="327"/>
        <v>-0.96750395945137813</v>
      </c>
      <c r="Z378" s="32" t="str">
        <f t="shared" si="313"/>
        <v>0.967254272883035+0.663718741611951i</v>
      </c>
      <c r="AA378" s="18">
        <f t="shared" si="328"/>
        <v>1.1730743354014019</v>
      </c>
      <c r="AB378" s="18">
        <f t="shared" si="329"/>
        <v>0.60139622117329605</v>
      </c>
      <c r="AC378" s="67" t="str">
        <f t="shared" si="330"/>
        <v>-0.340886316198236-0.0409841903010661i</v>
      </c>
      <c r="AD378" s="65">
        <f t="shared" si="331"/>
        <v>-9.2854814089227098</v>
      </c>
      <c r="AE378" s="62">
        <f t="shared" si="332"/>
        <v>-173.14433066915402</v>
      </c>
      <c r="AF378" s="50" t="str">
        <f t="shared" si="314"/>
        <v>79.1527877025864</v>
      </c>
      <c r="AG378" s="50" t="str">
        <f t="shared" si="315"/>
        <v>1+121.913467739447i</v>
      </c>
      <c r="AH378" s="50">
        <f t="shared" si="333"/>
        <v>121.9175689400719</v>
      </c>
      <c r="AI378" s="50">
        <f t="shared" si="334"/>
        <v>1.5625939715323431</v>
      </c>
      <c r="AJ378" s="50" t="str">
        <f t="shared" si="316"/>
        <v>1+0.110060769487001i</v>
      </c>
      <c r="AK378" s="50">
        <f t="shared" si="335"/>
        <v>1.0060384550205179</v>
      </c>
      <c r="AL378" s="50">
        <f t="shared" si="336"/>
        <v>0.10961956934440654</v>
      </c>
      <c r="AM378" s="50" t="str">
        <f t="shared" si="317"/>
        <v>1-0.507790954678338i</v>
      </c>
      <c r="AN378" s="50">
        <f t="shared" si="337"/>
        <v>1.1215398582543279</v>
      </c>
      <c r="AO378" s="50">
        <f t="shared" si="338"/>
        <v>-0.46986092945802554</v>
      </c>
      <c r="AP378" s="59" t="str">
        <f t="shared" si="339"/>
        <v>-0.252587694917249-0.687611115685018i</v>
      </c>
      <c r="AQ378" s="50">
        <f t="shared" si="340"/>
        <v>-2.7034157008558135</v>
      </c>
      <c r="AR378" s="62">
        <f t="shared" si="341"/>
        <v>-110.17034920195158</v>
      </c>
      <c r="AS378" s="32" t="str">
        <f t="shared" si="318"/>
        <v>-0.0000166666666666667</v>
      </c>
      <c r="AT378" s="32" t="str">
        <f t="shared" si="319"/>
        <v>0.000850469582399555i</v>
      </c>
      <c r="AU378" s="32">
        <f t="shared" si="342"/>
        <v>8.5046958239955498E-4</v>
      </c>
      <c r="AV378" s="32">
        <f t="shared" si="343"/>
        <v>1.5707963267948966</v>
      </c>
      <c r="AW378" s="32" t="str">
        <f t="shared" si="320"/>
        <v>1+0.864300748618508i</v>
      </c>
      <c r="AX378" s="32">
        <f t="shared" si="344"/>
        <v>1.3217472466634888</v>
      </c>
      <c r="AY378" s="32">
        <f t="shared" si="345"/>
        <v>0.71273802018629895</v>
      </c>
      <c r="AZ378" s="32" t="str">
        <f t="shared" si="321"/>
        <v>1+29.3862254530293i</v>
      </c>
      <c r="BA378" s="32">
        <f t="shared" si="346"/>
        <v>29.403235304576047</v>
      </c>
      <c r="BB378" s="32">
        <f t="shared" si="347"/>
        <v>1.5367799041627637</v>
      </c>
      <c r="BC378" s="59" t="str">
        <f t="shared" si="348"/>
        <v>-0.319942522430124+0.296123578418907i</v>
      </c>
      <c r="BD378" s="50">
        <f t="shared" si="349"/>
        <v>-7.2112666146966609</v>
      </c>
      <c r="BE378" s="62">
        <f t="shared" si="350"/>
        <v>137.21412209386054</v>
      </c>
      <c r="BF378" s="59" t="str">
        <f t="shared" si="351"/>
        <v>0.12120041295693-0.0878318905619814i</v>
      </c>
      <c r="BG378" s="65">
        <f t="shared" si="352"/>
        <v>-16.496748023619354</v>
      </c>
      <c r="BH378" s="62">
        <f t="shared" si="353"/>
        <v>-35.930208575293427</v>
      </c>
      <c r="BI378" s="59" t="str">
        <f t="shared" si="357"/>
        <v>0.2844314083839+0.145198862719777i</v>
      </c>
      <c r="BJ378" s="65">
        <f t="shared" si="354"/>
        <v>-9.9146823155524757</v>
      </c>
      <c r="BK378" s="62">
        <f t="shared" si="358"/>
        <v>27.043772891908837</v>
      </c>
      <c r="BL378" s="50">
        <f t="shared" si="355"/>
        <v>-16.496748023619354</v>
      </c>
      <c r="BM378" s="62">
        <f t="shared" si="356"/>
        <v>-35.930208575293427</v>
      </c>
    </row>
    <row r="379" spans="14:65" x14ac:dyDescent="0.3">
      <c r="N379" s="11">
        <v>61</v>
      </c>
      <c r="O379" s="51">
        <f t="shared" si="308"/>
        <v>40738.027780411358</v>
      </c>
      <c r="P379" s="49" t="str">
        <f t="shared" si="309"/>
        <v>27.9103246607183</v>
      </c>
      <c r="Q379" s="18" t="str">
        <f t="shared" si="310"/>
        <v>1+125.735358536025i</v>
      </c>
      <c r="R379" s="18">
        <f t="shared" si="322"/>
        <v>125.73933507929311</v>
      </c>
      <c r="S379" s="18">
        <f t="shared" si="323"/>
        <v>1.5628432821786915</v>
      </c>
      <c r="T379" s="18" t="str">
        <f t="shared" si="311"/>
        <v>1+0.112624414141076i</v>
      </c>
      <c r="U379" s="18">
        <f t="shared" si="324"/>
        <v>1.0063221445743011</v>
      </c>
      <c r="V379" s="18">
        <f t="shared" si="325"/>
        <v>0.11215181993154694</v>
      </c>
      <c r="W379" s="32" t="str">
        <f t="shared" si="312"/>
        <v>1-1.48522656134415i</v>
      </c>
      <c r="X379" s="18">
        <f t="shared" si="326"/>
        <v>1.7905021470308737</v>
      </c>
      <c r="Y379" s="18">
        <f t="shared" si="327"/>
        <v>-0.97821687426379555</v>
      </c>
      <c r="Z379" s="32" t="str">
        <f t="shared" si="313"/>
        <v>0.965711014309141+0.67917873713691i</v>
      </c>
      <c r="AA379" s="18">
        <f t="shared" si="328"/>
        <v>1.1806275958730077</v>
      </c>
      <c r="AB379" s="18">
        <f t="shared" si="329"/>
        <v>0.61293326589767716</v>
      </c>
      <c r="AC379" s="67" t="str">
        <f t="shared" si="330"/>
        <v>-0.337076447061156-0.0337356973415785i</v>
      </c>
      <c r="AD379" s="65">
        <f t="shared" si="331"/>
        <v>-9.402146509554294</v>
      </c>
      <c r="AE379" s="62">
        <f t="shared" si="332"/>
        <v>-174.28468576532512</v>
      </c>
      <c r="AF379" s="50" t="str">
        <f t="shared" si="314"/>
        <v>79.1527877025864</v>
      </c>
      <c r="AG379" s="50" t="str">
        <f t="shared" si="315"/>
        <v>1+124.753197202422i</v>
      </c>
      <c r="AH379" s="50">
        <f t="shared" si="333"/>
        <v>124.75720505135723</v>
      </c>
      <c r="AI379" s="50">
        <f t="shared" si="334"/>
        <v>1.5627806718423618</v>
      </c>
      <c r="AJ379" s="50" t="str">
        <f t="shared" si="316"/>
        <v>1+0.112624414141076i</v>
      </c>
      <c r="AK379" s="50">
        <f t="shared" si="335"/>
        <v>1.0063221445743011</v>
      </c>
      <c r="AL379" s="50">
        <f t="shared" si="336"/>
        <v>0.11215181993154694</v>
      </c>
      <c r="AM379" s="50" t="str">
        <f t="shared" si="317"/>
        <v>1-0.519618925465898i</v>
      </c>
      <c r="AN379" s="50">
        <f t="shared" si="337"/>
        <v>1.1269444652254761</v>
      </c>
      <c r="AO379" s="50">
        <f t="shared" si="338"/>
        <v>-0.47921928099411093</v>
      </c>
      <c r="AP379" s="59" t="str">
        <f t="shared" si="339"/>
        <v>-0.252828132686543-0.673632255647144i</v>
      </c>
      <c r="AQ379" s="50">
        <f t="shared" si="340"/>
        <v>-2.8591975412924437</v>
      </c>
      <c r="AR379" s="62">
        <f t="shared" si="341"/>
        <v>-110.57215311665423</v>
      </c>
      <c r="AS379" s="32" t="str">
        <f t="shared" si="318"/>
        <v>-0.0000166666666666667</v>
      </c>
      <c r="AT379" s="32" t="str">
        <f t="shared" si="319"/>
        <v>0.000870279563817405i</v>
      </c>
      <c r="AU379" s="32">
        <f t="shared" si="342"/>
        <v>8.7027956381740504E-4</v>
      </c>
      <c r="AV379" s="32">
        <f t="shared" si="343"/>
        <v>1.5707963267948966</v>
      </c>
      <c r="AW379" s="32" t="str">
        <f t="shared" si="320"/>
        <v>1+0.88443289928433i</v>
      </c>
      <c r="AX379" s="32">
        <f t="shared" si="344"/>
        <v>1.3349987091141646</v>
      </c>
      <c r="AY379" s="32">
        <f t="shared" si="345"/>
        <v>0.72414761796307736</v>
      </c>
      <c r="AZ379" s="32" t="str">
        <f t="shared" si="321"/>
        <v>1+30.0707185756672i</v>
      </c>
      <c r="BA379" s="32">
        <f t="shared" si="346"/>
        <v>30.087341452128609</v>
      </c>
      <c r="BB379" s="32">
        <f t="shared" si="347"/>
        <v>1.5375536355202251</v>
      </c>
      <c r="BC379" s="59" t="str">
        <f t="shared" si="348"/>
        <v>-0.313622420081164+0.296528920478002i</v>
      </c>
      <c r="BD379" s="50">
        <f t="shared" si="349"/>
        <v>-7.2981413360888698</v>
      </c>
      <c r="BE379" s="62">
        <f t="shared" si="350"/>
        <v>136.60473183656867</v>
      </c>
      <c r="BF379" s="59" t="str">
        <f t="shared" si="351"/>
        <v>0.115718340993951-0.0893726439222134i</v>
      </c>
      <c r="BG379" s="65">
        <f t="shared" si="352"/>
        <v>-16.700287845643164</v>
      </c>
      <c r="BH379" s="62">
        <f t="shared" si="353"/>
        <v>-37.679953928756412</v>
      </c>
      <c r="BI379" s="59" t="str">
        <f t="shared" si="357"/>
        <v>0.279044016403964+0.136295325008781i</v>
      </c>
      <c r="BJ379" s="65">
        <f t="shared" si="354"/>
        <v>-10.157338877381321</v>
      </c>
      <c r="BK379" s="62">
        <f t="shared" si="358"/>
        <v>26.032578719914486</v>
      </c>
      <c r="BL379" s="50">
        <f t="shared" si="355"/>
        <v>-16.700287845643164</v>
      </c>
      <c r="BM379" s="62">
        <f t="shared" si="356"/>
        <v>-37.679953928756412</v>
      </c>
    </row>
    <row r="380" spans="14:65" x14ac:dyDescent="0.3">
      <c r="N380" s="11">
        <v>62</v>
      </c>
      <c r="O380" s="51">
        <f t="shared" si="308"/>
        <v>41686.938347033625</v>
      </c>
      <c r="P380" s="49" t="str">
        <f t="shared" si="309"/>
        <v>27.9103246607183</v>
      </c>
      <c r="Q380" s="18" t="str">
        <f t="shared" si="310"/>
        <v>1+128.664111271822i</v>
      </c>
      <c r="R380" s="18">
        <f t="shared" si="322"/>
        <v>128.66799730068001</v>
      </c>
      <c r="S380" s="18">
        <f t="shared" si="323"/>
        <v>1.563024308201082</v>
      </c>
      <c r="T380" s="18" t="str">
        <f t="shared" si="311"/>
        <v>1+0.115247773750289i</v>
      </c>
      <c r="U380" s="18">
        <f t="shared" si="324"/>
        <v>1.0066191183135742</v>
      </c>
      <c r="V380" s="18">
        <f t="shared" si="325"/>
        <v>0.11474155959839731</v>
      </c>
      <c r="W380" s="32" t="str">
        <f t="shared" si="312"/>
        <v>1-1.51982193217272i</v>
      </c>
      <c r="X380" s="18">
        <f t="shared" si="326"/>
        <v>1.8193017082147807</v>
      </c>
      <c r="Y380" s="18">
        <f t="shared" si="327"/>
        <v>-0.98883741383040313</v>
      </c>
      <c r="Z380" s="32" t="str">
        <f t="shared" si="313"/>
        <v>0.964095024199393+0.694998842218294i</v>
      </c>
      <c r="AA380" s="18">
        <f t="shared" si="328"/>
        <v>1.1884875289084009</v>
      </c>
      <c r="AB380" s="18">
        <f t="shared" si="329"/>
        <v>0.62460374814414088</v>
      </c>
      <c r="AC380" s="67" t="str">
        <f t="shared" si="330"/>
        <v>-0.333183095686235-0.0266676436174788i</v>
      </c>
      <c r="AD380" s="65">
        <f t="shared" si="331"/>
        <v>-9.5186076008521088</v>
      </c>
      <c r="AE380" s="62">
        <f t="shared" si="332"/>
        <v>-175.42385811036505</v>
      </c>
      <c r="AF380" s="50" t="str">
        <f t="shared" si="314"/>
        <v>79.1527877025864</v>
      </c>
      <c r="AG380" s="50" t="str">
        <f t="shared" si="315"/>
        <v>1+127.659072461858i</v>
      </c>
      <c r="AH380" s="50">
        <f t="shared" si="333"/>
        <v>127.66298908384495</v>
      </c>
      <c r="AI380" s="50">
        <f t="shared" si="334"/>
        <v>1.5629631228744527</v>
      </c>
      <c r="AJ380" s="50" t="str">
        <f t="shared" si="316"/>
        <v>1+0.115247773750289i</v>
      </c>
      <c r="AK380" s="50">
        <f t="shared" si="335"/>
        <v>1.0066191183135742</v>
      </c>
      <c r="AL380" s="50">
        <f t="shared" si="336"/>
        <v>0.11474155959839731</v>
      </c>
      <c r="AM380" s="50" t="str">
        <f t="shared" si="317"/>
        <v>1-0.531722405085709i</v>
      </c>
      <c r="AN380" s="50">
        <f t="shared" si="337"/>
        <v>1.1325761414007143</v>
      </c>
      <c r="AO380" s="50">
        <f t="shared" si="338"/>
        <v>-0.48870230453951846</v>
      </c>
      <c r="AP380" s="59" t="str">
        <f t="shared" si="339"/>
        <v>-0.253057750332875-0.660010390826194i</v>
      </c>
      <c r="AQ380" s="50">
        <f t="shared" si="340"/>
        <v>-3.013324211424528</v>
      </c>
      <c r="AR380" s="62">
        <f t="shared" si="341"/>
        <v>-110.97756286398776</v>
      </c>
      <c r="AS380" s="32" t="str">
        <f t="shared" si="318"/>
        <v>-0.0000166666666666667</v>
      </c>
      <c r="AT380" s="32" t="str">
        <f t="shared" si="319"/>
        <v>0.000890550978979502i</v>
      </c>
      <c r="AU380" s="32">
        <f t="shared" si="342"/>
        <v>8.90550978979502E-4</v>
      </c>
      <c r="AV380" s="32">
        <f t="shared" si="343"/>
        <v>1.5707963267948966</v>
      </c>
      <c r="AW380" s="32" t="str">
        <f t="shared" si="320"/>
        <v>1+0.905033987980207i</v>
      </c>
      <c r="AX380" s="32">
        <f t="shared" si="344"/>
        <v>1.3487351553953641</v>
      </c>
      <c r="AY380" s="32">
        <f t="shared" si="345"/>
        <v>0.73558935926968594</v>
      </c>
      <c r="AZ380" s="32" t="str">
        <f t="shared" si="321"/>
        <v>1+30.771155591327i</v>
      </c>
      <c r="BA380" s="32">
        <f t="shared" si="346"/>
        <v>30.787400286897476</v>
      </c>
      <c r="BB380" s="32">
        <f t="shared" si="347"/>
        <v>1.5383097930781229</v>
      </c>
      <c r="BC380" s="59" t="str">
        <f t="shared" si="348"/>
        <v>-0.307266658686887+0.296801775205997i</v>
      </c>
      <c r="BD380" s="50">
        <f t="shared" si="349"/>
        <v>-7.3872739049359968</v>
      </c>
      <c r="BE380" s="62">
        <f t="shared" si="350"/>
        <v>135.99249298613401</v>
      </c>
      <c r="BF380" s="59" t="str">
        <f t="shared" si="351"/>
        <v>0.110291060508691-0.0906952565189087i</v>
      </c>
      <c r="BG380" s="65">
        <f t="shared" si="352"/>
        <v>-16.90588150578812</v>
      </c>
      <c r="BH380" s="62">
        <f t="shared" si="353"/>
        <v>-39.431365124231121</v>
      </c>
      <c r="BI380" s="59" t="str">
        <f t="shared" si="357"/>
        <v>0.273648465051221+0.127691197959358i</v>
      </c>
      <c r="BJ380" s="65">
        <f t="shared" si="354"/>
        <v>-10.400598116360529</v>
      </c>
      <c r="BK380" s="62">
        <f t="shared" si="358"/>
        <v>25.014930122146303</v>
      </c>
      <c r="BL380" s="50">
        <f t="shared" si="355"/>
        <v>-16.90588150578812</v>
      </c>
      <c r="BM380" s="62">
        <f t="shared" si="356"/>
        <v>-39.431365124231121</v>
      </c>
    </row>
    <row r="381" spans="14:65" x14ac:dyDescent="0.3">
      <c r="N381" s="11">
        <v>63</v>
      </c>
      <c r="O381" s="51">
        <f t="shared" si="308"/>
        <v>42657.951880159271</v>
      </c>
      <c r="P381" s="49" t="str">
        <f t="shared" si="309"/>
        <v>27.9103246607183</v>
      </c>
      <c r="Q381" s="18" t="str">
        <f t="shared" si="310"/>
        <v>1+131.661083422487i</v>
      </c>
      <c r="R381" s="18">
        <f t="shared" si="322"/>
        <v>131.66488099710978</v>
      </c>
      <c r="S381" s="18">
        <f t="shared" si="323"/>
        <v>1.5632012140603457</v>
      </c>
      <c r="T381" s="18" t="str">
        <f t="shared" si="311"/>
        <v>1+0.117932239254628i</v>
      </c>
      <c r="U381" s="18">
        <f t="shared" si="324"/>
        <v>1.0069299941185637</v>
      </c>
      <c r="V381" s="18">
        <f t="shared" si="325"/>
        <v>0.11739002243411982</v>
      </c>
      <c r="W381" s="32" t="str">
        <f t="shared" si="312"/>
        <v>1-1.55522313270693i</v>
      </c>
      <c r="X381" s="18">
        <f t="shared" si="326"/>
        <v>1.8489778236925281</v>
      </c>
      <c r="Y381" s="18">
        <f t="shared" si="327"/>
        <v>-0.99936162557932562</v>
      </c>
      <c r="Z381" s="32" t="str">
        <f t="shared" si="313"/>
        <v>0.962402874822108+0.711187444885217i</v>
      </c>
      <c r="AA381" s="18">
        <f t="shared" si="328"/>
        <v>1.1966648967978553</v>
      </c>
      <c r="AB381" s="18">
        <f t="shared" si="329"/>
        <v>0.63640485295924254</v>
      </c>
      <c r="AC381" s="67" t="str">
        <f t="shared" si="330"/>
        <v>-0.329208299448311-0.0197811856192135i</v>
      </c>
      <c r="AD381" s="65">
        <f t="shared" si="331"/>
        <v>-9.6349326821823631</v>
      </c>
      <c r="AE381" s="62">
        <f t="shared" si="332"/>
        <v>-176.56139474219998</v>
      </c>
      <c r="AF381" s="50" t="str">
        <f t="shared" si="314"/>
        <v>79.1527877025864</v>
      </c>
      <c r="AG381" s="50" t="str">
        <f t="shared" si="315"/>
        <v>1+130.63263425128i</v>
      </c>
      <c r="AH381" s="50">
        <f t="shared" si="333"/>
        <v>130.63646172270853</v>
      </c>
      <c r="AI381" s="50">
        <f t="shared" si="334"/>
        <v>1.5631414213179526</v>
      </c>
      <c r="AJ381" s="50" t="str">
        <f t="shared" si="316"/>
        <v>1+0.117932239254628i</v>
      </c>
      <c r="AK381" s="50">
        <f t="shared" si="335"/>
        <v>1.0069299941185637</v>
      </c>
      <c r="AL381" s="50">
        <f t="shared" si="336"/>
        <v>0.11739002243411982</v>
      </c>
      <c r="AM381" s="50" t="str">
        <f t="shared" si="317"/>
        <v>1-0.544107810962875i</v>
      </c>
      <c r="AN381" s="50">
        <f t="shared" si="337"/>
        <v>1.1384433714290807</v>
      </c>
      <c r="AO381" s="50">
        <f t="shared" si="338"/>
        <v>-0.49830820497361628</v>
      </c>
      <c r="AP381" s="59" t="str">
        <f t="shared" si="339"/>
        <v>-0.253277034722413-0.646738310309554i</v>
      </c>
      <c r="AQ381" s="50">
        <f t="shared" si="340"/>
        <v>-3.1657496723267977</v>
      </c>
      <c r="AR381" s="62">
        <f t="shared" si="341"/>
        <v>-111.38641042290656</v>
      </c>
      <c r="AS381" s="32" t="str">
        <f t="shared" si="318"/>
        <v>-0.0000166666666666667</v>
      </c>
      <c r="AT381" s="32" t="str">
        <f t="shared" si="319"/>
        <v>0.000911294576058488i</v>
      </c>
      <c r="AU381" s="32">
        <f t="shared" si="342"/>
        <v>9.1129457605848801E-4</v>
      </c>
      <c r="AV381" s="32">
        <f t="shared" si="343"/>
        <v>1.5707963267948966</v>
      </c>
      <c r="AW381" s="32" t="str">
        <f t="shared" si="320"/>
        <v>1+0.926114937676049i</v>
      </c>
      <c r="AX381" s="32">
        <f t="shared" si="344"/>
        <v>1.3629706078220147</v>
      </c>
      <c r="AY381" s="32">
        <f t="shared" si="345"/>
        <v>0.74705732860752583</v>
      </c>
      <c r="AZ381" s="32" t="str">
        <f t="shared" si="321"/>
        <v>1+31.4879078809857i</v>
      </c>
      <c r="BA381" s="32">
        <f t="shared" si="346"/>
        <v>31.503782990641636</v>
      </c>
      <c r="BB381" s="32">
        <f t="shared" si="347"/>
        <v>1.5390487743004149</v>
      </c>
      <c r="BC381" s="59" t="str">
        <f t="shared" si="348"/>
        <v>-0.300881726408429+0.296940061481811i</v>
      </c>
      <c r="BD381" s="50">
        <f t="shared" si="349"/>
        <v>-7.4786763804246199</v>
      </c>
      <c r="BE381" s="62">
        <f t="shared" si="350"/>
        <v>135.37776724866711</v>
      </c>
      <c r="BF381" s="59" t="str">
        <f t="shared" si="351"/>
        <v>0.104926587959943-0.0918033353989894i</v>
      </c>
      <c r="BG381" s="65">
        <f t="shared" si="352"/>
        <v>-17.11360906260699</v>
      </c>
      <c r="BH381" s="62">
        <f t="shared" si="353"/>
        <v>-41.183627493532931</v>
      </c>
      <c r="BI381" s="59" t="str">
        <f t="shared" si="357"/>
        <v>0.268248945092849+0.119383641078005i</v>
      </c>
      <c r="BJ381" s="65">
        <f t="shared" si="354"/>
        <v>-10.644426052751406</v>
      </c>
      <c r="BK381" s="62">
        <f t="shared" si="358"/>
        <v>23.991356825760558</v>
      </c>
      <c r="BL381" s="50">
        <f t="shared" si="355"/>
        <v>-17.11360906260699</v>
      </c>
      <c r="BM381" s="62">
        <f t="shared" si="356"/>
        <v>-41.183627493532931</v>
      </c>
    </row>
    <row r="382" spans="14:65" x14ac:dyDescent="0.3">
      <c r="N382" s="11">
        <v>64</v>
      </c>
      <c r="O382" s="51">
        <f t="shared" si="308"/>
        <v>43651.583224016598</v>
      </c>
      <c r="P382" s="49" t="str">
        <f t="shared" si="309"/>
        <v>27.9103246607183</v>
      </c>
      <c r="Q382" s="18" t="str">
        <f t="shared" si="310"/>
        <v>1+134.727864022322i</v>
      </c>
      <c r="R382" s="18">
        <f t="shared" si="322"/>
        <v>134.73157515600153</v>
      </c>
      <c r="S382" s="18">
        <f t="shared" si="323"/>
        <v>1.5633740935099945</v>
      </c>
      <c r="T382" s="18" t="str">
        <f t="shared" si="311"/>
        <v>1+0.120679233993238i</v>
      </c>
      <c r="U382" s="18">
        <f t="shared" si="324"/>
        <v>1.0072554182118827</v>
      </c>
      <c r="V382" s="18">
        <f t="shared" si="325"/>
        <v>0.12009846399052695</v>
      </c>
      <c r="W382" s="32" t="str">
        <f t="shared" si="312"/>
        <v>1-1.59144893313192i</v>
      </c>
      <c r="X382" s="18">
        <f t="shared" si="326"/>
        <v>1.8795504001666798</v>
      </c>
      <c r="Y382" s="18">
        <f t="shared" si="327"/>
        <v>-1.0097857641832491</v>
      </c>
      <c r="Z382" s="32" t="str">
        <f t="shared" si="313"/>
        <v>0.960630976901586+0.727753128549097i</v>
      </c>
      <c r="AA382" s="18">
        <f t="shared" si="328"/>
        <v>1.2051707306003969</v>
      </c>
      <c r="AB382" s="18">
        <f t="shared" si="329"/>
        <v>0.64833356880732762</v>
      </c>
      <c r="AC382" s="67" t="str">
        <f t="shared" si="330"/>
        <v>-0.325154329215225-0.0130774978152572i</v>
      </c>
      <c r="AD382" s="65">
        <f t="shared" si="331"/>
        <v>-9.7511897284003108</v>
      </c>
      <c r="AE382" s="62">
        <f t="shared" si="332"/>
        <v>-177.69684195495978</v>
      </c>
      <c r="AF382" s="50" t="str">
        <f t="shared" si="314"/>
        <v>79.1527877025864</v>
      </c>
      <c r="AG382" s="50" t="str">
        <f t="shared" si="315"/>
        <v>1+133.675459192509i</v>
      </c>
      <c r="AH382" s="50">
        <f t="shared" si="333"/>
        <v>133.67919954251724</v>
      </c>
      <c r="AI382" s="50">
        <f t="shared" si="334"/>
        <v>1.5633156616636847</v>
      </c>
      <c r="AJ382" s="50" t="str">
        <f t="shared" si="316"/>
        <v>1+0.120679233993238i</v>
      </c>
      <c r="AK382" s="50">
        <f t="shared" si="335"/>
        <v>1.0072554182118827</v>
      </c>
      <c r="AL382" s="50">
        <f t="shared" si="336"/>
        <v>0.12009846399052695</v>
      </c>
      <c r="AM382" s="50" t="str">
        <f t="shared" si="317"/>
        <v>1-0.55678171000353i</v>
      </c>
      <c r="AN382" s="50">
        <f t="shared" si="337"/>
        <v>1.1445548796778837</v>
      </c>
      <c r="AO382" s="50">
        <f t="shared" si="338"/>
        <v>-0.50803498372421074</v>
      </c>
      <c r="AP382" s="59" t="str">
        <f t="shared" si="339"/>
        <v>-0.253486450819252-0.633808987872078i</v>
      </c>
      <c r="AQ382" s="50">
        <f t="shared" si="340"/>
        <v>-3.3164277578632664</v>
      </c>
      <c r="AR382" s="62">
        <f t="shared" si="341"/>
        <v>-111.79851475976454</v>
      </c>
      <c r="AS382" s="32" t="str">
        <f t="shared" si="318"/>
        <v>-0.0000166666666666667</v>
      </c>
      <c r="AT382" s="32" t="str">
        <f t="shared" si="319"/>
        <v>0.000932521353584111i</v>
      </c>
      <c r="AU382" s="32">
        <f t="shared" si="342"/>
        <v>9.3252135358411095E-4</v>
      </c>
      <c r="AV382" s="32">
        <f t="shared" si="343"/>
        <v>1.5707963267948966</v>
      </c>
      <c r="AW382" s="32" t="str">
        <f t="shared" si="320"/>
        <v>1+0.947686925770427i</v>
      </c>
      <c r="AX382" s="32">
        <f t="shared" si="344"/>
        <v>1.3777193144019586</v>
      </c>
      <c r="AY382" s="32">
        <f t="shared" si="345"/>
        <v>0.75854554183181055</v>
      </c>
      <c r="AZ382" s="32" t="str">
        <f t="shared" si="321"/>
        <v>1+32.2213554761945i</v>
      </c>
      <c r="BA382" s="32">
        <f t="shared" si="346"/>
        <v>32.236869400164927</v>
      </c>
      <c r="BB382" s="32">
        <f t="shared" si="347"/>
        <v>1.5397709677744591</v>
      </c>
      <c r="BC382" s="59" t="str">
        <f t="shared" si="348"/>
        <v>-0.294474233163242+0.296942072456221i</v>
      </c>
      <c r="BD382" s="50">
        <f t="shared" si="349"/>
        <v>-7.5723584571295133</v>
      </c>
      <c r="BE382" s="62">
        <f t="shared" si="350"/>
        <v>134.7609197548237</v>
      </c>
      <c r="BF382" s="59" t="str">
        <f t="shared" si="351"/>
        <v>0.0996328310591659-0.0927010142444395i</v>
      </c>
      <c r="BG382" s="65">
        <f t="shared" si="352"/>
        <v>-17.323548185529823</v>
      </c>
      <c r="BH382" s="62">
        <f t="shared" si="353"/>
        <v>-42.935922200136098</v>
      </c>
      <c r="BI382" s="59" t="str">
        <f t="shared" si="357"/>
        <v>0.262849782622386+0.11136962362976i</v>
      </c>
      <c r="BJ382" s="65">
        <f t="shared" si="354"/>
        <v>-10.888786214992773</v>
      </c>
      <c r="BK382" s="62">
        <f t="shared" si="358"/>
        <v>22.962404995059124</v>
      </c>
      <c r="BL382" s="50">
        <f t="shared" si="355"/>
        <v>-17.323548185529823</v>
      </c>
      <c r="BM382" s="62">
        <f t="shared" si="356"/>
        <v>-42.935922200136098</v>
      </c>
    </row>
    <row r="383" spans="14:65" x14ac:dyDescent="0.3">
      <c r="N383" s="11">
        <v>65</v>
      </c>
      <c r="O383" s="51">
        <f t="shared" si="308"/>
        <v>44668.359215096389</v>
      </c>
      <c r="P383" s="49" t="str">
        <f t="shared" si="309"/>
        <v>27.9103246607183</v>
      </c>
      <c r="Q383" s="18" t="str">
        <f t="shared" si="310"/>
        <v>1+137.866079118997i</v>
      </c>
      <c r="R383" s="18">
        <f t="shared" si="322"/>
        <v>137.86970577920857</v>
      </c>
      <c r="S383" s="18">
        <f t="shared" si="323"/>
        <v>1.563543038171642</v>
      </c>
      <c r="T383" s="18" t="str">
        <f t="shared" si="311"/>
        <v>1+0.12349021445909i</v>
      </c>
      <c r="U383" s="18">
        <f t="shared" si="324"/>
        <v>1.0075960664210395</v>
      </c>
      <c r="V383" s="18">
        <f t="shared" si="325"/>
        <v>0.12286816128814547</v>
      </c>
      <c r="W383" s="32" t="str">
        <f t="shared" si="312"/>
        <v>1-1.62851854084659i</v>
      </c>
      <c r="X383" s="18">
        <f t="shared" si="326"/>
        <v>1.9110396745962934</v>
      </c>
      <c r="Y383" s="18">
        <f t="shared" si="327"/>
        <v>-1.0201062946598356</v>
      </c>
      <c r="Z383" s="32" t="str">
        <f t="shared" si="313"/>
        <v>0.958775572004775+0.744704676554688i</v>
      </c>
      <c r="AA383" s="18">
        <f t="shared" si="328"/>
        <v>1.2140163313380534</v>
      </c>
      <c r="AB383" s="18">
        <f t="shared" si="329"/>
        <v>0.66038669067371403</v>
      </c>
      <c r="AC383" s="67" t="str">
        <f t="shared" si="330"/>
        <v>-0.321023690609767-0.00655775383576182i</v>
      </c>
      <c r="AD383" s="65">
        <f t="shared" si="331"/>
        <v>-9.8674464535852451</v>
      </c>
      <c r="AE383" s="62">
        <f t="shared" si="332"/>
        <v>-178.82974565690631</v>
      </c>
      <c r="AF383" s="50" t="str">
        <f t="shared" si="314"/>
        <v>79.1527877025864</v>
      </c>
      <c r="AG383" s="50" t="str">
        <f t="shared" si="315"/>
        <v>1+136.789160631607i</v>
      </c>
      <c r="AH383" s="50">
        <f t="shared" si="333"/>
        <v>136.79281584315595</v>
      </c>
      <c r="AI383" s="50">
        <f t="shared" si="334"/>
        <v>1.5634859362538434</v>
      </c>
      <c r="AJ383" s="50" t="str">
        <f t="shared" si="316"/>
        <v>1+0.12349021445909i</v>
      </c>
      <c r="AK383" s="50">
        <f t="shared" si="335"/>
        <v>1.0075960664210395</v>
      </c>
      <c r="AL383" s="50">
        <f t="shared" si="336"/>
        <v>0.12286816128814547</v>
      </c>
      <c r="AM383" s="50" t="str">
        <f t="shared" si="317"/>
        <v>1-0.569750822076709i</v>
      </c>
      <c r="AN383" s="50">
        <f t="shared" si="337"/>
        <v>1.1509196319713577</v>
      </c>
      <c r="AO383" s="50">
        <f t="shared" si="338"/>
        <v>-0.51788043529082828</v>
      </c>
      <c r="AP383" s="59" t="str">
        <f t="shared" si="339"/>
        <v>-0.253686442670254-0.621215578302262i</v>
      </c>
      <c r="AQ383" s="50">
        <f t="shared" si="340"/>
        <v>-3.4653122587648926</v>
      </c>
      <c r="AR383" s="62">
        <f t="shared" si="341"/>
        <v>-112.21368163162425</v>
      </c>
      <c r="AS383" s="32" t="str">
        <f t="shared" si="318"/>
        <v>-0.0000166666666666667</v>
      </c>
      <c r="AT383" s="32" t="str">
        <f t="shared" si="319"/>
        <v>0.000954242566274786i</v>
      </c>
      <c r="AU383" s="32">
        <f t="shared" si="342"/>
        <v>9.5424256627478596E-4</v>
      </c>
      <c r="AV383" s="32">
        <f t="shared" si="343"/>
        <v>1.5707963267948966</v>
      </c>
      <c r="AW383" s="32" t="str">
        <f t="shared" si="320"/>
        <v>1+0.969761390016973i</v>
      </c>
      <c r="AX383" s="32">
        <f t="shared" si="344"/>
        <v>1.3929957478641677</v>
      </c>
      <c r="AY383" s="32">
        <f t="shared" si="345"/>
        <v>0.77004796155529953</v>
      </c>
      <c r="AZ383" s="32" t="str">
        <f t="shared" si="321"/>
        <v>1+32.9718872605771i</v>
      </c>
      <c r="BA383" s="32">
        <f t="shared" si="346"/>
        <v>32.9870482087168</v>
      </c>
      <c r="BB383" s="32">
        <f t="shared" si="347"/>
        <v>1.5404767534017147</v>
      </c>
      <c r="BC383" s="59" t="str">
        <f t="shared" si="348"/>
        <v>-0.288050883611736+0.296806484865732i</v>
      </c>
      <c r="BD383" s="50">
        <f t="shared" si="349"/>
        <v>-7.6683274271645443</v>
      </c>
      <c r="BE383" s="62">
        <f t="shared" si="350"/>
        <v>134.14231818816256</v>
      </c>
      <c r="BF383" s="59" t="str">
        <f t="shared" si="351"/>
        <v>0.0944175416050512-0.0933929463816098i</v>
      </c>
      <c r="BG383" s="65">
        <f t="shared" si="352"/>
        <v>-17.535773880749787</v>
      </c>
      <c r="BH383" s="62">
        <f t="shared" si="353"/>
        <v>-44.687427468743749</v>
      </c>
      <c r="BI383" s="59" t="str">
        <f t="shared" si="357"/>
        <v>0.257455416111212+0.103645914936292i</v>
      </c>
      <c r="BJ383" s="65">
        <f t="shared" si="354"/>
        <v>-11.133639685929435</v>
      </c>
      <c r="BK383" s="62">
        <f t="shared" si="358"/>
        <v>21.928636556538326</v>
      </c>
      <c r="BL383" s="50">
        <f t="shared" si="355"/>
        <v>-17.535773880749787</v>
      </c>
      <c r="BM383" s="62">
        <f t="shared" si="356"/>
        <v>-44.687427468743749</v>
      </c>
    </row>
    <row r="384" spans="14:65" x14ac:dyDescent="0.3">
      <c r="N384" s="11">
        <v>66</v>
      </c>
      <c r="O384" s="51">
        <f t="shared" ref="O384:O418" si="359">10^(4+(N384/100))</f>
        <v>45708.818961487581</v>
      </c>
      <c r="P384" s="49" t="str">
        <f t="shared" si="309"/>
        <v>27.9103246607183</v>
      </c>
      <c r="Q384" s="18" t="str">
        <f t="shared" si="310"/>
        <v>1+141.077392635693i</v>
      </c>
      <c r="R384" s="18">
        <f t="shared" si="322"/>
        <v>141.08093674513748</v>
      </c>
      <c r="S384" s="18">
        <f t="shared" si="323"/>
        <v>1.5637081375833852</v>
      </c>
      <c r="T384" s="18" t="str">
        <f t="shared" si="311"/>
        <v>1+0.126366671071234i</v>
      </c>
      <c r="U384" s="18">
        <f t="shared" si="324"/>
        <v>1.0079526454936389</v>
      </c>
      <c r="V384" s="18">
        <f t="shared" si="325"/>
        <v>0.12570041279028954</v>
      </c>
      <c r="W384" s="32" t="str">
        <f t="shared" si="312"/>
        <v>1-1.66645161064759i</v>
      </c>
      <c r="X384" s="18">
        <f t="shared" si="326"/>
        <v>1.9434662257497419</v>
      </c>
      <c r="Y384" s="18">
        <f t="shared" si="327"/>
        <v>-1.0303198945295147</v>
      </c>
      <c r="Z384" s="32" t="str">
        <f t="shared" si="313"/>
        <v>0.956832724569131+0.762051076837115i</v>
      </c>
      <c r="AA384" s="18">
        <f t="shared" si="328"/>
        <v>1.2232132710672303</v>
      </c>
      <c r="AB384" s="18">
        <f t="shared" si="329"/>
        <v>0.67256082413023732</v>
      </c>
      <c r="AC384" s="67" t="str">
        <f t="shared" si="330"/>
        <v>-0.316819123814264-0.000223107275448892i</v>
      </c>
      <c r="AD384" s="65">
        <f t="shared" si="331"/>
        <v>-9.9837700750324387</v>
      </c>
      <c r="AE384" s="62">
        <f t="shared" si="332"/>
        <v>-179.95965173126268</v>
      </c>
      <c r="AF384" s="50" t="str">
        <f t="shared" si="314"/>
        <v>79.1527877025864</v>
      </c>
      <c r="AG384" s="50" t="str">
        <f t="shared" si="315"/>
        <v>1+139.97538949429i</v>
      </c>
      <c r="AH384" s="50">
        <f t="shared" si="333"/>
        <v>139.97896150521404</v>
      </c>
      <c r="AI384" s="50">
        <f t="shared" si="334"/>
        <v>1.5636523353307525</v>
      </c>
      <c r="AJ384" s="50" t="str">
        <f t="shared" si="316"/>
        <v>1+0.126366671071234i</v>
      </c>
      <c r="AK384" s="50">
        <f t="shared" si="335"/>
        <v>1.0079526454936389</v>
      </c>
      <c r="AL384" s="50">
        <f t="shared" si="336"/>
        <v>0.12570041279028954</v>
      </c>
      <c r="AM384" s="50" t="str">
        <f t="shared" si="317"/>
        <v>1-0.583022023577293i</v>
      </c>
      <c r="AN384" s="50">
        <f t="shared" si="337"/>
        <v>1.1575468370550548</v>
      </c>
      <c r="AO384" s="50">
        <f t="shared" si="338"/>
        <v>-0.52784214439103083</v>
      </c>
      <c r="AP384" s="59" t="str">
        <f t="shared" si="339"/>
        <v>-0.253877434345632-0.608951413820961i</v>
      </c>
      <c r="AQ384" s="50">
        <f t="shared" si="340"/>
        <v>-3.6123570104387541</v>
      </c>
      <c r="AR384" s="62">
        <f t="shared" si="341"/>
        <v>-112.63170342703226</v>
      </c>
      <c r="AS384" s="32" t="str">
        <f t="shared" si="318"/>
        <v>-0.0000166666666666667</v>
      </c>
      <c r="AT384" s="32" t="str">
        <f t="shared" si="319"/>
        <v>0.000976469731004992i</v>
      </c>
      <c r="AU384" s="32">
        <f t="shared" si="342"/>
        <v>9.7646973100499199E-4</v>
      </c>
      <c r="AV384" s="32">
        <f t="shared" si="343"/>
        <v>1.5707963267948966</v>
      </c>
      <c r="AW384" s="32" t="str">
        <f t="shared" si="320"/>
        <v>1+0.992350034588808i</v>
      </c>
      <c r="AX384" s="32">
        <f t="shared" si="344"/>
        <v>1.4088146049599317</v>
      </c>
      <c r="AY384" s="32">
        <f t="shared" si="345"/>
        <v>0.78155851289222567</v>
      </c>
      <c r="AZ384" s="32" t="str">
        <f t="shared" si="321"/>
        <v>1+33.7399011760195i</v>
      </c>
      <c r="BA384" s="32">
        <f t="shared" si="346"/>
        <v>33.754717172086657</v>
      </c>
      <c r="BB384" s="32">
        <f t="shared" si="347"/>
        <v>1.5411665025848509</v>
      </c>
      <c r="BC384" s="59" t="str">
        <f t="shared" si="348"/>
        <v>-0.281618449302082+0.296532365982157i</v>
      </c>
      <c r="BD384" s="50">
        <f t="shared" si="349"/>
        <v>-7.7665881521174587</v>
      </c>
      <c r="BE384" s="62">
        <f t="shared" si="350"/>
        <v>133.52233189380425</v>
      </c>
      <c r="BF384" s="59" t="str">
        <f t="shared" si="351"/>
        <v>0.0892882688860741-0.0938842932480977i</v>
      </c>
      <c r="BG384" s="65">
        <f t="shared" si="352"/>
        <v>-17.750358227149896</v>
      </c>
      <c r="BH384" s="62">
        <f t="shared" si="353"/>
        <v>-46.437319837458389</v>
      </c>
      <c r="BI384" s="59" t="str">
        <f t="shared" si="357"/>
        <v>0.252070372881717+0.0962090765845795i</v>
      </c>
      <c r="BJ384" s="65">
        <f t="shared" si="354"/>
        <v>-11.378945162556215</v>
      </c>
      <c r="BK384" s="62">
        <f t="shared" si="358"/>
        <v>20.890628466772018</v>
      </c>
      <c r="BL384" s="50">
        <f t="shared" si="355"/>
        <v>-17.750358227149896</v>
      </c>
      <c r="BM384" s="62">
        <f t="shared" si="356"/>
        <v>-46.437319837458389</v>
      </c>
    </row>
    <row r="385" spans="14:65" x14ac:dyDescent="0.3">
      <c r="N385" s="11">
        <v>67</v>
      </c>
      <c r="O385" s="51">
        <f t="shared" si="359"/>
        <v>46773.514128719893</v>
      </c>
      <c r="P385" s="49" t="str">
        <f t="shared" si="309"/>
        <v>27.9103246607183</v>
      </c>
      <c r="Q385" s="18" t="str">
        <f t="shared" si="310"/>
        <v>1+144.363507253346i</v>
      </c>
      <c r="R385" s="18">
        <f t="shared" si="322"/>
        <v>144.36697069096823</v>
      </c>
      <c r="S385" s="18">
        <f t="shared" si="323"/>
        <v>1.5638694792470951</v>
      </c>
      <c r="T385" s="18" t="str">
        <f t="shared" si="311"/>
        <v>1+0.129310128965041i</v>
      </c>
      <c r="U385" s="18">
        <f t="shared" si="324"/>
        <v>1.0083258944671387</v>
      </c>
      <c r="V385" s="18">
        <f t="shared" si="325"/>
        <v>0.12859653834246385</v>
      </c>
      <c r="W385" s="32" t="str">
        <f t="shared" si="312"/>
        <v>1-1.70526825515065i</v>
      </c>
      <c r="X385" s="18">
        <f t="shared" si="326"/>
        <v>1.9768509862972834</v>
      </c>
      <c r="Y385" s="18">
        <f t="shared" si="327"/>
        <v>-1.0404234550609706</v>
      </c>
      <c r="Z385" s="32" t="str">
        <f t="shared" si="313"/>
        <v>0.954798313554761+0.779801526687425i</v>
      </c>
      <c r="AA385" s="18">
        <f t="shared" si="328"/>
        <v>1.2327733938526799</v>
      </c>
      <c r="AB385" s="18">
        <f t="shared" si="329"/>
        <v>0.68485239038179191</v>
      </c>
      <c r="AC385" s="67" t="str">
        <f t="shared" si="330"/>
        <v>-0.312543601848046+0.0059253277519947i</v>
      </c>
      <c r="AD385" s="65">
        <f t="shared" si="331"/>
        <v>-10.100227078835237</v>
      </c>
      <c r="AE385" s="62">
        <f t="shared" si="332"/>
        <v>178.91389359709973</v>
      </c>
      <c r="AF385" s="50" t="str">
        <f t="shared" si="314"/>
        <v>79.1527877025864</v>
      </c>
      <c r="AG385" s="50" t="str">
        <f t="shared" si="315"/>
        <v>1+143.235835161276i</v>
      </c>
      <c r="AH385" s="50">
        <f t="shared" si="333"/>
        <v>143.23932586530916</v>
      </c>
      <c r="AI385" s="50">
        <f t="shared" si="334"/>
        <v>1.5638149470845255</v>
      </c>
      <c r="AJ385" s="50" t="str">
        <f t="shared" si="316"/>
        <v>1+0.129310128965041i</v>
      </c>
      <c r="AK385" s="50">
        <f t="shared" si="335"/>
        <v>1.0083258944671387</v>
      </c>
      <c r="AL385" s="50">
        <f t="shared" si="336"/>
        <v>0.12859653834246385</v>
      </c>
      <c r="AM385" s="50" t="str">
        <f t="shared" si="317"/>
        <v>1-0.596602351071991i</v>
      </c>
      <c r="AN385" s="50">
        <f t="shared" si="337"/>
        <v>1.1644459477814448</v>
      </c>
      <c r="AO385" s="50">
        <f t="shared" si="338"/>
        <v>-0.53791748378357807</v>
      </c>
      <c r="AP385" s="59" t="str">
        <f t="shared" si="339"/>
        <v>-0.25405983083728-0.597010000590939i</v>
      </c>
      <c r="AQ385" s="50">
        <f t="shared" si="340"/>
        <v>-3.7575159841827239</v>
      </c>
      <c r="AR385" s="62">
        <f t="shared" si="341"/>
        <v>-113.05235904749792</v>
      </c>
      <c r="AS385" s="32" t="str">
        <f t="shared" si="318"/>
        <v>-0.0000166666666666667</v>
      </c>
      <c r="AT385" s="32" t="str">
        <f t="shared" si="319"/>
        <v>0.000999214632911681i</v>
      </c>
      <c r="AU385" s="32">
        <f t="shared" si="342"/>
        <v>9.9921463291168097E-4</v>
      </c>
      <c r="AV385" s="32">
        <f t="shared" si="343"/>
        <v>1.5707963267948966</v>
      </c>
      <c r="AW385" s="32" t="str">
        <f t="shared" si="320"/>
        <v>1+1.01546483628429i</v>
      </c>
      <c r="AX385" s="32">
        <f t="shared" si="344"/>
        <v>1.4251908060782177</v>
      </c>
      <c r="AY385" s="32">
        <f t="shared" si="345"/>
        <v>0.79307109944312126</v>
      </c>
      <c r="AZ385" s="32" t="str">
        <f t="shared" si="321"/>
        <v>1+34.525804433666i</v>
      </c>
      <c r="BA385" s="32">
        <f t="shared" si="346"/>
        <v>34.540283319506102</v>
      </c>
      <c r="BB385" s="32">
        <f t="shared" si="347"/>
        <v>1.5418405784113058</v>
      </c>
      <c r="BC385" s="59" t="str">
        <f t="shared" si="348"/>
        <v>-0.275183740217104+0.296119178113904i</v>
      </c>
      <c r="BD385" s="50">
        <f t="shared" si="349"/>
        <v>-7.8671430450266886</v>
      </c>
      <c r="BE385" s="62">
        <f t="shared" si="350"/>
        <v>132.90133097308654</v>
      </c>
      <c r="BF385" s="59" t="str">
        <f t="shared" si="351"/>
        <v>0.0842523141534945-0.0941807083568087i</v>
      </c>
      <c r="BG385" s="65">
        <f t="shared" si="352"/>
        <v>-17.967370123861926</v>
      </c>
      <c r="BH385" s="62">
        <f t="shared" si="353"/>
        <v>-48.184775429813698</v>
      </c>
      <c r="BI385" s="59" t="str">
        <f t="shared" si="357"/>
        <v>0.246699245189498+0.0890554566103372i</v>
      </c>
      <c r="BJ385" s="65">
        <f t="shared" si="354"/>
        <v>-11.624659029209404</v>
      </c>
      <c r="BK385" s="62">
        <f t="shared" si="358"/>
        <v>19.8489719255886</v>
      </c>
      <c r="BL385" s="50">
        <f t="shared" si="355"/>
        <v>-17.967370123861926</v>
      </c>
      <c r="BM385" s="62">
        <f t="shared" si="356"/>
        <v>-48.184775429813698</v>
      </c>
    </row>
    <row r="386" spans="14:65" x14ac:dyDescent="0.3">
      <c r="N386" s="11">
        <v>68</v>
      </c>
      <c r="O386" s="51">
        <f t="shared" si="359"/>
        <v>47863.009232263823</v>
      </c>
      <c r="P386" s="49" t="str">
        <f t="shared" si="309"/>
        <v>27.9103246607183</v>
      </c>
      <c r="Q386" s="18" t="str">
        <f t="shared" si="310"/>
        <v>1+147.72616531342i</v>
      </c>
      <c r="R386" s="18">
        <f t="shared" si="322"/>
        <v>147.72954991540419</v>
      </c>
      <c r="S386" s="18">
        <f t="shared" si="323"/>
        <v>1.5640271486746387</v>
      </c>
      <c r="T386" s="18" t="str">
        <f t="shared" si="311"/>
        <v>1+0.132322148800847i</v>
      </c>
      <c r="U386" s="18">
        <f t="shared" si="324"/>
        <v>1.0087165860950604</v>
      </c>
      <c r="V386" s="18">
        <f t="shared" si="325"/>
        <v>0.13155787907425803</v>
      </c>
      <c r="W386" s="32" t="str">
        <f t="shared" si="312"/>
        <v>1-1.74498905545449i</v>
      </c>
      <c r="X386" s="18">
        <f t="shared" si="326"/>
        <v>2.0112152554254239</v>
      </c>
      <c r="Y386" s="18">
        <f t="shared" si="327"/>
        <v>-1.0504140816402527</v>
      </c>
      <c r="Z386" s="32" t="str">
        <f t="shared" si="313"/>
        <v>0.952668023703145+0.797965437629073i</v>
      </c>
      <c r="AA386" s="18">
        <f t="shared" si="328"/>
        <v>1.2427088166730831</v>
      </c>
      <c r="AB386" s="18">
        <f t="shared" si="329"/>
        <v>0.69725763230483473</v>
      </c>
      <c r="AC386" s="67" t="str">
        <f t="shared" si="330"/>
        <v>-0.308200327261614+0.0118864961648023i</v>
      </c>
      <c r="AD386" s="65">
        <f t="shared" si="331"/>
        <v>-10.216882988372291</v>
      </c>
      <c r="AE386" s="62">
        <f t="shared" si="332"/>
        <v>177.79134338626207</v>
      </c>
      <c r="AF386" s="50" t="str">
        <f t="shared" si="314"/>
        <v>79.1527877025864</v>
      </c>
      <c r="AG386" s="50" t="str">
        <f t="shared" si="315"/>
        <v>1+146.572226364015i</v>
      </c>
      <c r="AH386" s="50">
        <f t="shared" si="333"/>
        <v>146.57563761179432</v>
      </c>
      <c r="AI386" s="50">
        <f t="shared" si="334"/>
        <v>1.5639738576996476</v>
      </c>
      <c r="AJ386" s="50" t="str">
        <f t="shared" si="316"/>
        <v>1+0.132322148800847i</v>
      </c>
      <c r="AK386" s="50">
        <f t="shared" si="335"/>
        <v>1.0087165860950604</v>
      </c>
      <c r="AL386" s="50">
        <f t="shared" si="336"/>
        <v>0.13155787907425803</v>
      </c>
      <c r="AM386" s="50" t="str">
        <f t="shared" si="317"/>
        <v>1-0.610499005030189i</v>
      </c>
      <c r="AN386" s="50">
        <f t="shared" si="337"/>
        <v>1.1716266620143341</v>
      </c>
      <c r="AO386" s="50">
        <f t="shared" si="338"/>
        <v>-0.54810361282030573</v>
      </c>
      <c r="AP386" s="59" t="str">
        <f t="shared" si="339"/>
        <v>-0.254234018916726-0.58538501531567i</v>
      </c>
      <c r="AQ386" s="50">
        <f t="shared" si="340"/>
        <v>-3.9007433814263908</v>
      </c>
      <c r="AR386" s="62">
        <f t="shared" si="341"/>
        <v>-113.47541383281245</v>
      </c>
      <c r="AS386" s="32" t="str">
        <f t="shared" si="318"/>
        <v>-0.0000166666666666667</v>
      </c>
      <c r="AT386" s="32" t="str">
        <f t="shared" si="319"/>
        <v>0.00102248933164291i</v>
      </c>
      <c r="AU386" s="32">
        <f t="shared" si="342"/>
        <v>1.0224893316429101E-3</v>
      </c>
      <c r="AV386" s="32">
        <f t="shared" si="343"/>
        <v>1.5707963267948966</v>
      </c>
      <c r="AW386" s="32" t="str">
        <f t="shared" si="320"/>
        <v>1+1.03911805087724i</v>
      </c>
      <c r="AX386" s="32">
        <f t="shared" si="344"/>
        <v>1.4421394952149789</v>
      </c>
      <c r="AY386" s="32">
        <f t="shared" si="345"/>
        <v>0.80457961941826661</v>
      </c>
      <c r="AZ386" s="32" t="str">
        <f t="shared" si="321"/>
        <v>1+35.3300137298261i</v>
      </c>
      <c r="BA386" s="32">
        <f t="shared" si="346"/>
        <v>35.344163169464075</v>
      </c>
      <c r="BB386" s="32">
        <f t="shared" si="347"/>
        <v>1.5424993358333201</v>
      </c>
      <c r="BC386" s="59" t="str">
        <f t="shared" si="348"/>
        <v>-0.268753575976197+0.295566780603702i</v>
      </c>
      <c r="BD386" s="50">
        <f t="shared" si="349"/>
        <v>-7.9699920625723202</v>
      </c>
      <c r="BE386" s="62">
        <f t="shared" si="350"/>
        <v>132.27968537007322</v>
      </c>
      <c r="BF386" s="59" t="str">
        <f t="shared" si="351"/>
        <v>0.0793166866645041-0.0942883168598406i</v>
      </c>
      <c r="BG386" s="65">
        <f t="shared" si="352"/>
        <v>-18.186875050944607</v>
      </c>
      <c r="BH386" s="62">
        <f t="shared" si="353"/>
        <v>-49.928971243664698</v>
      </c>
      <c r="BI386" s="59" t="str">
        <f t="shared" si="357"/>
        <v>0.241346666109172+0.0821811856978098i</v>
      </c>
      <c r="BJ386" s="65">
        <f t="shared" si="354"/>
        <v>-11.870735443998697</v>
      </c>
      <c r="BK386" s="62">
        <f t="shared" si="358"/>
        <v>18.804271537260757</v>
      </c>
      <c r="BL386" s="50">
        <f t="shared" si="355"/>
        <v>-18.186875050944607</v>
      </c>
      <c r="BM386" s="62">
        <f t="shared" si="356"/>
        <v>-49.928971243664698</v>
      </c>
    </row>
    <row r="387" spans="14:65" x14ac:dyDescent="0.3">
      <c r="N387" s="11">
        <v>69</v>
      </c>
      <c r="O387" s="51">
        <f t="shared" si="359"/>
        <v>48977.881936844598</v>
      </c>
      <c r="P387" s="49" t="str">
        <f t="shared" si="309"/>
        <v>27.9103246607183</v>
      </c>
      <c r="Q387" s="18" t="str">
        <f t="shared" si="310"/>
        <v>1+151.167149741731i</v>
      </c>
      <c r="R387" s="18">
        <f t="shared" si="322"/>
        <v>151.17045730247338</v>
      </c>
      <c r="S387" s="18">
        <f t="shared" si="323"/>
        <v>1.5641812294330588</v>
      </c>
      <c r="T387" s="18" t="str">
        <f t="shared" si="311"/>
        <v>1+0.135404327591438i</v>
      </c>
      <c r="U387" s="18">
        <f t="shared" si="324"/>
        <v>1.0091255283315794</v>
      </c>
      <c r="V387" s="18">
        <f t="shared" si="325"/>
        <v>0.13458579726074463</v>
      </c>
      <c r="W387" s="32" t="str">
        <f t="shared" si="312"/>
        <v>1-1.78563507205319i</v>
      </c>
      <c r="X387" s="18">
        <f t="shared" si="326"/>
        <v>2.0465807119550408</v>
      </c>
      <c r="Y387" s="18">
        <f t="shared" si="327"/>
        <v>-1.0602890933045617</v>
      </c>
      <c r="Z387" s="32" t="str">
        <f t="shared" si="313"/>
        <v>0.950437336383895+0.816552440408074i</v>
      </c>
      <c r="AA387" s="18">
        <f t="shared" si="328"/>
        <v>1.253031930291042</v>
      </c>
      <c r="AB387" s="18">
        <f t="shared" si="329"/>
        <v>0.70977262148086406</v>
      </c>
      <c r="AC387" s="67" t="str">
        <f t="shared" si="330"/>
        <v>-0.303792727206198+0.0176594214166981i</v>
      </c>
      <c r="AD387" s="65">
        <f t="shared" si="331"/>
        <v>-10.333802136998177</v>
      </c>
      <c r="AE387" s="62">
        <f t="shared" si="332"/>
        <v>176.67314959045129</v>
      </c>
      <c r="AF387" s="50" t="str">
        <f t="shared" si="314"/>
        <v>79.1527877025864</v>
      </c>
      <c r="AG387" s="50" t="str">
        <f t="shared" si="315"/>
        <v>1+149.986332101284i</v>
      </c>
      <c r="AH387" s="50">
        <f t="shared" si="333"/>
        <v>149.98966570132976</v>
      </c>
      <c r="AI387" s="50">
        <f t="shared" si="334"/>
        <v>1.5641291514005087</v>
      </c>
      <c r="AJ387" s="50" t="str">
        <f t="shared" si="316"/>
        <v>1+0.135404327591438i</v>
      </c>
      <c r="AK387" s="50">
        <f t="shared" si="335"/>
        <v>1.0091255283315794</v>
      </c>
      <c r="AL387" s="50">
        <f t="shared" si="336"/>
        <v>0.13458579726074463</v>
      </c>
      <c r="AM387" s="50" t="str">
        <f t="shared" si="317"/>
        <v>1-0.624719353641764i</v>
      </c>
      <c r="AN387" s="50">
        <f t="shared" si="337"/>
        <v>1.1790989232522364</v>
      </c>
      <c r="AO387" s="50">
        <f t="shared" si="338"/>
        <v>-0.5583974767762192</v>
      </c>
      <c r="AP387" s="59" t="str">
        <f t="shared" si="339"/>
        <v>-0.254400367954558-0.574070301925778i</v>
      </c>
      <c r="AQ387" s="50">
        <f t="shared" si="340"/>
        <v>-4.0419937305669205</v>
      </c>
      <c r="AR387" s="62">
        <f t="shared" si="341"/>
        <v>-113.9006195332158</v>
      </c>
      <c r="AS387" s="32" t="str">
        <f t="shared" si="318"/>
        <v>-0.0000166666666666667</v>
      </c>
      <c r="AT387" s="32" t="str">
        <f t="shared" si="319"/>
        <v>0.00104630616775202i</v>
      </c>
      <c r="AU387" s="32">
        <f t="shared" si="342"/>
        <v>1.0463061677520201E-3</v>
      </c>
      <c r="AV387" s="32">
        <f t="shared" si="343"/>
        <v>1.5707963267948966</v>
      </c>
      <c r="AW387" s="32" t="str">
        <f t="shared" si="320"/>
        <v>1+1.06332221961511i</v>
      </c>
      <c r="AX387" s="32">
        <f t="shared" si="344"/>
        <v>1.4596760403347053</v>
      </c>
      <c r="AY387" s="32">
        <f t="shared" si="345"/>
        <v>0.81607798179594926</v>
      </c>
      <c r="AZ387" s="32" t="str">
        <f t="shared" si="321"/>
        <v>1+36.1529554669138i</v>
      </c>
      <c r="BA387" s="32">
        <f t="shared" si="346"/>
        <v>36.166782950556332</v>
      </c>
      <c r="BB387" s="32">
        <f t="shared" si="347"/>
        <v>1.5431431218444873</v>
      </c>
      <c r="BC387" s="59" t="str">
        <f t="shared" si="348"/>
        <v>-0.262334756950632+0.294875429297469i</v>
      </c>
      <c r="BD387" s="50">
        <f t="shared" si="349"/>
        <v>-8.0751327075584616</v>
      </c>
      <c r="BE387" s="62">
        <f t="shared" si="350"/>
        <v>131.65776395586926</v>
      </c>
      <c r="BF387" s="59" t="str">
        <f t="shared" si="351"/>
        <v>0.0744880617836138-0.0942136908776148i</v>
      </c>
      <c r="BG387" s="65">
        <f t="shared" si="352"/>
        <v>-18.40893484455664</v>
      </c>
      <c r="BH387" s="62">
        <f t="shared" si="353"/>
        <v>-51.669086453679476</v>
      </c>
      <c r="BI387" s="59" t="str">
        <f t="shared" si="357"/>
        <v>0.236017285422802+0.0755821754142405i</v>
      </c>
      <c r="BJ387" s="65">
        <f t="shared" si="354"/>
        <v>-12.117126438125377</v>
      </c>
      <c r="BK387" s="62">
        <f t="shared" si="358"/>
        <v>17.757144422653422</v>
      </c>
      <c r="BL387" s="50">
        <f t="shared" si="355"/>
        <v>-18.40893484455664</v>
      </c>
      <c r="BM387" s="62">
        <f t="shared" si="356"/>
        <v>-51.669086453679476</v>
      </c>
    </row>
    <row r="388" spans="14:65" x14ac:dyDescent="0.3">
      <c r="N388" s="11">
        <v>70</v>
      </c>
      <c r="O388" s="51">
        <f t="shared" si="359"/>
        <v>50118.723362727294</v>
      </c>
      <c r="P388" s="49" t="str">
        <f t="shared" si="309"/>
        <v>27.9103246607183</v>
      </c>
      <c r="Q388" s="18" t="str">
        <f t="shared" si="310"/>
        <v>1+154.688284993769i</v>
      </c>
      <c r="R388" s="18">
        <f t="shared" si="322"/>
        <v>154.6915172668285</v>
      </c>
      <c r="S388" s="18">
        <f t="shared" si="323"/>
        <v>1.5643318031887319</v>
      </c>
      <c r="T388" s="18" t="str">
        <f t="shared" si="311"/>
        <v>1+0.138558299548806i</v>
      </c>
      <c r="U388" s="18">
        <f t="shared" si="324"/>
        <v>1.0095535658764505</v>
      </c>
      <c r="V388" s="18">
        <f t="shared" si="325"/>
        <v>0.13768167614020466</v>
      </c>
      <c r="W388" s="32" t="str">
        <f t="shared" si="312"/>
        <v>1-1.82722785600277i</v>
      </c>
      <c r="X388" s="18">
        <f t="shared" si="326"/>
        <v>2.0829694279447502</v>
      </c>
      <c r="Y388" s="18">
        <f t="shared" si="327"/>
        <v>-1.0700460214858929</v>
      </c>
      <c r="Z388" s="32" t="str">
        <f t="shared" si="313"/>
        <v>0.948101520010133+0.835572390099332i</v>
      </c>
      <c r="AA388" s="18">
        <f t="shared" si="328"/>
        <v>1.2637554001237086</v>
      </c>
      <c r="AB388" s="18">
        <f t="shared" si="329"/>
        <v>0.72239326621911792</v>
      </c>
      <c r="AC388" s="67" t="str">
        <f t="shared" si="330"/>
        <v>-0.299324446854327+0.02324322479276i</v>
      </c>
      <c r="AD388" s="65">
        <f t="shared" si="331"/>
        <v>-10.451047446194208</v>
      </c>
      <c r="AE388" s="62">
        <f t="shared" si="332"/>
        <v>175.55976265938403</v>
      </c>
      <c r="AF388" s="50" t="str">
        <f t="shared" si="314"/>
        <v>79.1527877025864</v>
      </c>
      <c r="AG388" s="50" t="str">
        <f t="shared" si="315"/>
        <v>1+153.479962577139i</v>
      </c>
      <c r="AH388" s="50">
        <f t="shared" si="333"/>
        <v>153.48322029681285</v>
      </c>
      <c r="AI388" s="50">
        <f t="shared" si="334"/>
        <v>1.5642809104959068</v>
      </c>
      <c r="AJ388" s="50" t="str">
        <f t="shared" si="316"/>
        <v>1+0.138558299548806i</v>
      </c>
      <c r="AK388" s="50">
        <f t="shared" si="335"/>
        <v>1.0095535658764505</v>
      </c>
      <c r="AL388" s="50">
        <f t="shared" si="336"/>
        <v>0.13768167614020466</v>
      </c>
      <c r="AM388" s="50" t="str">
        <f t="shared" si="317"/>
        <v>1-0.63927093672378i</v>
      </c>
      <c r="AN388" s="50">
        <f t="shared" si="337"/>
        <v>1.1868729209733024</v>
      </c>
      <c r="AO388" s="50">
        <f t="shared" si="338"/>
        <v>-0.56879580700386623</v>
      </c>
      <c r="AP388" s="59" t="str">
        <f t="shared" si="339"/>
        <v>-0.254559230702998-0.563059868351485i</v>
      </c>
      <c r="AQ388" s="50">
        <f t="shared" si="340"/>
        <v>-4.1812219859183388</v>
      </c>
      <c r="AR388" s="62">
        <f t="shared" si="341"/>
        <v>-114.32771433123563</v>
      </c>
      <c r="AS388" s="32" t="str">
        <f t="shared" si="318"/>
        <v>-0.0000166666666666667</v>
      </c>
      <c r="AT388" s="32" t="str">
        <f t="shared" si="319"/>
        <v>0.00107067776924077i</v>
      </c>
      <c r="AU388" s="32">
        <f t="shared" si="342"/>
        <v>1.07067776924077E-3</v>
      </c>
      <c r="AV388" s="32">
        <f t="shared" si="343"/>
        <v>1.5707963267948966</v>
      </c>
      <c r="AW388" s="32" t="str">
        <f t="shared" si="320"/>
        <v>1+1.08809017586856i</v>
      </c>
      <c r="AX388" s="32">
        <f t="shared" si="344"/>
        <v>1.4778160341604341</v>
      </c>
      <c r="AY388" s="32">
        <f t="shared" si="345"/>
        <v>0.82756012241125521</v>
      </c>
      <c r="AZ388" s="32" t="str">
        <f t="shared" si="321"/>
        <v>1+36.9950659795311i</v>
      </c>
      <c r="BA388" s="32">
        <f t="shared" si="346"/>
        <v>37.00857882748079</v>
      </c>
      <c r="BB388" s="32">
        <f t="shared" si="347"/>
        <v>1.54377227565286</v>
      </c>
      <c r="BC388" s="59" t="str">
        <f t="shared" si="348"/>
        <v>-0.255934035551837+0.294045773489264i</v>
      </c>
      <c r="BD388" s="50">
        <f t="shared" si="349"/>
        <v>-8.1825600416748117</v>
      </c>
      <c r="BE388" s="62">
        <f t="shared" si="350"/>
        <v>131.03593361672094</v>
      </c>
      <c r="BF388" s="59" t="str">
        <f t="shared" si="351"/>
        <v>0.0697727416101773-0.0939638208199763i</v>
      </c>
      <c r="BG388" s="65">
        <f t="shared" si="352"/>
        <v>-18.633607487869018</v>
      </c>
      <c r="BH388" s="62">
        <f t="shared" si="353"/>
        <v>-53.404303723895048</v>
      </c>
      <c r="BI388" s="59" t="str">
        <f t="shared" si="357"/>
        <v>0.230715745710965+0.0692541184735866i</v>
      </c>
      <c r="BJ388" s="65">
        <f t="shared" si="354"/>
        <v>-12.36378202759315</v>
      </c>
      <c r="BK388" s="62">
        <f t="shared" si="358"/>
        <v>16.708219285485306</v>
      </c>
      <c r="BL388" s="50">
        <f t="shared" si="355"/>
        <v>-18.633607487869018</v>
      </c>
      <c r="BM388" s="62">
        <f t="shared" si="356"/>
        <v>-53.404303723895048</v>
      </c>
    </row>
    <row r="389" spans="14:65" x14ac:dyDescent="0.3">
      <c r="N389" s="11">
        <v>71</v>
      </c>
      <c r="O389" s="51">
        <f t="shared" si="359"/>
        <v>51286.138399136544</v>
      </c>
      <c r="P389" s="49" t="str">
        <f t="shared" si="309"/>
        <v>27.9103246607183</v>
      </c>
      <c r="Q389" s="18" t="str">
        <f t="shared" si="310"/>
        <v>1+158.291438022052i</v>
      </c>
      <c r="R389" s="18">
        <f t="shared" si="322"/>
        <v>158.2945967210793</v>
      </c>
      <c r="S389" s="18">
        <f t="shared" si="323"/>
        <v>1.5644789497505296</v>
      </c>
      <c r="T389" s="18" t="str">
        <f t="shared" si="311"/>
        <v>1+0.141785736950631i</v>
      </c>
      <c r="U389" s="18">
        <f t="shared" si="324"/>
        <v>1.0100015817822434</v>
      </c>
      <c r="V389" s="18">
        <f t="shared" si="325"/>
        <v>0.14084691968484259</v>
      </c>
      <c r="W389" s="32" t="str">
        <f t="shared" si="312"/>
        <v>1-1.86978946034783i</v>
      </c>
      <c r="X389" s="18">
        <f t="shared" si="326"/>
        <v>2.1204038827609777</v>
      </c>
      <c r="Y389" s="18">
        <f t="shared" si="327"/>
        <v>-1.0796826080131829</v>
      </c>
      <c r="Z389" s="32" t="str">
        <f t="shared" si="313"/>
        <v>0.945655620002161+0.855035371331929i</v>
      </c>
      <c r="AA389" s="18">
        <f t="shared" si="328"/>
        <v>1.2748921671539133</v>
      </c>
      <c r="AB389" s="18">
        <f t="shared" si="329"/>
        <v>0.73511532055390294</v>
      </c>
      <c r="AC389" s="67" t="str">
        <f t="shared" si="330"/>
        <v>-0.294799341164765+0.0286371443315072i</v>
      </c>
      <c r="AD389" s="65">
        <f t="shared" si="331"/>
        <v>-10.568680210399712</v>
      </c>
      <c r="AE389" s="62">
        <f t="shared" si="332"/>
        <v>174.45163112161634</v>
      </c>
      <c r="AF389" s="50" t="str">
        <f t="shared" si="314"/>
        <v>79.1527877025864</v>
      </c>
      <c r="AG389" s="50" t="str">
        <f t="shared" si="315"/>
        <v>1+157.054970160699i</v>
      </c>
      <c r="AH389" s="50">
        <f t="shared" si="333"/>
        <v>157.05815372714036</v>
      </c>
      <c r="AI389" s="50">
        <f t="shared" si="334"/>
        <v>1.5644292154225459</v>
      </c>
      <c r="AJ389" s="50" t="str">
        <f t="shared" si="316"/>
        <v>1+0.141785736950631i</v>
      </c>
      <c r="AK389" s="50">
        <f t="shared" si="335"/>
        <v>1.0100015817822434</v>
      </c>
      <c r="AL389" s="50">
        <f t="shared" si="336"/>
        <v>0.14084691968484259</v>
      </c>
      <c r="AM389" s="50" t="str">
        <f t="shared" si="317"/>
        <v>1-0.654161469718199i</v>
      </c>
      <c r="AN389" s="50">
        <f t="shared" si="337"/>
        <v>1.1949590907072403</v>
      </c>
      <c r="AO389" s="50">
        <f t="shared" si="338"/>
        <v>-0.57929512195415245</v>
      </c>
      <c r="AP389" s="59" t="str">
        <f t="shared" si="339"/>
        <v>-0.25471094404333-0.552347883379662i</v>
      </c>
      <c r="AQ389" s="50">
        <f t="shared" si="340"/>
        <v>-4.3183836282397534</v>
      </c>
      <c r="AR389" s="62">
        <f t="shared" si="341"/>
        <v>-114.75642291580417</v>
      </c>
      <c r="AS389" s="32" t="str">
        <f t="shared" si="318"/>
        <v>-0.0000166666666666667</v>
      </c>
      <c r="AT389" s="32" t="str">
        <f t="shared" si="319"/>
        <v>0.00109561705825487i</v>
      </c>
      <c r="AU389" s="32">
        <f t="shared" si="342"/>
        <v>1.09561705825487E-3</v>
      </c>
      <c r="AV389" s="32">
        <f t="shared" si="343"/>
        <v>1.5707963267948966</v>
      </c>
      <c r="AW389" s="32" t="str">
        <f t="shared" si="320"/>
        <v>1+1.11343505193584i</v>
      </c>
      <c r="AX389" s="32">
        <f t="shared" si="344"/>
        <v>1.4965752954259826</v>
      </c>
      <c r="AY389" s="32">
        <f t="shared" si="345"/>
        <v>0.83902001987188424</v>
      </c>
      <c r="AZ389" s="32" t="str">
        <f t="shared" si="321"/>
        <v>1+37.8567917658184i</v>
      </c>
      <c r="BA389" s="32">
        <f t="shared" si="346"/>
        <v>37.869997132301663</v>
      </c>
      <c r="BB389" s="32">
        <f t="shared" si="347"/>
        <v>1.5443871288506481</v>
      </c>
      <c r="BC389" s="59" t="str">
        <f t="shared" si="348"/>
        <v>-0.249558087949651+0.293078850377646i</v>
      </c>
      <c r="BD389" s="50">
        <f t="shared" si="349"/>
        <v>-8.2922667084295796</v>
      </c>
      <c r="BE389" s="62">
        <f t="shared" si="350"/>
        <v>130.41455835182765</v>
      </c>
      <c r="BF389" s="59" t="str">
        <f t="shared" si="351"/>
        <v>0.0651766185711188-0.0935460829843659i</v>
      </c>
      <c r="BG389" s="65">
        <f t="shared" si="352"/>
        <v>-18.860946918829292</v>
      </c>
      <c r="BH389" s="62">
        <f t="shared" si="353"/>
        <v>-55.133810526555976</v>
      </c>
      <c r="BI389" s="59" t="str">
        <f t="shared" si="357"/>
        <v>0.225446658844741+0.0631924910004412i</v>
      </c>
      <c r="BJ389" s="65">
        <f t="shared" si="354"/>
        <v>-12.610650336669346</v>
      </c>
      <c r="BK389" s="62">
        <f t="shared" si="358"/>
        <v>15.658135436023517</v>
      </c>
      <c r="BL389" s="50">
        <f t="shared" si="355"/>
        <v>-18.860946918829292</v>
      </c>
      <c r="BM389" s="62">
        <f t="shared" si="356"/>
        <v>-55.133810526555976</v>
      </c>
    </row>
    <row r="390" spans="14:65" x14ac:dyDescent="0.3">
      <c r="N390" s="11">
        <v>72</v>
      </c>
      <c r="O390" s="51">
        <f t="shared" si="359"/>
        <v>52480.746024977314</v>
      </c>
      <c r="P390" s="49" t="str">
        <f t="shared" si="309"/>
        <v>27.9103246607183</v>
      </c>
      <c r="Q390" s="18" t="str">
        <f t="shared" si="310"/>
        <v>1+161.978519266009i</v>
      </c>
      <c r="R390" s="18">
        <f t="shared" si="322"/>
        <v>161.9816060656544</v>
      </c>
      <c r="S390" s="18">
        <f t="shared" si="323"/>
        <v>1.5646227471120038</v>
      </c>
      <c r="T390" s="18" t="str">
        <f t="shared" si="311"/>
        <v>1+0.145088351026943i</v>
      </c>
      <c r="U390" s="18">
        <f t="shared" si="324"/>
        <v>1.0104704991258862</v>
      </c>
      <c r="V390" s="18">
        <f t="shared" si="325"/>
        <v>0.14408295232096086</v>
      </c>
      <c r="W390" s="32" t="str">
        <f t="shared" si="312"/>
        <v>1-1.91334245181434i</v>
      </c>
      <c r="X390" s="18">
        <f t="shared" si="326"/>
        <v>2.1589069775965131</v>
      </c>
      <c r="Y390" s="18">
        <f t="shared" si="327"/>
        <v>-1.0891968024243361</v>
      </c>
      <c r="Z390" s="32" t="str">
        <f t="shared" si="313"/>
        <v>0.943094448278137+0.874951703636134i</v>
      </c>
      <c r="AA390" s="18">
        <f t="shared" si="328"/>
        <v>1.2864554489249975</v>
      </c>
      <c r="AB390" s="18">
        <f t="shared" si="329"/>
        <v>0.7479343941927068</v>
      </c>
      <c r="AC390" s="67" t="str">
        <f t="shared" si="330"/>
        <v>-0.290221465004295+0.0338405532036388i</v>
      </c>
      <c r="AD390" s="65">
        <f t="shared" si="331"/>
        <v>-10.686759889688487</v>
      </c>
      <c r="AE390" s="62">
        <f t="shared" si="332"/>
        <v>173.34920115011786</v>
      </c>
      <c r="AF390" s="50" t="str">
        <f t="shared" si="314"/>
        <v>79.1527877025864</v>
      </c>
      <c r="AG390" s="50" t="str">
        <f t="shared" si="315"/>
        <v>1+160.713250368306i</v>
      </c>
      <c r="AH390" s="50">
        <f t="shared" si="333"/>
        <v>160.71636146934702</v>
      </c>
      <c r="AI390" s="50">
        <f t="shared" si="334"/>
        <v>1.564574144787551</v>
      </c>
      <c r="AJ390" s="50" t="str">
        <f t="shared" si="316"/>
        <v>1+0.145088351026943i</v>
      </c>
      <c r="AK390" s="50">
        <f t="shared" si="335"/>
        <v>1.0104704991258862</v>
      </c>
      <c r="AL390" s="50">
        <f t="shared" si="336"/>
        <v>0.14408295232096086</v>
      </c>
      <c r="AM390" s="50" t="str">
        <f t="shared" si="317"/>
        <v>1-0.669398847782711i</v>
      </c>
      <c r="AN390" s="50">
        <f t="shared" si="337"/>
        <v>1.2033681138424854</v>
      </c>
      <c r="AO390" s="50">
        <f t="shared" si="338"/>
        <v>-0.58989172910092369</v>
      </c>
      <c r="AP390" s="59" t="str">
        <f t="shared" si="339"/>
        <v>-0.254855829699718-0.541928673593797i</v>
      </c>
      <c r="AQ390" s="50">
        <f t="shared" si="340"/>
        <v>-4.4534347662651168</v>
      </c>
      <c r="AR390" s="62">
        <f t="shared" si="341"/>
        <v>-115.18645661099855</v>
      </c>
      <c r="AS390" s="32" t="str">
        <f t="shared" si="318"/>
        <v>-0.0000166666666666667</v>
      </c>
      <c r="AT390" s="32" t="str">
        <f t="shared" si="319"/>
        <v>0.00112113725793547i</v>
      </c>
      <c r="AU390" s="32">
        <f t="shared" si="342"/>
        <v>1.12113725793547E-3</v>
      </c>
      <c r="AV390" s="32">
        <f t="shared" si="343"/>
        <v>1.5707963267948966</v>
      </c>
      <c r="AW390" s="32" t="str">
        <f t="shared" si="320"/>
        <v>1+1.1393702860057i</v>
      </c>
      <c r="AX390" s="32">
        <f t="shared" si="344"/>
        <v>1.5159698706216791</v>
      </c>
      <c r="AY390" s="32">
        <f t="shared" si="345"/>
        <v>0.85045171119966101</v>
      </c>
      <c r="AZ390" s="32" t="str">
        <f t="shared" si="321"/>
        <v>1+38.7385897241937i</v>
      </c>
      <c r="BA390" s="32">
        <f t="shared" si="346"/>
        <v>38.75149460110417</v>
      </c>
      <c r="BB390" s="32">
        <f t="shared" si="347"/>
        <v>1.5449880055805558</v>
      </c>
      <c r="BC390" s="59" t="str">
        <f t="shared" si="348"/>
        <v>-0.24321348647093+0.291976077098242i</v>
      </c>
      <c r="BD390" s="50">
        <f t="shared" si="349"/>
        <v>-8.4042429660570175</v>
      </c>
      <c r="BE390" s="62">
        <f t="shared" si="350"/>
        <v>129.79399838668104</v>
      </c>
      <c r="BF390" s="59" t="str">
        <f t="shared" si="351"/>
        <v>0.0607051423811628-0.0929682037704208i</v>
      </c>
      <c r="BG390" s="65">
        <f t="shared" si="352"/>
        <v>-19.091002855745501</v>
      </c>
      <c r="BH390" s="62">
        <f t="shared" si="353"/>
        <v>-56.856800463201083</v>
      </c>
      <c r="BI390" s="59" t="str">
        <f t="shared" si="357"/>
        <v>0.220214583071681+0.0573925567419727i</v>
      </c>
      <c r="BJ390" s="65">
        <f t="shared" si="354"/>
        <v>-12.857677732322115</v>
      </c>
      <c r="BK390" s="62">
        <f t="shared" si="358"/>
        <v>14.60754177568249</v>
      </c>
      <c r="BL390" s="50">
        <f t="shared" si="355"/>
        <v>-19.091002855745501</v>
      </c>
      <c r="BM390" s="62">
        <f t="shared" si="356"/>
        <v>-56.856800463201083</v>
      </c>
    </row>
    <row r="391" spans="14:65" x14ac:dyDescent="0.3">
      <c r="N391" s="11">
        <v>73</v>
      </c>
      <c r="O391" s="51">
        <f t="shared" si="359"/>
        <v>53703.179637025423</v>
      </c>
      <c r="P391" s="49" t="str">
        <f t="shared" si="309"/>
        <v>27.9103246607183</v>
      </c>
      <c r="Q391" s="18" t="str">
        <f t="shared" si="310"/>
        <v>1+165.751483664921i</v>
      </c>
      <c r="R391" s="18">
        <f t="shared" si="322"/>
        <v>165.75450020172178</v>
      </c>
      <c r="S391" s="18">
        <f t="shared" si="323"/>
        <v>1.5647632714926183</v>
      </c>
      <c r="T391" s="18" t="str">
        <f t="shared" si="311"/>
        <v>1+0.148467892867441i</v>
      </c>
      <c r="U391" s="18">
        <f t="shared" si="324"/>
        <v>1.0109612827465244</v>
      </c>
      <c r="V391" s="18">
        <f t="shared" si="325"/>
        <v>0.14739121859488905</v>
      </c>
      <c r="W391" s="32" t="str">
        <f t="shared" si="312"/>
        <v>1-1.95790992277489i</v>
      </c>
      <c r="X391" s="18">
        <f t="shared" si="326"/>
        <v>2.1985020504198709</v>
      </c>
      <c r="Y391" s="18">
        <f t="shared" si="327"/>
        <v>-1.098586758641527</v>
      </c>
      <c r="Z391" s="32" t="str">
        <f t="shared" si="313"/>
        <v>0.94041257224945+0.895331946914965i</v>
      </c>
      <c r="AA391" s="18">
        <f t="shared" si="328"/>
        <v>1.2984587406657822</v>
      </c>
      <c r="AB391" s="18">
        <f t="shared" si="329"/>
        <v>0.76084596338191246</v>
      </c>
      <c r="AC391" s="67" t="str">
        <f t="shared" si="330"/>
        <v>-0.285595061658676+0.0388529773767689i</v>
      </c>
      <c r="AD391" s="65">
        <f t="shared" si="331"/>
        <v>-10.805343911391896</v>
      </c>
      <c r="AE391" s="62">
        <f t="shared" si="332"/>
        <v>172.25291610870138</v>
      </c>
      <c r="AF391" s="50" t="str">
        <f t="shared" si="314"/>
        <v>79.1527877025864</v>
      </c>
      <c r="AG391" s="50" t="str">
        <f t="shared" si="315"/>
        <v>1+164.45674286855i</v>
      </c>
      <c r="AH391" s="50">
        <f t="shared" si="333"/>
        <v>164.45978315360986</v>
      </c>
      <c r="AI391" s="50">
        <f t="shared" si="334"/>
        <v>1.5647157754100225</v>
      </c>
      <c r="AJ391" s="50" t="str">
        <f t="shared" si="316"/>
        <v>1+0.148467892867441i</v>
      </c>
      <c r="AK391" s="50">
        <f t="shared" si="335"/>
        <v>1.0109612827465244</v>
      </c>
      <c r="AL391" s="50">
        <f t="shared" si="336"/>
        <v>0.14739121859488905</v>
      </c>
      <c r="AM391" s="50" t="str">
        <f t="shared" si="317"/>
        <v>1-0.684991149976861i</v>
      </c>
      <c r="AN391" s="50">
        <f t="shared" si="337"/>
        <v>1.2121109171798687</v>
      </c>
      <c r="AO391" s="50">
        <f t="shared" si="338"/>
        <v>-0.60058172780112806</v>
      </c>
      <c r="AP391" s="59" t="str">
        <f t="shared" si="339"/>
        <v>-0.254994194920943-0.531796720395574i</v>
      </c>
      <c r="AQ391" s="50">
        <f t="shared" si="340"/>
        <v>-4.5863322386084269</v>
      </c>
      <c r="AR391" s="62">
        <f t="shared" si="341"/>
        <v>-115.61751356143644</v>
      </c>
      <c r="AS391" s="32" t="str">
        <f t="shared" si="318"/>
        <v>-0.0000166666666666667</v>
      </c>
      <c r="AT391" s="32" t="str">
        <f t="shared" si="319"/>
        <v>0.00114725189943023i</v>
      </c>
      <c r="AU391" s="32">
        <f t="shared" si="342"/>
        <v>1.1472518994302299E-3</v>
      </c>
      <c r="AV391" s="32">
        <f t="shared" si="343"/>
        <v>1.5707963267948966</v>
      </c>
      <c r="AW391" s="32" t="str">
        <f t="shared" si="320"/>
        <v>1+1.16590962928255i</v>
      </c>
      <c r="AX391" s="32">
        <f t="shared" si="344"/>
        <v>1.5360160362619175</v>
      </c>
      <c r="AY391" s="32">
        <f t="shared" si="345"/>
        <v>0.86184930709963359</v>
      </c>
      <c r="AZ391" s="32" t="str">
        <f t="shared" si="321"/>
        <v>1+39.6409273956067i</v>
      </c>
      <c r="BA391" s="32">
        <f t="shared" si="346"/>
        <v>39.653538616165918</v>
      </c>
      <c r="BB391" s="32">
        <f t="shared" si="347"/>
        <v>1.5455752226987991</v>
      </c>
      <c r="BC391" s="59" t="str">
        <f t="shared" si="348"/>
        <v>-0.236906672918484+0.290739240425762i</v>
      </c>
      <c r="BD391" s="50">
        <f t="shared" si="349"/>
        <v>-8.5184767301134929</v>
      </c>
      <c r="BE391" s="62">
        <f t="shared" si="350"/>
        <v>129.17460930755013</v>
      </c>
      <c r="BF391" s="59" t="str">
        <f t="shared" si="351"/>
        <v>0.0563632907287051-0.0922382208992996i</v>
      </c>
      <c r="BG391" s="65">
        <f t="shared" si="352"/>
        <v>-19.323820641505385</v>
      </c>
      <c r="BH391" s="62">
        <f t="shared" si="353"/>
        <v>-58.572474583748502</v>
      </c>
      <c r="BI391" s="59" t="str">
        <f t="shared" si="357"/>
        <v>0.215024000880969+0.0518493731535831i</v>
      </c>
      <c r="BJ391" s="65">
        <f t="shared" si="354"/>
        <v>-13.104808968721898</v>
      </c>
      <c r="BK391" s="62">
        <f t="shared" si="358"/>
        <v>13.557095746113683</v>
      </c>
      <c r="BL391" s="50">
        <f t="shared" si="355"/>
        <v>-19.323820641505385</v>
      </c>
      <c r="BM391" s="62">
        <f t="shared" si="356"/>
        <v>-58.572474583748502</v>
      </c>
    </row>
    <row r="392" spans="14:65" x14ac:dyDescent="0.3">
      <c r="N392" s="11">
        <v>74</v>
      </c>
      <c r="O392" s="51">
        <f t="shared" si="359"/>
        <v>54954.087385762505</v>
      </c>
      <c r="P392" s="49" t="str">
        <f t="shared" si="309"/>
        <v>27.9103246607183</v>
      </c>
      <c r="Q392" s="18" t="str">
        <f t="shared" si="310"/>
        <v>1+169.612331694451i</v>
      </c>
      <c r="R392" s="18">
        <f t="shared" si="322"/>
        <v>169.61527956769834</v>
      </c>
      <c r="S392" s="18">
        <f t="shared" si="323"/>
        <v>1.5649005973780474</v>
      </c>
      <c r="T392" s="18" t="str">
        <f t="shared" si="311"/>
        <v>1+0.151926154349942i</v>
      </c>
      <c r="U392" s="18">
        <f t="shared" si="324"/>
        <v>1.011474941051711</v>
      </c>
      <c r="V392" s="18">
        <f t="shared" si="325"/>
        <v>0.15077318278075932</v>
      </c>
      <c r="W392" s="32" t="str">
        <f t="shared" si="312"/>
        <v>1-2.0035155034925i</v>
      </c>
      <c r="X392" s="18">
        <f t="shared" si="326"/>
        <v>2.239212891338116</v>
      </c>
      <c r="Y392" s="18">
        <f t="shared" si="327"/>
        <v>-1.1078508310643946</v>
      </c>
      <c r="Z392" s="32" t="str">
        <f t="shared" si="313"/>
        <v>0.937604303297479+0.916186907043166i</v>
      </c>
      <c r="AA392" s="18">
        <f t="shared" si="328"/>
        <v>1.3109158165951289</v>
      </c>
      <c r="AB392" s="18">
        <f t="shared" si="329"/>
        <v>0.77384538264756453</v>
      </c>
      <c r="AC392" s="67" t="str">
        <f t="shared" si="330"/>
        <v>-0.280924549785223+0.0436741123969971i</v>
      </c>
      <c r="AD392" s="65">
        <f t="shared" si="331"/>
        <v>-10.924487481701723</v>
      </c>
      <c r="AE392" s="62">
        <f t="shared" si="332"/>
        <v>171.1632160783864</v>
      </c>
      <c r="AF392" s="50" t="str">
        <f t="shared" si="314"/>
        <v>79.1527877025864</v>
      </c>
      <c r="AG392" s="50" t="str">
        <f t="shared" si="315"/>
        <v>1+168.287432510705i</v>
      </c>
      <c r="AH392" s="50">
        <f t="shared" si="333"/>
        <v>168.29040359166382</v>
      </c>
      <c r="AI392" s="50">
        <f t="shared" si="334"/>
        <v>1.5648541823616502</v>
      </c>
      <c r="AJ392" s="50" t="str">
        <f t="shared" si="316"/>
        <v>1+0.151926154349942i</v>
      </c>
      <c r="AK392" s="50">
        <f t="shared" si="335"/>
        <v>1.011474941051711</v>
      </c>
      <c r="AL392" s="50">
        <f t="shared" si="336"/>
        <v>0.15077318278075932</v>
      </c>
      <c r="AM392" s="50" t="str">
        <f t="shared" si="317"/>
        <v>1-0.700946643545655i</v>
      </c>
      <c r="AN392" s="50">
        <f t="shared" si="337"/>
        <v>1.2211986722470343</v>
      </c>
      <c r="AO392" s="50">
        <f t="shared" si="338"/>
        <v>-0.61136101311609026</v>
      </c>
      <c r="AP392" s="59" t="str">
        <f t="shared" si="339"/>
        <v>-0.255126333131505-0.521946657106541i</v>
      </c>
      <c r="AQ392" s="50">
        <f t="shared" si="340"/>
        <v>-4.7170337153817306</v>
      </c>
      <c r="AR392" s="62">
        <f t="shared" si="341"/>
        <v>-116.04927897601988</v>
      </c>
      <c r="AS392" s="32" t="str">
        <f t="shared" si="318"/>
        <v>-0.0000166666666666667</v>
      </c>
      <c r="AT392" s="32" t="str">
        <f t="shared" si="319"/>
        <v>0.00117397482906773i</v>
      </c>
      <c r="AU392" s="32">
        <f t="shared" si="342"/>
        <v>1.17397482906773E-3</v>
      </c>
      <c r="AV392" s="32">
        <f t="shared" si="343"/>
        <v>1.5707963267948966</v>
      </c>
      <c r="AW392" s="32" t="str">
        <f t="shared" si="320"/>
        <v>1+1.19306715327748i</v>
      </c>
      <c r="AX392" s="32">
        <f t="shared" si="344"/>
        <v>1.5567303016995686</v>
      </c>
      <c r="AY392" s="32">
        <f t="shared" si="345"/>
        <v>0.87320700676296159</v>
      </c>
      <c r="AZ392" s="32" t="str">
        <f t="shared" si="321"/>
        <v>1+40.5642832114345i</v>
      </c>
      <c r="BA392" s="32">
        <f t="shared" si="346"/>
        <v>40.576607453771523</v>
      </c>
      <c r="BB392" s="32">
        <f t="shared" si="347"/>
        <v>1.5461490899348469</v>
      </c>
      <c r="BC392" s="59" t="str">
        <f t="shared" si="348"/>
        <v>-0.230643933036417+0.289370484265162i</v>
      </c>
      <c r="BD392" s="50">
        <f t="shared" si="349"/>
        <v>-8.6349536253942887</v>
      </c>
      <c r="BE392" s="62">
        <f t="shared" si="350"/>
        <v>128.55674122249079</v>
      </c>
      <c r="BF392" s="59" t="str">
        <f t="shared" si="351"/>
        <v>0.0521555439947784-0.0913644420684405i</v>
      </c>
      <c r="BG392" s="65">
        <f t="shared" si="352"/>
        <v>-19.559441107096017</v>
      </c>
      <c r="BH392" s="62">
        <f t="shared" si="353"/>
        <v>-60.280042699122795</v>
      </c>
      <c r="BI392" s="59" t="str">
        <f t="shared" si="357"/>
        <v>0.209879297822112+0.0465577992632041i</v>
      </c>
      <c r="BJ392" s="65">
        <f t="shared" si="354"/>
        <v>-13.351987340776006</v>
      </c>
      <c r="BK392" s="62">
        <f t="shared" si="358"/>
        <v>12.507462246470878</v>
      </c>
      <c r="BL392" s="50">
        <f t="shared" si="355"/>
        <v>-19.559441107096017</v>
      </c>
      <c r="BM392" s="62">
        <f t="shared" si="356"/>
        <v>-60.280042699122795</v>
      </c>
    </row>
    <row r="393" spans="14:65" x14ac:dyDescent="0.3">
      <c r="N393" s="11">
        <v>75</v>
      </c>
      <c r="O393" s="51">
        <f t="shared" si="359"/>
        <v>56234.132519034953</v>
      </c>
      <c r="P393" s="49" t="str">
        <f t="shared" si="309"/>
        <v>27.9103246607183</v>
      </c>
      <c r="Q393" s="18" t="str">
        <f t="shared" si="310"/>
        <v>1+173.56311042733i</v>
      </c>
      <c r="R393" s="18">
        <f t="shared" si="322"/>
        <v>173.56599119991665</v>
      </c>
      <c r="S393" s="18">
        <f t="shared" si="323"/>
        <v>1.5650347975595631</v>
      </c>
      <c r="T393" s="18" t="str">
        <f t="shared" si="311"/>
        <v>1+0.15546496909046i</v>
      </c>
      <c r="U393" s="18">
        <f t="shared" si="324"/>
        <v>1.0120125278939474</v>
      </c>
      <c r="V393" s="18">
        <f t="shared" si="325"/>
        <v>0.15423032842603887</v>
      </c>
      <c r="W393" s="32" t="str">
        <f t="shared" si="312"/>
        <v>1-2.05018337464972i</v>
      </c>
      <c r="X393" s="18">
        <f t="shared" si="326"/>
        <v>2.2810637583570772</v>
      </c>
      <c r="Y393" s="18">
        <f t="shared" si="327"/>
        <v>-1.1169875701365224</v>
      </c>
      <c r="Z393" s="32" t="str">
        <f t="shared" si="313"/>
        <v>0.934663684707265+0.93752764159665i</v>
      </c>
      <c r="AA393" s="18">
        <f t="shared" si="328"/>
        <v>1.3238407314584102</v>
      </c>
      <c r="AB393" s="18">
        <f t="shared" si="329"/>
        <v>0.78692789735955904</v>
      </c>
      <c r="AC393" s="67" t="str">
        <f t="shared" si="330"/>
        <v>-0.276214508879761+0.0483038391223125i</v>
      </c>
      <c r="AD393" s="65">
        <f t="shared" si="331"/>
        <v>-11.044243408206185</v>
      </c>
      <c r="AE393" s="62">
        <f t="shared" si="332"/>
        <v>170.08053736325201</v>
      </c>
      <c r="AF393" s="50" t="str">
        <f t="shared" si="314"/>
        <v>79.1527877025864</v>
      </c>
      <c r="AG393" s="50" t="str">
        <f t="shared" si="315"/>
        <v>1+172.207350377124i</v>
      </c>
      <c r="AH393" s="50">
        <f t="shared" si="333"/>
        <v>172.21025382917691</v>
      </c>
      <c r="AI393" s="50">
        <f t="shared" si="334"/>
        <v>1.5649894390064085</v>
      </c>
      <c r="AJ393" s="50" t="str">
        <f t="shared" si="316"/>
        <v>1+0.15546496909046i</v>
      </c>
      <c r="AK393" s="50">
        <f t="shared" si="335"/>
        <v>1.0120125278939474</v>
      </c>
      <c r="AL393" s="50">
        <f t="shared" si="336"/>
        <v>0.15423032842603887</v>
      </c>
      <c r="AM393" s="50" t="str">
        <f t="shared" si="317"/>
        <v>1-0.717273788302984i</v>
      </c>
      <c r="AN393" s="50">
        <f t="shared" si="337"/>
        <v>1.2306427943910101</v>
      </c>
      <c r="AO393" s="50">
        <f t="shared" si="338"/>
        <v>-0.6222252806125681</v>
      </c>
      <c r="AP393" s="59" t="str">
        <f t="shared" si="339"/>
        <v>-0.255252524553449-0.51237326614847i</v>
      </c>
      <c r="AQ393" s="50">
        <f t="shared" si="340"/>
        <v>-4.8454977988278856</v>
      </c>
      <c r="AR393" s="62">
        <f t="shared" si="341"/>
        <v>-116.4814254313285</v>
      </c>
      <c r="AS393" s="32" t="str">
        <f t="shared" si="318"/>
        <v>-0.0000166666666666667</v>
      </c>
      <c r="AT393" s="32" t="str">
        <f t="shared" si="319"/>
        <v>0.00120132021569901i</v>
      </c>
      <c r="AU393" s="32">
        <f t="shared" si="342"/>
        <v>1.2013202156990099E-3</v>
      </c>
      <c r="AV393" s="32">
        <f t="shared" si="343"/>
        <v>1.5707963267948966</v>
      </c>
      <c r="AW393" s="32" t="str">
        <f t="shared" si="320"/>
        <v>1+1.2208572572692i</v>
      </c>
      <c r="AX393" s="32">
        <f t="shared" si="344"/>
        <v>1.5781294125092764</v>
      </c>
      <c r="AY393" s="32">
        <f t="shared" si="345"/>
        <v>0.88451911211540046</v>
      </c>
      <c r="AZ393" s="32" t="str">
        <f t="shared" si="321"/>
        <v>1+41.5091467471527i</v>
      </c>
      <c r="BA393" s="32">
        <f t="shared" si="346"/>
        <v>41.521190537804394</v>
      </c>
      <c r="BB393" s="32">
        <f t="shared" si="347"/>
        <v>1.5467099100479331</v>
      </c>
      <c r="BC393" s="59" t="str">
        <f t="shared" si="348"/>
        <v>-0.224431372330785+0.287872295076094i</v>
      </c>
      <c r="BD393" s="50">
        <f t="shared" si="349"/>
        <v>-8.7536570467235961</v>
      </c>
      <c r="BE393" s="62">
        <f t="shared" si="350"/>
        <v>127.94073795393435</v>
      </c>
      <c r="BF393" s="59" t="str">
        <f t="shared" si="351"/>
        <v>0.048085864256432-0.090355401507599i</v>
      </c>
      <c r="BG393" s="65">
        <f t="shared" si="352"/>
        <v>-19.797900454929785</v>
      </c>
      <c r="BH393" s="62">
        <f t="shared" si="353"/>
        <v>-61.97872468281367</v>
      </c>
      <c r="BI393" s="59" t="str">
        <f t="shared" si="357"/>
        <v>0.204784742438222+0.0415125052001393i</v>
      </c>
      <c r="BJ393" s="65">
        <f t="shared" si="354"/>
        <v>-13.599154845551496</v>
      </c>
      <c r="BK393" s="62">
        <f t="shared" si="358"/>
        <v>11.459312522605872</v>
      </c>
      <c r="BL393" s="50">
        <f t="shared" si="355"/>
        <v>-19.797900454929785</v>
      </c>
      <c r="BM393" s="62">
        <f t="shared" si="356"/>
        <v>-61.97872468281367</v>
      </c>
    </row>
    <row r="394" spans="14:65" x14ac:dyDescent="0.3">
      <c r="N394" s="11">
        <v>76</v>
      </c>
      <c r="O394" s="51">
        <f t="shared" si="359"/>
        <v>57543.993733715732</v>
      </c>
      <c r="P394" s="49" t="str">
        <f t="shared" si="309"/>
        <v>27.9103246607183</v>
      </c>
      <c r="Q394" s="18" t="str">
        <f t="shared" si="310"/>
        <v>1+177.605914618738i</v>
      </c>
      <c r="R394" s="18">
        <f t="shared" si="322"/>
        <v>177.60872981798633</v>
      </c>
      <c r="S394" s="18">
        <f t="shared" si="323"/>
        <v>1.565165943172532</v>
      </c>
      <c r="T394" s="18" t="str">
        <f t="shared" si="311"/>
        <v>1+0.159086213415412i</v>
      </c>
      <c r="U394" s="18">
        <f t="shared" si="324"/>
        <v>1.0125751445195827</v>
      </c>
      <c r="V394" s="18">
        <f t="shared" si="325"/>
        <v>0.15776415783052028</v>
      </c>
      <c r="W394" s="32" t="str">
        <f t="shared" si="312"/>
        <v>1-2.09793828016957i</v>
      </c>
      <c r="X394" s="18">
        <f t="shared" si="326"/>
        <v>2.3240793935235633</v>
      </c>
      <c r="Y394" s="18">
        <f t="shared" si="327"/>
        <v>-1.1259957174405677</v>
      </c>
      <c r="Z394" s="32" t="str">
        <f t="shared" si="313"/>
        <v>0.931584479032522+0.959365465715355i</v>
      </c>
      <c r="AA394" s="18">
        <f t="shared" si="328"/>
        <v>1.3372478223506423</v>
      </c>
      <c r="AB394" s="18">
        <f t="shared" si="329"/>
        <v>0.80008865705861787</v>
      </c>
      <c r="AC394" s="67" t="str">
        <f t="shared" si="330"/>
        <v>-0.271469663350704+0.0527422382497046i</v>
      </c>
      <c r="AD394" s="65">
        <f t="shared" si="331"/>
        <v>-11.164661934223775</v>
      </c>
      <c r="AE394" s="62">
        <f t="shared" si="332"/>
        <v>169.00531197582717</v>
      </c>
      <c r="AF394" s="50" t="str">
        <f t="shared" si="314"/>
        <v>79.1527877025864</v>
      </c>
      <c r="AG394" s="50" t="str">
        <f t="shared" si="315"/>
        <v>1+176.218574860148i</v>
      </c>
      <c r="AH394" s="50">
        <f t="shared" si="333"/>
        <v>176.22141222263991</v>
      </c>
      <c r="AI394" s="50">
        <f t="shared" si="334"/>
        <v>1.565121617039354</v>
      </c>
      <c r="AJ394" s="50" t="str">
        <f t="shared" si="316"/>
        <v>1+0.159086213415412i</v>
      </c>
      <c r="AK394" s="50">
        <f t="shared" si="335"/>
        <v>1.0125751445195827</v>
      </c>
      <c r="AL394" s="50">
        <f t="shared" si="336"/>
        <v>0.15776415783052028</v>
      </c>
      <c r="AM394" s="50" t="str">
        <f t="shared" si="317"/>
        <v>1-0.733981241117113i</v>
      </c>
      <c r="AN394" s="50">
        <f t="shared" si="337"/>
        <v>1.2404549416693125</v>
      </c>
      <c r="AO394" s="50">
        <f t="shared" si="338"/>
        <v>-0.63317003215460788</v>
      </c>
      <c r="AP394" s="59" t="str">
        <f t="shared" si="339"/>
        <v>-0.255373036800228-0.503071476301052i</v>
      </c>
      <c r="AQ394" s="50">
        <f t="shared" si="340"/>
        <v>-4.9716841222414292</v>
      </c>
      <c r="AR394" s="62">
        <f t="shared" si="341"/>
        <v>-116.91361323554278</v>
      </c>
      <c r="AS394" s="32" t="str">
        <f t="shared" si="318"/>
        <v>-0.0000166666666666667</v>
      </c>
      <c r="AT394" s="32" t="str">
        <f t="shared" si="319"/>
        <v>0.00122930255821i</v>
      </c>
      <c r="AU394" s="32">
        <f t="shared" si="342"/>
        <v>1.22930255821E-3</v>
      </c>
      <c r="AV394" s="32">
        <f t="shared" si="343"/>
        <v>1.5707963267948966</v>
      </c>
      <c r="AW394" s="32" t="str">
        <f t="shared" si="320"/>
        <v>1+1.24929467593867i</v>
      </c>
      <c r="AX394" s="32">
        <f t="shared" si="344"/>
        <v>1.6002303544579783</v>
      </c>
      <c r="AY394" s="32">
        <f t="shared" si="345"/>
        <v>0.89578004142941836</v>
      </c>
      <c r="AZ394" s="32" t="str">
        <f t="shared" si="321"/>
        <v>1+42.4760189819148i</v>
      </c>
      <c r="BA394" s="32">
        <f t="shared" si="346"/>
        <v>42.487788699248469</v>
      </c>
      <c r="BB394" s="32">
        <f t="shared" si="347"/>
        <v>1.5472579789803873</v>
      </c>
      <c r="BC394" s="59" t="str">
        <f t="shared" si="348"/>
        <v>-0.218274893434604+0.286247485396414i</v>
      </c>
      <c r="BD394" s="50">
        <f t="shared" si="349"/>
        <v>-8.8745682280980809</v>
      </c>
      <c r="BE394" s="62">
        <f t="shared" si="350"/>
        <v>127.32693626755797</v>
      </c>
      <c r="BF394" s="59" t="str">
        <f t="shared" si="351"/>
        <v>0.0441576787654462-0.0892198149290068i</v>
      </c>
      <c r="BG394" s="65">
        <f t="shared" si="352"/>
        <v>-20.039230162321857</v>
      </c>
      <c r="BH394" s="62">
        <f t="shared" si="353"/>
        <v>-63.667751756614848</v>
      </c>
      <c r="BI394" s="59" t="str">
        <f t="shared" si="357"/>
        <v>0.199744467459479+0.0367079832574899i</v>
      </c>
      <c r="BJ394" s="65">
        <f t="shared" si="354"/>
        <v>-13.846252350339498</v>
      </c>
      <c r="BK394" s="62">
        <f t="shared" si="358"/>
        <v>10.413323032015176</v>
      </c>
      <c r="BL394" s="50">
        <f t="shared" si="355"/>
        <v>-20.039230162321857</v>
      </c>
      <c r="BM394" s="62">
        <f t="shared" si="356"/>
        <v>-63.667751756614848</v>
      </c>
    </row>
    <row r="395" spans="14:65" x14ac:dyDescent="0.3">
      <c r="N395" s="11">
        <v>77</v>
      </c>
      <c r="O395" s="51">
        <f t="shared" si="359"/>
        <v>58884.365535558936</v>
      </c>
      <c r="P395" s="49" t="str">
        <f t="shared" si="309"/>
        <v>27.9103246607183</v>
      </c>
      <c r="Q395" s="18" t="str">
        <f t="shared" si="310"/>
        <v>1+181.742887816968i</v>
      </c>
      <c r="R395" s="18">
        <f t="shared" si="322"/>
        <v>181.74563893543916</v>
      </c>
      <c r="S395" s="18">
        <f t="shared" si="323"/>
        <v>1.5652941037340387</v>
      </c>
      <c r="T395" s="18" t="str">
        <f t="shared" si="311"/>
        <v>1+0.162791807356471i</v>
      </c>
      <c r="U395" s="18">
        <f t="shared" si="324"/>
        <v>1.0131639415920735</v>
      </c>
      <c r="V395" s="18">
        <f t="shared" si="325"/>
        <v>0.16137619145428145</v>
      </c>
      <c r="W395" s="32" t="str">
        <f t="shared" si="312"/>
        <v>1-2.14680554033505i</v>
      </c>
      <c r="X395" s="18">
        <f t="shared" si="326"/>
        <v>2.3682850394353436</v>
      </c>
      <c r="Y395" s="18">
        <f t="shared" si="327"/>
        <v>-1.1348742003769485</v>
      </c>
      <c r="Z395" s="32" t="str">
        <f t="shared" si="313"/>
        <v>0.928360154865179+0.981711958102685i</v>
      </c>
      <c r="AA395" s="18">
        <f t="shared" si="328"/>
        <v>1.3511517108833881</v>
      </c>
      <c r="AB395" s="18">
        <f t="shared" si="329"/>
        <v>0.81332272947707929</v>
      </c>
      <c r="AC395" s="67" t="str">
        <f t="shared" si="330"/>
        <v>-0.26669486531213+0.056989603487366i</v>
      </c>
      <c r="AD395" s="65">
        <f t="shared" si="331"/>
        <v>-11.285790585708888</v>
      </c>
      <c r="AE395" s="62">
        <f t="shared" si="332"/>
        <v>167.93796710257195</v>
      </c>
      <c r="AF395" s="50" t="str">
        <f t="shared" si="314"/>
        <v>79.1527877025864</v>
      </c>
      <c r="AG395" s="50" t="str">
        <f t="shared" si="315"/>
        <v>1+180.323232764091i</v>
      </c>
      <c r="AH395" s="50">
        <f t="shared" si="333"/>
        <v>180.32600554133214</v>
      </c>
      <c r="AI395" s="50">
        <f t="shared" si="334"/>
        <v>1.5652507865245444</v>
      </c>
      <c r="AJ395" s="50" t="str">
        <f t="shared" si="316"/>
        <v>1+0.162791807356471i</v>
      </c>
      <c r="AK395" s="50">
        <f t="shared" si="335"/>
        <v>1.0131639415920735</v>
      </c>
      <c r="AL395" s="50">
        <f t="shared" si="336"/>
        <v>0.16137619145428145</v>
      </c>
      <c r="AM395" s="50" t="str">
        <f t="shared" si="317"/>
        <v>1-0.751077860500673i</v>
      </c>
      <c r="AN395" s="50">
        <f t="shared" si="337"/>
        <v>1.2506470135630869</v>
      </c>
      <c r="AO395" s="50">
        <f t="shared" si="338"/>
        <v>-0.64419058268920015</v>
      </c>
      <c r="AP395" s="59" t="str">
        <f t="shared" si="339"/>
        <v>-0.25548812544389-0.494036360035599i</v>
      </c>
      <c r="AQ395" s="50">
        <f t="shared" si="340"/>
        <v>-5.0955534464293875</v>
      </c>
      <c r="AR395" s="62">
        <f t="shared" si="341"/>
        <v>-117.34549085332792</v>
      </c>
      <c r="AS395" s="32" t="str">
        <f t="shared" si="318"/>
        <v>-0.0000166666666666667</v>
      </c>
      <c r="AT395" s="32" t="str">
        <f t="shared" si="319"/>
        <v>0.00125793669320909i</v>
      </c>
      <c r="AU395" s="32">
        <f t="shared" si="342"/>
        <v>1.25793669320909E-3</v>
      </c>
      <c r="AV395" s="32">
        <f t="shared" si="343"/>
        <v>1.5707963267948966</v>
      </c>
      <c r="AW395" s="32" t="str">
        <f t="shared" si="320"/>
        <v>1+1.2783944871817i</v>
      </c>
      <c r="AX395" s="32">
        <f t="shared" si="344"/>
        <v>1.6230503580778268</v>
      </c>
      <c r="AY395" s="32">
        <f t="shared" si="345"/>
        <v>0.90698434222538171</v>
      </c>
      <c r="AZ395" s="32" t="str">
        <f t="shared" si="321"/>
        <v>1+43.4654125641778i</v>
      </c>
      <c r="BA395" s="32">
        <f t="shared" si="346"/>
        <v>43.476914441737755</v>
      </c>
      <c r="BB395" s="32">
        <f t="shared" si="347"/>
        <v>1.5477935860078276</v>
      </c>
      <c r="BC395" s="59" t="str">
        <f t="shared" si="348"/>
        <v>-0.212180175183639+0.284499175649096i</v>
      </c>
      <c r="BD395" s="50">
        <f t="shared" si="349"/>
        <v>-8.9976663196056101</v>
      </c>
      <c r="BE395" s="62">
        <f t="shared" si="350"/>
        <v>126.71566514170404</v>
      </c>
      <c r="BF395" s="59" t="str">
        <f t="shared" si="351"/>
        <v>0.0403738680297803-0.0879665333827431i</v>
      </c>
      <c r="BG395" s="65">
        <f t="shared" si="352"/>
        <v>-20.283456905314502</v>
      </c>
      <c r="BH395" s="62">
        <f t="shared" si="353"/>
        <v>-65.346367755724017</v>
      </c>
      <c r="BI395" s="59" t="str">
        <f t="shared" si="357"/>
        <v>0.194762452384832+0.0321385603425212i</v>
      </c>
      <c r="BJ395" s="65">
        <f t="shared" si="354"/>
        <v>-14.093219766034998</v>
      </c>
      <c r="BK395" s="62">
        <f t="shared" si="358"/>
        <v>9.3701742883761128</v>
      </c>
      <c r="BL395" s="50">
        <f t="shared" si="355"/>
        <v>-20.283456905314502</v>
      </c>
      <c r="BM395" s="62">
        <f t="shared" si="356"/>
        <v>-65.346367755724017</v>
      </c>
    </row>
    <row r="396" spans="14:65" x14ac:dyDescent="0.3">
      <c r="N396" s="11">
        <v>78</v>
      </c>
      <c r="O396" s="51">
        <f t="shared" si="359"/>
        <v>60255.95860743591</v>
      </c>
      <c r="P396" s="49" t="str">
        <f t="shared" si="309"/>
        <v>27.9103246607183</v>
      </c>
      <c r="Q396" s="18" t="str">
        <f t="shared" si="310"/>
        <v>1+185.976223499971i</v>
      </c>
      <c r="R396" s="18">
        <f t="shared" si="322"/>
        <v>185.9789119962561</v>
      </c>
      <c r="S396" s="18">
        <f t="shared" si="323"/>
        <v>1.5654193471796594</v>
      </c>
      <c r="T396" s="18" t="str">
        <f t="shared" si="311"/>
        <v>1+0.166583715668596i</v>
      </c>
      <c r="U396" s="18">
        <f t="shared" si="324"/>
        <v>1.0137801212915727</v>
      </c>
      <c r="V396" s="18">
        <f t="shared" si="325"/>
        <v>0.16506796724992437</v>
      </c>
      <c r="W396" s="32" t="str">
        <f t="shared" si="312"/>
        <v>1-2.19681106521436i</v>
      </c>
      <c r="X396" s="18">
        <f t="shared" si="326"/>
        <v>2.4137064561060964</v>
      </c>
      <c r="Y396" s="18">
        <f t="shared" si="327"/>
        <v>-1.1436221264800444</v>
      </c>
      <c r="Z396" s="32" t="str">
        <f t="shared" si="313"/>
        <v>0.924983872981384+1.0045789671647i</v>
      </c>
      <c r="AA396" s="18">
        <f t="shared" si="328"/>
        <v>1.365567305754402</v>
      </c>
      <c r="AB396" s="18">
        <f t="shared" si="329"/>
        <v>0.8266251151766385</v>
      </c>
      <c r="AC396" s="67" t="str">
        <f t="shared" si="330"/>
        <v>-0.261895076225824+0.0610464532355554i</v>
      </c>
      <c r="AD396" s="65">
        <f t="shared" si="331"/>
        <v>-11.407674031402628</v>
      </c>
      <c r="AE396" s="62">
        <f t="shared" si="332"/>
        <v>166.87892455048532</v>
      </c>
      <c r="AF396" s="50" t="str">
        <f t="shared" si="314"/>
        <v>79.1527877025864</v>
      </c>
      <c r="AG396" s="50" t="str">
        <f t="shared" si="315"/>
        <v>1+184.523500432906i</v>
      </c>
      <c r="AH396" s="50">
        <f t="shared" si="333"/>
        <v>184.52621009496906</v>
      </c>
      <c r="AI396" s="50">
        <f t="shared" si="334"/>
        <v>1.5653770159320994</v>
      </c>
      <c r="AJ396" s="50" t="str">
        <f t="shared" si="316"/>
        <v>1+0.166583715668596i</v>
      </c>
      <c r="AK396" s="50">
        <f t="shared" si="335"/>
        <v>1.0137801212915727</v>
      </c>
      <c r="AL396" s="50">
        <f t="shared" si="336"/>
        <v>0.16506796724992437</v>
      </c>
      <c r="AM396" s="50" t="str">
        <f t="shared" si="317"/>
        <v>1-0.768572711307562i</v>
      </c>
      <c r="AN396" s="50">
        <f t="shared" si="337"/>
        <v>1.2612311495386788</v>
      </c>
      <c r="AO396" s="50">
        <f t="shared" si="338"/>
        <v>-0.65528206802010058</v>
      </c>
      <c r="AP396" s="59" t="str">
        <f t="shared" si="339"/>
        <v>-0.255598034556742-0.485263130923401i</v>
      </c>
      <c r="AQ396" s="50">
        <f t="shared" si="340"/>
        <v>-5.2170677529514764</v>
      </c>
      <c r="AR396" s="62">
        <f t="shared" si="341"/>
        <v>-117.77669539162423</v>
      </c>
      <c r="AS396" s="32" t="str">
        <f t="shared" si="318"/>
        <v>-0.0000166666666666667</v>
      </c>
      <c r="AT396" s="32" t="str">
        <f t="shared" si="319"/>
        <v>0.00128723780289369i</v>
      </c>
      <c r="AU396" s="32">
        <f t="shared" si="342"/>
        <v>1.28723780289369E-3</v>
      </c>
      <c r="AV396" s="32">
        <f t="shared" si="343"/>
        <v>1.5707963267948966</v>
      </c>
      <c r="AW396" s="32" t="str">
        <f t="shared" si="320"/>
        <v>1+1.30817212010338i</v>
      </c>
      <c r="AX396" s="32">
        <f t="shared" si="344"/>
        <v>1.6466069038528206</v>
      </c>
      <c r="AY396" s="32">
        <f t="shared" si="345"/>
        <v>0.91812670339496438</v>
      </c>
      <c r="AZ396" s="32" t="str">
        <f t="shared" si="321"/>
        <v>1+44.477852083515i</v>
      </c>
      <c r="BA396" s="32">
        <f t="shared" si="346"/>
        <v>44.489092213294711</v>
      </c>
      <c r="BB396" s="32">
        <f t="shared" si="347"/>
        <v>1.5483170138862676</v>
      </c>
      <c r="BC396" s="59" t="str">
        <f t="shared" si="348"/>
        <v>-0.206152653545474+0.282630774432407i</v>
      </c>
      <c r="BD396" s="50">
        <f t="shared" si="349"/>
        <v>-9.1229284714782803</v>
      </c>
      <c r="BE396" s="62">
        <f t="shared" si="350"/>
        <v>126.10724508119054</v>
      </c>
      <c r="BF396" s="59" t="str">
        <f t="shared" si="351"/>
        <v>0.0367367585601311-0.0866044965377883i</v>
      </c>
      <c r="BG396" s="65">
        <f t="shared" si="352"/>
        <v>-20.53060250288091</v>
      </c>
      <c r="BH396" s="62">
        <f t="shared" si="353"/>
        <v>-67.013830368324108</v>
      </c>
      <c r="BI396" s="59" t="str">
        <f t="shared" si="357"/>
        <v>0.189842507561255+0.0277984116574708i</v>
      </c>
      <c r="BJ396" s="65">
        <f t="shared" si="354"/>
        <v>-14.339996224429775</v>
      </c>
      <c r="BK396" s="62">
        <f t="shared" si="358"/>
        <v>8.3305496895663307</v>
      </c>
      <c r="BL396" s="50">
        <f t="shared" si="355"/>
        <v>-20.53060250288091</v>
      </c>
      <c r="BM396" s="62">
        <f t="shared" si="356"/>
        <v>-67.013830368324108</v>
      </c>
    </row>
    <row r="397" spans="14:65" x14ac:dyDescent="0.3">
      <c r="N397" s="11">
        <v>79</v>
      </c>
      <c r="O397" s="51">
        <f t="shared" si="359"/>
        <v>61659.500186148245</v>
      </c>
      <c r="P397" s="49" t="str">
        <f t="shared" si="309"/>
        <v>27.9103246607183</v>
      </c>
      <c r="Q397" s="18" t="str">
        <f t="shared" si="310"/>
        <v>1+190.30816623836i</v>
      </c>
      <c r="R397" s="18">
        <f t="shared" si="322"/>
        <v>190.31079353785287</v>
      </c>
      <c r="S397" s="18">
        <f t="shared" si="323"/>
        <v>1.5655417398994009</v>
      </c>
      <c r="T397" s="18" t="str">
        <f t="shared" si="311"/>
        <v>1+0.170463948871764i</v>
      </c>
      <c r="U397" s="18">
        <f t="shared" si="324"/>
        <v>1.0144249394927924</v>
      </c>
      <c r="V397" s="18">
        <f t="shared" si="325"/>
        <v>0.16884103991418439</v>
      </c>
      <c r="W397" s="32" t="str">
        <f t="shared" si="312"/>
        <v>1-2.24798136839867i</v>
      </c>
      <c r="X397" s="18">
        <f t="shared" si="326"/>
        <v>2.4603699381734359</v>
      </c>
      <c r="Y397" s="18">
        <f t="shared" si="327"/>
        <v>-1.1522387774243903</v>
      </c>
      <c r="Z397" s="32" t="str">
        <f t="shared" si="313"/>
        <v>0.921448471834595+1.02797861729227i</v>
      </c>
      <c r="AA397" s="18">
        <f t="shared" si="328"/>
        <v>1.3805098057806173</v>
      </c>
      <c r="AB397" s="18">
        <f t="shared" si="329"/>
        <v>0.8399907627190325</v>
      </c>
      <c r="AC397" s="67" t="str">
        <f t="shared" si="330"/>
        <v>-0.257075347538898+0.0649135406542012i</v>
      </c>
      <c r="AD397" s="65">
        <f t="shared" si="331"/>
        <v>-11.530353956795592</v>
      </c>
      <c r="AE397" s="62">
        <f t="shared" si="332"/>
        <v>165.8286001763723</v>
      </c>
      <c r="AF397" s="50" t="str">
        <f t="shared" si="314"/>
        <v>79.1527877025864</v>
      </c>
      <c r="AG397" s="50" t="str">
        <f t="shared" si="315"/>
        <v>1+188.821604904107i</v>
      </c>
      <c r="AH397" s="50">
        <f t="shared" si="333"/>
        <v>188.82425288760629</v>
      </c>
      <c r="AI397" s="50">
        <f t="shared" si="334"/>
        <v>1.5655003721744216</v>
      </c>
      <c r="AJ397" s="50" t="str">
        <f t="shared" si="316"/>
        <v>1+0.170463948871764i</v>
      </c>
      <c r="AK397" s="50">
        <f t="shared" si="335"/>
        <v>1.0144249394927924</v>
      </c>
      <c r="AL397" s="50">
        <f t="shared" si="336"/>
        <v>0.16884103991418439</v>
      </c>
      <c r="AM397" s="50" t="str">
        <f t="shared" si="317"/>
        <v>1-0.786475069539246i</v>
      </c>
      <c r="AN397" s="50">
        <f t="shared" si="337"/>
        <v>1.2722197274868685</v>
      </c>
      <c r="AO397" s="50">
        <f t="shared" si="338"/>
        <v>-0.6664394535552669</v>
      </c>
      <c r="AP397" s="59" t="str">
        <f t="shared" si="339"/>
        <v>-0.25570299722867-0.476747141117522i</v>
      </c>
      <c r="AQ397" s="50">
        <f t="shared" si="340"/>
        <v>-5.3361903333720004</v>
      </c>
      <c r="AR397" s="62">
        <f t="shared" si="341"/>
        <v>-118.20685314579291</v>
      </c>
      <c r="AS397" s="32" t="str">
        <f t="shared" si="318"/>
        <v>-0.0000166666666666667</v>
      </c>
      <c r="AT397" s="32" t="str">
        <f t="shared" si="319"/>
        <v>0.00131722142309999i</v>
      </c>
      <c r="AU397" s="32">
        <f t="shared" si="342"/>
        <v>1.3172214230999901E-3</v>
      </c>
      <c r="AV397" s="32">
        <f t="shared" si="343"/>
        <v>1.5707963267948966</v>
      </c>
      <c r="AW397" s="32" t="str">
        <f t="shared" si="320"/>
        <v>1+1.33864336319885i</v>
      </c>
      <c r="AX397" s="32">
        <f t="shared" si="344"/>
        <v>1.6709177280274239</v>
      </c>
      <c r="AY397" s="32">
        <f t="shared" si="345"/>
        <v>0.92920196648864528</v>
      </c>
      <c r="AZ397" s="32" t="str">
        <f t="shared" si="321"/>
        <v>1+45.5138743487608i</v>
      </c>
      <c r="BA397" s="32">
        <f t="shared" si="346"/>
        <v>45.524858684402155</v>
      </c>
      <c r="BB397" s="32">
        <f t="shared" si="347"/>
        <v>1.5488285389961827</v>
      </c>
      <c r="BC397" s="59" t="str">
        <f t="shared" si="348"/>
        <v>-0.200197504518429+0.280645957505069i</v>
      </c>
      <c r="BD397" s="50">
        <f t="shared" si="349"/>
        <v>-9.2503299245973576</v>
      </c>
      <c r="BE397" s="62">
        <f t="shared" si="350"/>
        <v>125.50198747883866</v>
      </c>
      <c r="BF397" s="59" t="str">
        <f t="shared" si="351"/>
        <v>0.0332481202785527-0.0851426859094291i</v>
      </c>
      <c r="BG397" s="65">
        <f t="shared" si="352"/>
        <v>-20.780683881392946</v>
      </c>
      <c r="BH397" s="62">
        <f t="shared" si="353"/>
        <v>-68.669412344789009</v>
      </c>
      <c r="BI397" s="59" t="str">
        <f t="shared" si="357"/>
        <v>0.184988259849794+0.0236815754438671i</v>
      </c>
      <c r="BJ397" s="65">
        <f t="shared" si="354"/>
        <v>-14.586520257969344</v>
      </c>
      <c r="BK397" s="62">
        <f t="shared" si="358"/>
        <v>7.2951343330457368</v>
      </c>
      <c r="BL397" s="50">
        <f t="shared" si="355"/>
        <v>-20.780683881392946</v>
      </c>
      <c r="BM397" s="62">
        <f t="shared" si="356"/>
        <v>-68.669412344789009</v>
      </c>
    </row>
    <row r="398" spans="14:65" x14ac:dyDescent="0.3">
      <c r="N398" s="11">
        <v>80</v>
      </c>
      <c r="O398" s="51">
        <f t="shared" si="359"/>
        <v>63095.734448019342</v>
      </c>
      <c r="P398" s="49" t="str">
        <f t="shared" si="309"/>
        <v>27.9103246607183</v>
      </c>
      <c r="Q398" s="18" t="str">
        <f t="shared" si="310"/>
        <v>1+194.741012885514i</v>
      </c>
      <c r="R398" s="18">
        <f t="shared" si="322"/>
        <v>194.74358038116668</v>
      </c>
      <c r="S398" s="18">
        <f t="shared" si="323"/>
        <v>1.5656613467728275</v>
      </c>
      <c r="T398" s="18" t="str">
        <f t="shared" si="311"/>
        <v>1+0.17443456431698i</v>
      </c>
      <c r="U398" s="18">
        <f t="shared" si="324"/>
        <v>1.0150997080230368</v>
      </c>
      <c r="V398" s="18">
        <f t="shared" si="325"/>
        <v>0.17269698005384052</v>
      </c>
      <c r="W398" s="32" t="str">
        <f t="shared" si="312"/>
        <v>1-2.30034358106006i</v>
      </c>
      <c r="X398" s="18">
        <f t="shared" si="326"/>
        <v>2.5083023324400551</v>
      </c>
      <c r="Y398" s="18">
        <f t="shared" si="327"/>
        <v>-1.1607236027716497</v>
      </c>
      <c r="Z398" s="32" t="str">
        <f t="shared" si="313"/>
        <v>0.91774645236498+1.05192331528964i</v>
      </c>
      <c r="AA398" s="18">
        <f t="shared" si="328"/>
        <v>1.3959947034564473</v>
      </c>
      <c r="AB398" s="18">
        <f t="shared" si="329"/>
        <v>0.85341458427948191</v>
      </c>
      <c r="AC398" s="67" t="str">
        <f t="shared" si="330"/>
        <v>-0.252240800478172+0.068591862012224i</v>
      </c>
      <c r="AD398" s="65">
        <f t="shared" si="331"/>
        <v>-11.653868952363652</v>
      </c>
      <c r="AE398" s="62">
        <f t="shared" si="332"/>
        <v>164.78740330072765</v>
      </c>
      <c r="AF398" s="50" t="str">
        <f t="shared" si="314"/>
        <v>79.1527877025864</v>
      </c>
      <c r="AG398" s="50" t="str">
        <f t="shared" si="315"/>
        <v>1+193.219825089578i</v>
      </c>
      <c r="AH398" s="50">
        <f t="shared" si="333"/>
        <v>193.22241279843061</v>
      </c>
      <c r="AI398" s="50">
        <f t="shared" si="334"/>
        <v>1.5656209206415985</v>
      </c>
      <c r="AJ398" s="50" t="str">
        <f t="shared" si="316"/>
        <v>1+0.17443456431698i</v>
      </c>
      <c r="AK398" s="50">
        <f t="shared" si="335"/>
        <v>1.0150997080230368</v>
      </c>
      <c r="AL398" s="50">
        <f t="shared" si="336"/>
        <v>0.17269698005384052</v>
      </c>
      <c r="AM398" s="50" t="str">
        <f t="shared" si="317"/>
        <v>1-0.804794427263028i</v>
      </c>
      <c r="AN398" s="50">
        <f t="shared" si="337"/>
        <v>1.2836253620716698</v>
      </c>
      <c r="AO398" s="50">
        <f t="shared" si="338"/>
        <v>-0.67765754400418821</v>
      </c>
      <c r="AP398" s="59" t="str">
        <f t="shared" si="339"/>
        <v>-0.255803236061201-0.468483878906742i</v>
      </c>
      <c r="AQ398" s="50">
        <f t="shared" si="340"/>
        <v>-5.4528858737613444</v>
      </c>
      <c r="AR398" s="62">
        <f t="shared" si="341"/>
        <v>-118.63558020505084</v>
      </c>
      <c r="AS398" s="32" t="str">
        <f t="shared" si="318"/>
        <v>-0.0000166666666666667</v>
      </c>
      <c r="AT398" s="32" t="str">
        <f t="shared" si="319"/>
        <v>0.0013479034515403i</v>
      </c>
      <c r="AU398" s="32">
        <f t="shared" si="342"/>
        <v>1.3479034515403001E-3</v>
      </c>
      <c r="AV398" s="32">
        <f t="shared" si="343"/>
        <v>1.5707963267948966</v>
      </c>
      <c r="AW398" s="32" t="str">
        <f t="shared" si="320"/>
        <v>1+1.36982437272452i</v>
      </c>
      <c r="AX398" s="32">
        <f t="shared" si="344"/>
        <v>1.6960008290416975</v>
      </c>
      <c r="AY398" s="32">
        <f t="shared" si="345"/>
        <v>0.9402051361178756</v>
      </c>
      <c r="AZ398" s="32" t="str">
        <f t="shared" si="321"/>
        <v>1+46.5740286726336i</v>
      </c>
      <c r="BA398" s="32">
        <f t="shared" si="346"/>
        <v>46.584763032554932</v>
      </c>
      <c r="BB398" s="32">
        <f t="shared" si="347"/>
        <v>1.5493284314835865</v>
      </c>
      <c r="BC398" s="59" t="str">
        <f t="shared" si="348"/>
        <v>-0.194319629090509+0.278548645686422i</v>
      </c>
      <c r="BD398" s="50">
        <f t="shared" si="349"/>
        <v>-9.3798441067304807</v>
      </c>
      <c r="BE398" s="62">
        <f t="shared" si="350"/>
        <v>124.90019402755597</v>
      </c>
      <c r="BF398" s="59" t="str">
        <f t="shared" si="351"/>
        <v>0.0299091685217965-0.0835900785448965i</v>
      </c>
      <c r="BG398" s="65">
        <f t="shared" si="352"/>
        <v>-21.03371305909414</v>
      </c>
      <c r="BH398" s="62">
        <f t="shared" si="353"/>
        <v>-70.312402671716413</v>
      </c>
      <c r="BI398" s="59" t="str">
        <f t="shared" si="357"/>
        <v>0.180203139946959+0.0197819686169894i</v>
      </c>
      <c r="BJ398" s="65">
        <f t="shared" si="354"/>
        <v>-14.832729980491838</v>
      </c>
      <c r="BK398" s="62">
        <f t="shared" si="358"/>
        <v>6.2646138225051304</v>
      </c>
      <c r="BL398" s="50">
        <f t="shared" si="355"/>
        <v>-21.03371305909414</v>
      </c>
      <c r="BM398" s="62">
        <f t="shared" si="356"/>
        <v>-70.312402671716413</v>
      </c>
    </row>
    <row r="399" spans="14:65" x14ac:dyDescent="0.3">
      <c r="N399" s="11">
        <v>81</v>
      </c>
      <c r="O399" s="51">
        <f t="shared" si="359"/>
        <v>64565.422903465682</v>
      </c>
      <c r="P399" s="49" t="str">
        <f t="shared" si="309"/>
        <v>27.9103246607183</v>
      </c>
      <c r="Q399" s="18" t="str">
        <f t="shared" si="310"/>
        <v>1+199.277113795403i</v>
      </c>
      <c r="R399" s="18">
        <f t="shared" si="322"/>
        <v>199.27962284846384</v>
      </c>
      <c r="S399" s="18">
        <f t="shared" si="323"/>
        <v>1.5657782312033905</v>
      </c>
      <c r="T399" s="18" t="str">
        <f t="shared" si="311"/>
        <v>1+0.178497667277113i</v>
      </c>
      <c r="U399" s="18">
        <f t="shared" si="324"/>
        <v>1.0158057970022474</v>
      </c>
      <c r="V399" s="18">
        <f t="shared" si="325"/>
        <v>0.17663737326062012</v>
      </c>
      <c r="W399" s="32" t="str">
        <f t="shared" si="312"/>
        <v>1-2.35392546633678i</v>
      </c>
      <c r="X399" s="18">
        <f t="shared" si="326"/>
        <v>2.5575310557388793</v>
      </c>
      <c r="Y399" s="18">
        <f t="shared" si="327"/>
        <v>-1.169076213506953</v>
      </c>
      <c r="Z399" s="32" t="str">
        <f t="shared" si="313"/>
        <v>0.913869962092905+1.07642575695263i</v>
      </c>
      <c r="AA399" s="18">
        <f t="shared" si="328"/>
        <v>1.4120377891001112</v>
      </c>
      <c r="AB399" s="18">
        <f t="shared" si="329"/>
        <v>0.86689147160724389</v>
      </c>
      <c r="AC399" s="67" t="str">
        <f t="shared" si="330"/>
        <v>-0.247396605175071+0.0720826632322089i</v>
      </c>
      <c r="AD399" s="65">
        <f t="shared" si="331"/>
        <v>-11.778254416423984</v>
      </c>
      <c r="AE399" s="62">
        <f t="shared" si="332"/>
        <v>163.75573610863336</v>
      </c>
      <c r="AF399" s="50" t="str">
        <f t="shared" si="314"/>
        <v>79.1527877025864</v>
      </c>
      <c r="AG399" s="50" t="str">
        <f t="shared" si="315"/>
        <v>1+197.720492983878i</v>
      </c>
      <c r="AH399" s="50">
        <f t="shared" si="333"/>
        <v>197.72302179004785</v>
      </c>
      <c r="AI399" s="50">
        <f t="shared" si="334"/>
        <v>1.5657387252360007</v>
      </c>
      <c r="AJ399" s="50" t="str">
        <f t="shared" si="316"/>
        <v>1+0.178497667277113i</v>
      </c>
      <c r="AK399" s="50">
        <f t="shared" si="335"/>
        <v>1.0158057970022474</v>
      </c>
      <c r="AL399" s="50">
        <f t="shared" si="336"/>
        <v>0.17663737326062012</v>
      </c>
      <c r="AM399" s="50" t="str">
        <f t="shared" si="317"/>
        <v>1-0.823540497644861i</v>
      </c>
      <c r="AN399" s="50">
        <f t="shared" si="337"/>
        <v>1.2954609030229918</v>
      </c>
      <c r="AO399" s="50">
        <f t="shared" si="338"/>
        <v>-0.68893099399204871</v>
      </c>
      <c r="AP399" s="59" t="str">
        <f t="shared" si="339"/>
        <v>-0.255898963639338-0.460468966340483i</v>
      </c>
      <c r="AQ399" s="50">
        <f t="shared" si="340"/>
        <v>-5.5671205336968885</v>
      </c>
      <c r="AR399" s="62">
        <f t="shared" si="341"/>
        <v>-119.06248311560303</v>
      </c>
      <c r="AS399" s="32" t="str">
        <f t="shared" si="318"/>
        <v>-0.0000166666666666667</v>
      </c>
      <c r="AT399" s="32" t="str">
        <f t="shared" si="319"/>
        <v>0.00137930015623223i</v>
      </c>
      <c r="AU399" s="32">
        <f t="shared" si="342"/>
        <v>1.37930015623223E-3</v>
      </c>
      <c r="AV399" s="32">
        <f t="shared" si="343"/>
        <v>1.5707963267948966</v>
      </c>
      <c r="AW399" s="32" t="str">
        <f t="shared" si="320"/>
        <v>1+1.40173168126438i</v>
      </c>
      <c r="AX399" s="32">
        <f t="shared" si="344"/>
        <v>1.7218744745945522</v>
      </c>
      <c r="AY399" s="32">
        <f t="shared" si="345"/>
        <v>0.95113138943183628</v>
      </c>
      <c r="AZ399" s="32" t="str">
        <f t="shared" si="321"/>
        <v>1+47.658877162989i</v>
      </c>
      <c r="BA399" s="32">
        <f t="shared" si="346"/>
        <v>47.669367233443268</v>
      </c>
      <c r="BB399" s="32">
        <f t="shared" si="347"/>
        <v>1.5498169553981647</v>
      </c>
      <c r="BC399" s="59" t="str">
        <f t="shared" si="348"/>
        <v>-0.188523640321704+0.276342981896557i</v>
      </c>
      <c r="BD399" s="50">
        <f t="shared" si="349"/>
        <v>-9.5114427337510286</v>
      </c>
      <c r="BE399" s="62">
        <f t="shared" si="350"/>
        <v>124.30215618527161</v>
      </c>
      <c r="BF399" s="59" t="str">
        <f t="shared" si="351"/>
        <v>0.0267205705102018-0.0819556016617838i</v>
      </c>
      <c r="BG399" s="65">
        <f t="shared" si="352"/>
        <v>-21.289697150175005</v>
      </c>
      <c r="BH399" s="62">
        <f t="shared" si="353"/>
        <v>-71.942107706095044</v>
      </c>
      <c r="BI399" s="59" t="str">
        <f t="shared" si="357"/>
        <v>0.175490371409194+0.0160934031133468i</v>
      </c>
      <c r="BJ399" s="65">
        <f t="shared" si="354"/>
        <v>-15.078563267447905</v>
      </c>
      <c r="BK399" s="62">
        <f t="shared" si="358"/>
        <v>5.2396730696685827</v>
      </c>
      <c r="BL399" s="50">
        <f t="shared" si="355"/>
        <v>-21.289697150175005</v>
      </c>
      <c r="BM399" s="62">
        <f t="shared" si="356"/>
        <v>-71.942107706095044</v>
      </c>
    </row>
    <row r="400" spans="14:65" x14ac:dyDescent="0.3">
      <c r="N400" s="11">
        <v>82</v>
      </c>
      <c r="O400" s="51">
        <f t="shared" si="359"/>
        <v>66069.344800759733</v>
      </c>
      <c r="P400" s="49" t="str">
        <f t="shared" si="309"/>
        <v>27.9103246607183</v>
      </c>
      <c r="Q400" s="18" t="str">
        <f t="shared" si="310"/>
        <v>1+203.918874068771i</v>
      </c>
      <c r="R400" s="18">
        <f t="shared" si="322"/>
        <v>203.92132600950617</v>
      </c>
      <c r="S400" s="18">
        <f t="shared" si="323"/>
        <v>1.5658924551519795</v>
      </c>
      <c r="T400" s="18" t="str">
        <f t="shared" si="311"/>
        <v>1+0.182655412063131i</v>
      </c>
      <c r="U400" s="18">
        <f t="shared" si="324"/>
        <v>1.0165446372668305</v>
      </c>
      <c r="V400" s="18">
        <f t="shared" si="325"/>
        <v>0.18066381908961335</v>
      </c>
      <c r="W400" s="32" t="str">
        <f t="shared" si="312"/>
        <v>1-2.40875543405363i</v>
      </c>
      <c r="X400" s="18">
        <f t="shared" si="326"/>
        <v>2.608084113115007</v>
      </c>
      <c r="Y400" s="18">
        <f t="shared" si="327"/>
        <v>-1.1772963754108883</v>
      </c>
      <c r="Z400" s="32" t="str">
        <f t="shared" si="313"/>
        <v>0.909810778462775+1.10149893380013i</v>
      </c>
      <c r="AA400" s="18">
        <f t="shared" si="328"/>
        <v>1.4286551556515883</v>
      </c>
      <c r="AB400" s="18">
        <f t="shared" si="329"/>
        <v>0.88041631223357075</v>
      </c>
      <c r="AC400" s="67" t="str">
        <f t="shared" si="330"/>
        <v>-0.242547959304764+0.0753874445645514i</v>
      </c>
      <c r="AD400" s="65">
        <f t="shared" si="331"/>
        <v>-11.903542472845119</v>
      </c>
      <c r="AE400" s="62">
        <f t="shared" si="332"/>
        <v>162.73399304041396</v>
      </c>
      <c r="AF400" s="50" t="str">
        <f t="shared" si="314"/>
        <v>79.1527877025864</v>
      </c>
      <c r="AG400" s="50" t="str">
        <f t="shared" si="315"/>
        <v>1+202.325994900699i</v>
      </c>
      <c r="AH400" s="50">
        <f t="shared" si="333"/>
        <v>202.32846614492405</v>
      </c>
      <c r="AI400" s="50">
        <f t="shared" si="334"/>
        <v>1.5658538484060964</v>
      </c>
      <c r="AJ400" s="50" t="str">
        <f t="shared" si="316"/>
        <v>1+0.182655412063131i</v>
      </c>
      <c r="AK400" s="50">
        <f t="shared" si="335"/>
        <v>1.0165446372668305</v>
      </c>
      <c r="AL400" s="50">
        <f t="shared" si="336"/>
        <v>0.18066381908961335</v>
      </c>
      <c r="AM400" s="50" t="str">
        <f t="shared" si="317"/>
        <v>1-0.842723220099392i</v>
      </c>
      <c r="AN400" s="50">
        <f t="shared" si="337"/>
        <v>1.3077394334096868</v>
      </c>
      <c r="AO400" s="50">
        <f t="shared" si="338"/>
        <v>-0.70025431954840833</v>
      </c>
      <c r="AP400" s="59" t="str">
        <f t="shared" si="339"/>
        <v>-0.255990382982188-0.452698156923487i</v>
      </c>
      <c r="AQ400" s="50">
        <f t="shared" si="340"/>
        <v>-5.6788620190373145</v>
      </c>
      <c r="AR400" s="62">
        <f t="shared" si="341"/>
        <v>-119.48715959936631</v>
      </c>
      <c r="AS400" s="32" t="str">
        <f t="shared" si="318"/>
        <v>-0.0000166666666666667</v>
      </c>
      <c r="AT400" s="32" t="str">
        <f t="shared" si="319"/>
        <v>0.00141142818412419i</v>
      </c>
      <c r="AU400" s="32">
        <f t="shared" si="342"/>
        <v>1.41142818412419E-3</v>
      </c>
      <c r="AV400" s="32">
        <f t="shared" si="343"/>
        <v>1.5707963267948966</v>
      </c>
      <c r="AW400" s="32" t="str">
        <f t="shared" si="320"/>
        <v>1+1.43438220649576i</v>
      </c>
      <c r="AX400" s="32">
        <f t="shared" si="344"/>
        <v>1.7485572093333537</v>
      </c>
      <c r="AY400" s="32">
        <f t="shared" si="345"/>
        <v>0.96197608463786988</v>
      </c>
      <c r="AZ400" s="32" t="str">
        <f t="shared" si="321"/>
        <v>1+48.768995020856i</v>
      </c>
      <c r="BA400" s="32">
        <f t="shared" si="346"/>
        <v>48.779246358920695</v>
      </c>
      <c r="BB400" s="32">
        <f t="shared" si="347"/>
        <v>1.5502943688285165</v>
      </c>
      <c r="BC400" s="59" t="str">
        <f t="shared" si="348"/>
        <v>-0.182813852586297+0.274033307562536i</v>
      </c>
      <c r="BD400" s="50">
        <f t="shared" si="349"/>
        <v>-9.6450959150742719</v>
      </c>
      <c r="BE400" s="62">
        <f t="shared" si="350"/>
        <v>123.70815469450213</v>
      </c>
      <c r="BF400" s="59" t="str">
        <f t="shared" si="351"/>
        <v>0.0236824560947369-0.0802480887083094i</v>
      </c>
      <c r="BG400" s="65">
        <f t="shared" si="352"/>
        <v>-21.548638387919393</v>
      </c>
      <c r="BH400" s="62">
        <f t="shared" si="353"/>
        <v>-73.557852265083937</v>
      </c>
      <c r="BI400" s="59" t="str">
        <f t="shared" si="357"/>
        <v>0.170852961407223+0.0126096027730894i</v>
      </c>
      <c r="BJ400" s="65">
        <f t="shared" si="354"/>
        <v>-15.323957934111563</v>
      </c>
      <c r="BK400" s="62">
        <f t="shared" si="358"/>
        <v>4.2209950951357982</v>
      </c>
      <c r="BL400" s="50">
        <f t="shared" si="355"/>
        <v>-21.548638387919393</v>
      </c>
      <c r="BM400" s="62">
        <f t="shared" si="356"/>
        <v>-73.557852265083937</v>
      </c>
    </row>
    <row r="401" spans="14:65" x14ac:dyDescent="0.3">
      <c r="N401" s="11">
        <v>83</v>
      </c>
      <c r="O401" s="51">
        <f t="shared" si="359"/>
        <v>67608.297539198305</v>
      </c>
      <c r="P401" s="49" t="str">
        <f t="shared" si="309"/>
        <v>27.9103246607183</v>
      </c>
      <c r="Q401" s="18" t="str">
        <f t="shared" si="310"/>
        <v>1+208.668754828354i</v>
      </c>
      <c r="R401" s="18">
        <f t="shared" si="322"/>
        <v>208.67115095675229</v>
      </c>
      <c r="S401" s="18">
        <f t="shared" si="323"/>
        <v>1.5660040791697147</v>
      </c>
      <c r="T401" s="18" t="str">
        <f t="shared" si="311"/>
        <v>1+0.186910003166356i</v>
      </c>
      <c r="U401" s="18">
        <f t="shared" si="324"/>
        <v>1.0173177228789674</v>
      </c>
      <c r="V401" s="18">
        <f t="shared" si="325"/>
        <v>0.1847779299355603</v>
      </c>
      <c r="W401" s="32" t="str">
        <f t="shared" si="312"/>
        <v>1-2.46486255578527i</v>
      </c>
      <c r="X401" s="18">
        <f t="shared" si="326"/>
        <v>2.6599901163185349</v>
      </c>
      <c r="Y401" s="18">
        <f t="shared" si="327"/>
        <v>-1.18538400231084</v>
      </c>
      <c r="Z401" s="32" t="str">
        <f t="shared" si="313"/>
        <v>0.905560291401885+1.1271561399624i</v>
      </c>
      <c r="AA401" s="18">
        <f t="shared" si="328"/>
        <v>1.4458632041859301</v>
      </c>
      <c r="AB401" s="18">
        <f t="shared" si="329"/>
        <v>0.89398400582416426</v>
      </c>
      <c r="AC401" s="67" t="str">
        <f t="shared" si="330"/>
        <v>-0.237700066430509+0.0785079633467913i</v>
      </c>
      <c r="AD401" s="65">
        <f t="shared" si="331"/>
        <v>-12.029761903732698</v>
      </c>
      <c r="AE401" s="62">
        <f t="shared" si="332"/>
        <v>161.72256017511572</v>
      </c>
      <c r="AF401" s="50" t="str">
        <f t="shared" si="314"/>
        <v>79.1527877025864</v>
      </c>
      <c r="AG401" s="50" t="str">
        <f t="shared" si="315"/>
        <v>1+207.038772738117i</v>
      </c>
      <c r="AH401" s="50">
        <f t="shared" si="333"/>
        <v>207.04118773061958</v>
      </c>
      <c r="AI401" s="50">
        <f t="shared" si="334"/>
        <v>1.5659663511795017</v>
      </c>
      <c r="AJ401" s="50" t="str">
        <f t="shared" si="316"/>
        <v>1+0.186910003166356i</v>
      </c>
      <c r="AK401" s="50">
        <f t="shared" si="335"/>
        <v>1.0173177228789674</v>
      </c>
      <c r="AL401" s="50">
        <f t="shared" si="336"/>
        <v>0.1847779299355603</v>
      </c>
      <c r="AM401" s="50" t="str">
        <f t="shared" si="317"/>
        <v>1-0.86235276555998i</v>
      </c>
      <c r="AN401" s="50">
        <f t="shared" si="337"/>
        <v>1.3204742679313921</v>
      </c>
      <c r="AO401" s="50">
        <f t="shared" si="338"/>
        <v>-0.71162191041895417</v>
      </c>
      <c r="AP401" s="59" t="str">
        <f t="shared" si="339"/>
        <v>-0.256077687973326-0.445167333379167i</v>
      </c>
      <c r="AQ401" s="50">
        <f t="shared" si="340"/>
        <v>-5.7880796477756356</v>
      </c>
      <c r="AR401" s="62">
        <f t="shared" si="341"/>
        <v>-119.90919932565792</v>
      </c>
      <c r="AS401" s="32" t="str">
        <f t="shared" si="318"/>
        <v>-0.0000166666666666667</v>
      </c>
      <c r="AT401" s="32" t="str">
        <f t="shared" si="319"/>
        <v>0.00144430456992184i</v>
      </c>
      <c r="AU401" s="32">
        <f t="shared" si="342"/>
        <v>1.44430456992184E-3</v>
      </c>
      <c r="AV401" s="32">
        <f t="shared" si="343"/>
        <v>1.5707963267948966</v>
      </c>
      <c r="AW401" s="32" t="str">
        <f t="shared" si="320"/>
        <v>1+1.46779326015932i</v>
      </c>
      <c r="AX401" s="32">
        <f t="shared" si="344"/>
        <v>1.7760678631654605</v>
      </c>
      <c r="AY401" s="32">
        <f t="shared" si="345"/>
        <v>0.97273476854407326</v>
      </c>
      <c r="AZ401" s="32" t="str">
        <f t="shared" si="321"/>
        <v>1+49.9049708454169i</v>
      </c>
      <c r="BA401" s="32">
        <f t="shared" si="346"/>
        <v>49.914988881917125</v>
      </c>
      <c r="BB401" s="32">
        <f t="shared" si="347"/>
        <v>1.5507609240345528</v>
      </c>
      <c r="BC401" s="59" t="str">
        <f t="shared" si="348"/>
        <v>-0.177194272985742+0.271624138614834i</v>
      </c>
      <c r="BD401" s="50">
        <f t="shared" si="349"/>
        <v>-9.7807722625359368</v>
      </c>
      <c r="BE401" s="62">
        <f t="shared" si="350"/>
        <v>123.11845915777725</v>
      </c>
      <c r="BF401" s="59" t="str">
        <f t="shared" si="351"/>
        <v>0.0207944325413395-0.0784762372817018i</v>
      </c>
      <c r="BG401" s="65">
        <f t="shared" si="352"/>
        <v>-21.810534166268631</v>
      </c>
      <c r="BH401" s="62">
        <f t="shared" si="353"/>
        <v>-75.158980667107016</v>
      </c>
      <c r="BI401" s="59" t="str">
        <f t="shared" si="357"/>
        <v>0.166293693216882+0.00932422058089002i</v>
      </c>
      <c r="BJ401" s="65">
        <f t="shared" si="354"/>
        <v>-15.568851910311574</v>
      </c>
      <c r="BK401" s="62">
        <f t="shared" si="358"/>
        <v>3.209259832119328</v>
      </c>
      <c r="BL401" s="50">
        <f t="shared" si="355"/>
        <v>-21.810534166268631</v>
      </c>
      <c r="BM401" s="62">
        <f t="shared" si="356"/>
        <v>-75.158980667107016</v>
      </c>
    </row>
    <row r="402" spans="14:65" x14ac:dyDescent="0.3">
      <c r="N402" s="11">
        <v>84</v>
      </c>
      <c r="O402" s="51">
        <f t="shared" si="359"/>
        <v>69183.097091893651</v>
      </c>
      <c r="P402" s="49" t="str">
        <f t="shared" si="309"/>
        <v>27.9103246607183</v>
      </c>
      <c r="Q402" s="18" t="str">
        <f t="shared" si="310"/>
        <v>1+213.529274523805i</v>
      </c>
      <c r="R402" s="18">
        <f t="shared" si="322"/>
        <v>213.53161611026709</v>
      </c>
      <c r="S402" s="18">
        <f t="shared" si="323"/>
        <v>1.5661131624299951</v>
      </c>
      <c r="T402" s="18" t="str">
        <f t="shared" si="311"/>
        <v>1+0.191263696427305i</v>
      </c>
      <c r="U402" s="18">
        <f t="shared" si="324"/>
        <v>1.018126613722987</v>
      </c>
      <c r="V402" s="18">
        <f t="shared" si="325"/>
        <v>0.18898132980113225</v>
      </c>
      <c r="W402" s="32" t="str">
        <f t="shared" si="312"/>
        <v>1-2.52227658027029i</v>
      </c>
      <c r="X402" s="18">
        <f t="shared" si="326"/>
        <v>2.7132783026036948</v>
      </c>
      <c r="Y402" s="18">
        <f t="shared" si="327"/>
        <v>-1.1933391492526115</v>
      </c>
      <c r="Z402" s="32" t="str">
        <f t="shared" si="313"/>
        <v>0.901109485057306+1.15341097922974i</v>
      </c>
      <c r="AA402" s="18">
        <f t="shared" si="328"/>
        <v>1.4636786502056902</v>
      </c>
      <c r="AB402" s="18">
        <f t="shared" si="329"/>
        <v>0.90758948057129563</v>
      </c>
      <c r="AC402" s="67" t="str">
        <f t="shared" si="330"/>
        <v>-0.232858114248616+0.0814462348263476i</v>
      </c>
      <c r="AD402" s="65">
        <f t="shared" si="331"/>
        <v>-12.156938097097553</v>
      </c>
      <c r="AE402" s="62">
        <f t="shared" si="332"/>
        <v>160.72181461013693</v>
      </c>
      <c r="AF402" s="50" t="str">
        <f t="shared" si="314"/>
        <v>79.1527877025864</v>
      </c>
      <c r="AG402" s="50" t="str">
        <f t="shared" si="315"/>
        <v>1+211.861325273322i</v>
      </c>
      <c r="AH402" s="50">
        <f t="shared" si="333"/>
        <v>211.86368529450334</v>
      </c>
      <c r="AI402" s="50">
        <f t="shared" si="334"/>
        <v>1.5660762931952776</v>
      </c>
      <c r="AJ402" s="50" t="str">
        <f t="shared" si="316"/>
        <v>1+0.191263696427305i</v>
      </c>
      <c r="AK402" s="50">
        <f t="shared" si="335"/>
        <v>1.018126613722987</v>
      </c>
      <c r="AL402" s="50">
        <f t="shared" si="336"/>
        <v>0.18898132980113225</v>
      </c>
      <c r="AM402" s="50" t="str">
        <f t="shared" si="317"/>
        <v>1-0.882439541871453i</v>
      </c>
      <c r="AN402" s="50">
        <f t="shared" si="337"/>
        <v>1.3336789512691201</v>
      </c>
      <c r="AO402" s="50">
        <f t="shared" si="338"/>
        <v>-0.72302804314002411</v>
      </c>
      <c r="AP402" s="59" t="str">
        <f t="shared" si="339"/>
        <v>-0.256161063771792-0.437872505480438i</v>
      </c>
      <c r="AQ402" s="50">
        <f t="shared" si="340"/>
        <v>-5.8947444083210634</v>
      </c>
      <c r="AR402" s="62">
        <f t="shared" si="341"/>
        <v>-120.32818473273328</v>
      </c>
      <c r="AS402" s="32" t="str">
        <f t="shared" si="318"/>
        <v>-0.0000166666666666667</v>
      </c>
      <c r="AT402" s="32" t="str">
        <f t="shared" si="319"/>
        <v>0.00147794674512008i</v>
      </c>
      <c r="AU402" s="32">
        <f t="shared" si="342"/>
        <v>1.47794674512008E-3</v>
      </c>
      <c r="AV402" s="32">
        <f t="shared" si="343"/>
        <v>1.5707963267948966</v>
      </c>
      <c r="AW402" s="32" t="str">
        <f t="shared" si="320"/>
        <v>1+1.50198255723795i</v>
      </c>
      <c r="AX402" s="32">
        <f t="shared" si="344"/>
        <v>1.8044255601844736</v>
      </c>
      <c r="AY402" s="32">
        <f t="shared" si="345"/>
        <v>0.98340318311160113</v>
      </c>
      <c r="AZ402" s="32" t="str">
        <f t="shared" si="321"/>
        <v>1+51.0674069460903i</v>
      </c>
      <c r="BA402" s="32">
        <f t="shared" si="346"/>
        <v>51.077196988456521</v>
      </c>
      <c r="BB402" s="32">
        <f t="shared" si="347"/>
        <v>1.551216867577099</v>
      </c>
      <c r="BC402" s="59" t="str">
        <f t="shared" si="348"/>
        <v>-0.171668594917829+0.269120141292901i</v>
      </c>
      <c r="BD402" s="50">
        <f t="shared" si="349"/>
        <v>-9.9184390019382036</v>
      </c>
      <c r="BE402" s="62">
        <f t="shared" si="350"/>
        <v>122.53332766964621</v>
      </c>
      <c r="BF402" s="59" t="str">
        <f t="shared" si="351"/>
        <v>0.0180556030640337-0.0766485693017727i</v>
      </c>
      <c r="BG402" s="65">
        <f t="shared" si="352"/>
        <v>-22.075377099035755</v>
      </c>
      <c r="BH402" s="62">
        <f t="shared" si="353"/>
        <v>-76.744857720216899</v>
      </c>
      <c r="BI402" s="59" t="str">
        <f t="shared" si="357"/>
        <v>0.161815120433532+0.00623085609297168i</v>
      </c>
      <c r="BJ402" s="65">
        <f t="shared" si="354"/>
        <v>-15.813183410259267</v>
      </c>
      <c r="BK402" s="62">
        <f t="shared" si="358"/>
        <v>2.2051429369129343</v>
      </c>
      <c r="BL402" s="50">
        <f t="shared" si="355"/>
        <v>-22.075377099035755</v>
      </c>
      <c r="BM402" s="62">
        <f t="shared" si="356"/>
        <v>-76.744857720216899</v>
      </c>
    </row>
    <row r="403" spans="14:65" x14ac:dyDescent="0.3">
      <c r="N403" s="11">
        <v>85</v>
      </c>
      <c r="O403" s="51">
        <f t="shared" si="359"/>
        <v>70794.578438413781</v>
      </c>
      <c r="P403" s="49" t="str">
        <f t="shared" ref="P403:P466" si="360">COMPLEX(Adc,0)</f>
        <v>27.9103246607183</v>
      </c>
      <c r="Q403" s="18" t="str">
        <f t="shared" ref="Q403:Q466" si="361">IMSUM(COMPLEX(1,0),IMDIV(COMPLEX(0,2*PI()*O403),COMPLEX(wp_lf,0)))</f>
        <v>1+218.503010267003i</v>
      </c>
      <c r="R403" s="18">
        <f t="shared" si="322"/>
        <v>218.50529855301451</v>
      </c>
      <c r="S403" s="18">
        <f t="shared" si="323"/>
        <v>1.5662197627598191</v>
      </c>
      <c r="T403" s="18" t="str">
        <f t="shared" ref="T403:T466" si="362">IMSUM(COMPLEX(1,0),IMDIV(COMPLEX(0,2*PI()*O403),COMPLEX(wz_esr,0)))</f>
        <v>1+0.195718800231774i</v>
      </c>
      <c r="U403" s="18">
        <f t="shared" si="324"/>
        <v>1.0189729381902961</v>
      </c>
      <c r="V403" s="18">
        <f t="shared" si="325"/>
        <v>0.19327565295124022</v>
      </c>
      <c r="W403" s="32" t="str">
        <f t="shared" ref="W403:W466" si="363">IMSUB(COMPLEX(1,0),IMDIV(COMPLEX(0,2*PI()*O403),COMPLEX(wz_rhp,0)))</f>
        <v>1-2.58102794918445i</v>
      </c>
      <c r="X403" s="18">
        <f t="shared" si="326"/>
        <v>2.7679785538315298</v>
      </c>
      <c r="Y403" s="18">
        <f t="shared" si="327"/>
        <v>-1.201162005630485</v>
      </c>
      <c r="Z403" s="32" t="str">
        <f t="shared" ref="Z403:Z466" si="364">IMSUM(COMPLEX(1,0),IMDIV(COMPLEX(0,2*PI()*O403),COMPLEX(Q*(wsl/2),0)),IMDIV(IMPOWER(COMPLEX(0,2*PI()*O403),2),IMPOWER(COMPLEX(wsl/2,0),2)))</f>
        <v>0.896448918672051+1.18027737226548i</v>
      </c>
      <c r="AA403" s="18">
        <f t="shared" si="328"/>
        <v>1.4821185307761979</v>
      </c>
      <c r="AB403" s="18">
        <f t="shared" si="329"/>
        <v>0.92122770952025701</v>
      </c>
      <c r="AC403" s="67" t="str">
        <f t="shared" si="330"/>
        <v>-0.228027252930779+0.0842045310478552i</v>
      </c>
      <c r="AD403" s="65">
        <f t="shared" si="331"/>
        <v>-12.285093009403379</v>
      </c>
      <c r="AE403" s="62">
        <f t="shared" si="332"/>
        <v>159.73212384051206</v>
      </c>
      <c r="AF403" s="50" t="str">
        <f t="shared" ref="AF403:AF466" si="365">COMPLEX($B$72,0)</f>
        <v>79.1527877025864</v>
      </c>
      <c r="AG403" s="50" t="str">
        <f t="shared" ref="AG403:AG466" si="366">IMSUM(COMPLEX(1,0),IMDIV(COMPLEX(0,2*PI()*O403),COMPLEX(wp_lf_DCM,0)))</f>
        <v>1+216.796209487503i</v>
      </c>
      <c r="AH403" s="50">
        <f t="shared" si="333"/>
        <v>216.79851578862176</v>
      </c>
      <c r="AI403" s="50">
        <f t="shared" si="334"/>
        <v>1.566183732735499</v>
      </c>
      <c r="AJ403" s="50" t="str">
        <f t="shared" ref="AJ403:AJ466" si="367">IMSUM(COMPLEX(1,0),IMDIV(COMPLEX(0,2*PI()*O403),COMPLEX(wz1_dcm,0)))</f>
        <v>1+0.195718800231774i</v>
      </c>
      <c r="AK403" s="50">
        <f t="shared" si="335"/>
        <v>1.0189729381902961</v>
      </c>
      <c r="AL403" s="50">
        <f t="shared" si="336"/>
        <v>0.19327565295124022</v>
      </c>
      <c r="AM403" s="50" t="str">
        <f t="shared" ref="AM403:AM466" si="368">IMSUB(COMPLEX(1,0),IMDIV(COMPLEX(0,2*PI()*O403),COMPLEX(wz2_dcm,0)))</f>
        <v>1-0.902994199308496i</v>
      </c>
      <c r="AN403" s="50">
        <f t="shared" si="337"/>
        <v>1.3473672565357939</v>
      </c>
      <c r="AO403" s="50">
        <f t="shared" si="338"/>
        <v>-0.73446689480727034</v>
      </c>
      <c r="AP403" s="59" t="str">
        <f t="shared" si="339"/>
        <v>-0.256240687204622-0.430809807947016i</v>
      </c>
      <c r="AQ403" s="50">
        <f t="shared" si="340"/>
        <v>-5.9988290096094943</v>
      </c>
      <c r="AR403" s="62">
        <f t="shared" si="341"/>
        <v>-120.74369189558378</v>
      </c>
      <c r="AS403" s="32" t="str">
        <f t="shared" ref="AS403:AS466" si="369">COMPLEX(Adc_ea,0)</f>
        <v>-0.0000166666666666667</v>
      </c>
      <c r="AT403" s="32" t="str">
        <f t="shared" ref="AT403:AT466" si="370">COMPLEX(0,2*PI()*O403*wp0_ea)</f>
        <v>0.00151237254724553i</v>
      </c>
      <c r="AU403" s="32">
        <f t="shared" si="342"/>
        <v>1.51237254724553E-3</v>
      </c>
      <c r="AV403" s="32">
        <f t="shared" si="343"/>
        <v>1.5707963267948966</v>
      </c>
      <c r="AW403" s="32" t="str">
        <f t="shared" ref="AW403:AW466" si="371">IMSUM(COMPLEX(1,0),IMDIV(COMPLEX(0,2*PI()*O403),COMPLEX(wp1_ea,0)))</f>
        <v>1+1.53696822534952i</v>
      </c>
      <c r="AX403" s="32">
        <f t="shared" si="344"/>
        <v>1.8336497282016686</v>
      </c>
      <c r="AY403" s="32">
        <f t="shared" si="345"/>
        <v>0.9939772710131396</v>
      </c>
      <c r="AZ403" s="32" t="str">
        <f t="shared" ref="AZ403:AZ466" si="372">IMSUM(COMPLEX(1,0),IMDIV(COMPLEX(0,2*PI()*O403),COMPLEX(wz_ea,0)))</f>
        <v>1+52.2569196618837i</v>
      </c>
      <c r="BA403" s="32">
        <f t="shared" si="346"/>
        <v>52.266486896945423</v>
      </c>
      <c r="BB403" s="32">
        <f t="shared" si="347"/>
        <v>1.5516624404447525</v>
      </c>
      <c r="BC403" s="59" t="str">
        <f t="shared" si="348"/>
        <v>-0.166240193764306+0.266526107970589i</v>
      </c>
      <c r="BD403" s="50">
        <f t="shared" si="349"/>
        <v>-10.058062086500176</v>
      </c>
      <c r="BE403" s="62">
        <f t="shared" si="350"/>
        <v>121.9530065054695</v>
      </c>
      <c r="BF403" s="59" t="str">
        <f t="shared" si="351"/>
        <v>0.0154645887770816-0.0747733937920936i</v>
      </c>
      <c r="BG403" s="65">
        <f t="shared" si="352"/>
        <v>-22.343155095903555</v>
      </c>
      <c r="BH403" s="62">
        <f t="shared" si="353"/>
        <v>-78.314869654018437</v>
      </c>
      <c r="BI403" s="59" t="str">
        <f t="shared" si="357"/>
        <v>0.15741956287887+0.00332307288431839i</v>
      </c>
      <c r="BJ403" s="65">
        <f t="shared" si="354"/>
        <v>-16.056891096109695</v>
      </c>
      <c r="BK403" s="62">
        <f t="shared" si="358"/>
        <v>1.2093146098857428</v>
      </c>
      <c r="BL403" s="50">
        <f t="shared" si="355"/>
        <v>-22.343155095903555</v>
      </c>
      <c r="BM403" s="62">
        <f t="shared" si="356"/>
        <v>-78.314869654018437</v>
      </c>
    </row>
    <row r="404" spans="14:65" x14ac:dyDescent="0.3">
      <c r="N404" s="11">
        <v>86</v>
      </c>
      <c r="O404" s="51">
        <f t="shared" si="359"/>
        <v>72443.596007499116</v>
      </c>
      <c r="P404" s="49" t="str">
        <f t="shared" si="360"/>
        <v>27.9103246607183</v>
      </c>
      <c r="Q404" s="18" t="str">
        <f t="shared" si="361"/>
        <v>1+223.592599198474i</v>
      </c>
      <c r="R404" s="18">
        <f t="shared" ref="R404:R467" si="373">IMABS(Q404)</f>
        <v>223.59483539726369</v>
      </c>
      <c r="S404" s="18">
        <f t="shared" ref="S404:S467" si="374">IMARGUMENT(Q404)</f>
        <v>1.5663239366703963</v>
      </c>
      <c r="T404" s="18" t="str">
        <f t="shared" si="362"/>
        <v>1+0.200277676734772i</v>
      </c>
      <c r="U404" s="18">
        <f t="shared" ref="U404:U467" si="375">IMABS(T404)</f>
        <v>1.019858395954202</v>
      </c>
      <c r="V404" s="18">
        <f t="shared" ref="V404:V467" si="376">IMARGUMENT(T404)</f>
        <v>0.19766254244719159</v>
      </c>
      <c r="W404" s="32" t="str">
        <f t="shared" si="363"/>
        <v>1-2.64114781328122i</v>
      </c>
      <c r="X404" s="18">
        <f t="shared" ref="X404:X467" si="377">IMABS(W404)</f>
        <v>2.8241214158743544</v>
      </c>
      <c r="Y404" s="18">
        <f t="shared" ref="Y404:Y467" si="378">IMARGUMENT(W404)</f>
        <v>-1.208852888310902</v>
      </c>
      <c r="Z404" s="32" t="str">
        <f t="shared" si="364"/>
        <v>0.891568706559964+1.20776956398681i</v>
      </c>
      <c r="AA404" s="18">
        <f t="shared" ref="AA404:AA467" si="379">IMABS(Z404)</f>
        <v>1.5012002125665636</v>
      </c>
      <c r="AB404" s="18">
        <f t="shared" ref="AB404:AB467" si="380">IMARGUMENT(Z404)</f>
        <v>0.93489372672515247</v>
      </c>
      <c r="AC404" s="67" t="str">
        <f t="shared" ref="AC404:AC467" si="381">(IMDIV(IMPRODUCT(P404,T404,W404),IMPRODUCT(Q404,Z404)))</f>
        <v>-0.223212573758938+0.0867853778291313i</v>
      </c>
      <c r="AD404" s="65">
        <f t="shared" ref="AD404:AD467" si="382">20*LOG(IMABS(AC404))</f>
        <v>-12.414245142783521</v>
      </c>
      <c r="AE404" s="62">
        <f t="shared" ref="AE404:AE467" si="383">(180/PI())*IMARGUMENT(AC404)</f>
        <v>158.75384514149704</v>
      </c>
      <c r="AF404" s="50" t="str">
        <f t="shared" si="365"/>
        <v>79.1527877025864</v>
      </c>
      <c r="AG404" s="50" t="str">
        <f t="shared" si="366"/>
        <v>1+221.846041921593i</v>
      </c>
      <c r="AH404" s="50">
        <f t="shared" ref="AH404:AH467" si="384">IMABS(AG404)</f>
        <v>221.84829572542856</v>
      </c>
      <c r="AI404" s="50">
        <f t="shared" ref="AI404:AI467" si="385">IMARGUMENT(AG404)</f>
        <v>1.5662887267561054</v>
      </c>
      <c r="AJ404" s="50" t="str">
        <f t="shared" si="367"/>
        <v>1+0.200277676734772i</v>
      </c>
      <c r="AK404" s="50">
        <f t="shared" ref="AK404:AK467" si="386">IMABS(AJ404)</f>
        <v>1.019858395954202</v>
      </c>
      <c r="AL404" s="50">
        <f t="shared" ref="AL404:AL467" si="387">IMARGUMENT(AJ404)</f>
        <v>0.19766254244719159</v>
      </c>
      <c r="AM404" s="50" t="str">
        <f t="shared" si="368"/>
        <v>1-0.924027636222556i</v>
      </c>
      <c r="AN404" s="50">
        <f t="shared" ref="AN404:AN467" si="388">IMABS(AM404)</f>
        <v>1.3615531838687185</v>
      </c>
      <c r="AO404" s="50">
        <f t="shared" ref="AO404:AO467" si="389">IMARGUMENT(AM404)</f>
        <v>-0.7459325574620187</v>
      </c>
      <c r="AP404" s="59" t="str">
        <f t="shared" ref="AP404:AP467" si="390">(IMDIV(IMPRODUCT(AF404,AJ404,AM404),IMPRODUCT(AG404)))</f>
        <v>-0.256316727141704-0.423975498408083i</v>
      </c>
      <c r="AQ404" s="50">
        <f t="shared" ref="AQ404:AQ467" si="391">20*LOG(IMABS(AP404))</f>
        <v>-6.1003079225060741</v>
      </c>
      <c r="AR404" s="62">
        <f t="shared" ref="AR404:AR467" si="392">(180/PI())*IMARGUMENT(AP404)</f>
        <v>-121.1552914359681</v>
      </c>
      <c r="AS404" s="32" t="str">
        <f t="shared" si="369"/>
        <v>-0.0000166666666666667</v>
      </c>
      <c r="AT404" s="32" t="str">
        <f t="shared" si="370"/>
        <v>0.00154760022931415i</v>
      </c>
      <c r="AU404" s="32">
        <f t="shared" ref="AU404:AU467" si="393">IMABS(AT404)</f>
        <v>1.54760022931415E-3</v>
      </c>
      <c r="AV404" s="32">
        <f t="shared" ref="AV404:AV467" si="394">IMARGUMENT(AT404)</f>
        <v>1.5707963267948966</v>
      </c>
      <c r="AW404" s="32" t="str">
        <f t="shared" si="371"/>
        <v>1+1.57276881435835i</v>
      </c>
      <c r="AX404" s="32">
        <f t="shared" ref="AX404:AX467" si="395">IMABS(AW404)</f>
        <v>1.8637601088708198</v>
      </c>
      <c r="AY404" s="32">
        <f t="shared" ref="AY404:AY467" si="396">IMARGUMENT(AW404)</f>
        <v>1.0044531802024255</v>
      </c>
      <c r="AZ404" s="32" t="str">
        <f t="shared" si="372"/>
        <v>1+53.474139688184i</v>
      </c>
      <c r="BA404" s="32">
        <f t="shared" ref="BA404:BA467" si="397">IMABS(AZ404)</f>
        <v>53.48348918490094</v>
      </c>
      <c r="BB404" s="32">
        <f t="shared" ref="BB404:BB467" si="398">IMARGUMENT(AZ404)</f>
        <v>1.552097878178045</v>
      </c>
      <c r="BC404" s="59" t="str">
        <f t="shared" ref="BC404:BC467" si="399">IMPRODUCT(AS404,IMDIV(AZ404,IMPRODUCT(AT404,AW404)))</f>
        <v>-0.160912124637574+0.263846933201622i</v>
      </c>
      <c r="BD404" s="50">
        <f t="shared" ref="BD404:BD467" si="400">20*LOG(IMABS(BC404))</f>
        <v>-10.199606311463167</v>
      </c>
      <c r="BE404" s="62">
        <f t="shared" ref="BE404:BE467" si="401">(180/PI())*IMARGUMENT(BC404)</f>
        <v>121.37772986671958</v>
      </c>
      <c r="BF404" s="59" t="str">
        <f t="shared" ref="BF404:BF467" si="402">IMPRODUCT(AC404,BC404)</f>
        <v>0.0130195537024116-0.0728587725722968i</v>
      </c>
      <c r="BG404" s="65">
        <f t="shared" ref="BG404:BG467" si="403">20*LOG(IMABS(BF404))</f>
        <v>-22.613851454246685</v>
      </c>
      <c r="BH404" s="62">
        <f t="shared" ref="BH404:BH467" si="404">(180/PI())*IMARGUMENT(BF404)</f>
        <v>-79.868424991783371</v>
      </c>
      <c r="BI404" s="59" t="str">
        <f t="shared" si="357"/>
        <v>0.153109104152123+0.000594415858503464i</v>
      </c>
      <c r="BJ404" s="65">
        <f t="shared" ref="BJ404:BJ467" si="405">20*LOG(IMABS(BI404))</f>
        <v>-16.299914233969229</v>
      </c>
      <c r="BK404" s="62">
        <f t="shared" si="358"/>
        <v>0.222438430751491</v>
      </c>
      <c r="BL404" s="50">
        <f t="shared" ref="BL404:BL467" si="406">IF($B$31=0,BJ404,BG404)</f>
        <v>-22.613851454246685</v>
      </c>
      <c r="BM404" s="62">
        <f t="shared" ref="BM404:BM467" si="407">IF($B$31=0,BK404,BH404)</f>
        <v>-79.868424991783371</v>
      </c>
    </row>
    <row r="405" spans="14:65" x14ac:dyDescent="0.3">
      <c r="N405" s="11">
        <v>87</v>
      </c>
      <c r="O405" s="51">
        <f t="shared" si="359"/>
        <v>74131.024130091857</v>
      </c>
      <c r="P405" s="49" t="str">
        <f t="shared" si="360"/>
        <v>27.9103246607183</v>
      </c>
      <c r="Q405" s="18" t="str">
        <f t="shared" si="361"/>
        <v>1+228.800739885638i</v>
      </c>
      <c r="R405" s="18">
        <f t="shared" si="373"/>
        <v>228.80292518282056</v>
      </c>
      <c r="S405" s="18">
        <f t="shared" si="374"/>
        <v>1.5664257393870633</v>
      </c>
      <c r="T405" s="18" t="str">
        <f t="shared" si="362"/>
        <v>1+0.204942743112963i</v>
      </c>
      <c r="U405" s="18">
        <f t="shared" si="375"/>
        <v>1.0207847608358316</v>
      </c>
      <c r="V405" s="18">
        <f t="shared" si="376"/>
        <v>0.20214364855442002</v>
      </c>
      <c r="W405" s="32" t="str">
        <f t="shared" si="363"/>
        <v>1-2.70266804890831i</v>
      </c>
      <c r="X405" s="18">
        <f t="shared" si="377"/>
        <v>2.8817381183219708</v>
      </c>
      <c r="Y405" s="18">
        <f t="shared" si="378"/>
        <v>-1.2164122347820607</v>
      </c>
      <c r="Z405" s="32" t="str">
        <f t="shared" si="364"/>
        <v>0.886458497136854+1.23590213111768i</v>
      </c>
      <c r="AA405" s="18">
        <f t="shared" si="379"/>
        <v>1.5209414008591366</v>
      </c>
      <c r="AB405" s="18">
        <f t="shared" si="380"/>
        <v>0.94858264313113816</v>
      </c>
      <c r="AC405" s="67" t="str">
        <f t="shared" si="381"/>
        <v>-0.21841908824318+0.0891915498723401i</v>
      </c>
      <c r="AD405" s="65">
        <f t="shared" si="382"/>
        <v>-12.544409536614403</v>
      </c>
      <c r="AE405" s="62">
        <f t="shared" si="383"/>
        <v>157.78732495813881</v>
      </c>
      <c r="AF405" s="50" t="str">
        <f t="shared" si="365"/>
        <v>79.1527877025864</v>
      </c>
      <c r="AG405" s="50" t="str">
        <f t="shared" si="366"/>
        <v>1+227.013500063589i</v>
      </c>
      <c r="AH405" s="50">
        <f t="shared" si="384"/>
        <v>227.01570256508938</v>
      </c>
      <c r="AI405" s="50">
        <f t="shared" si="385"/>
        <v>1.566391330917051</v>
      </c>
      <c r="AJ405" s="50" t="str">
        <f t="shared" si="367"/>
        <v>1+0.204942743112963i</v>
      </c>
      <c r="AK405" s="50">
        <f t="shared" si="386"/>
        <v>1.0207847608358316</v>
      </c>
      <c r="AL405" s="50">
        <f t="shared" si="387"/>
        <v>0.20214364855442002</v>
      </c>
      <c r="AM405" s="50" t="str">
        <f t="shared" si="368"/>
        <v>1-0.945551004820293i</v>
      </c>
      <c r="AN405" s="50">
        <f t="shared" si="388"/>
        <v>1.3762509592064471</v>
      </c>
      <c r="AO405" s="50">
        <f t="shared" si="389"/>
        <v>-0.75741905301187307</v>
      </c>
      <c r="AP405" s="59" t="str">
        <f t="shared" si="390"/>
        <v>-0.256389344853804-0.417365955429327i</v>
      </c>
      <c r="AQ405" s="50">
        <f t="shared" si="391"/>
        <v>-6.1991574120311306</v>
      </c>
      <c r="AR405" s="62">
        <f t="shared" si="392"/>
        <v>-121.5625494702588</v>
      </c>
      <c r="AS405" s="32" t="str">
        <f t="shared" si="369"/>
        <v>-0.0000166666666666667</v>
      </c>
      <c r="AT405" s="32" t="str">
        <f t="shared" si="370"/>
        <v>0.00158364846950925i</v>
      </c>
      <c r="AU405" s="32">
        <f t="shared" si="393"/>
        <v>1.5836484695092501E-3</v>
      </c>
      <c r="AV405" s="32">
        <f t="shared" si="394"/>
        <v>1.5707963267948966</v>
      </c>
      <c r="AW405" s="32" t="str">
        <f t="shared" si="371"/>
        <v>1+1.60940330621062i</v>
      </c>
      <c r="AX405" s="32">
        <f t="shared" si="395"/>
        <v>1.8947767683929617</v>
      </c>
      <c r="AY405" s="32">
        <f t="shared" si="396"/>
        <v>1.0148272675077485</v>
      </c>
      <c r="AZ405" s="32" t="str">
        <f t="shared" si="372"/>
        <v>1+54.7197124111609i</v>
      </c>
      <c r="BA405" s="32">
        <f t="shared" si="397"/>
        <v>54.728849123292889</v>
      </c>
      <c r="BB405" s="32">
        <f t="shared" si="398"/>
        <v>1.5525234109909545</v>
      </c>
      <c r="BC405" s="59" t="str">
        <f t="shared" si="399"/>
        <v>-0.155687122107376+0.261087590172262i</v>
      </c>
      <c r="BD405" s="50">
        <f t="shared" si="400"/>
        <v>-10.34303542913079</v>
      </c>
      <c r="BE405" s="62">
        <f t="shared" si="401"/>
        <v>120.8077196820483</v>
      </c>
      <c r="BF405" s="59" t="str">
        <f t="shared" si="402"/>
        <v>0.0107182324419993-0.0709124891129556i</v>
      </c>
      <c r="BG405" s="65">
        <f t="shared" si="403"/>
        <v>-22.887444965745196</v>
      </c>
      <c r="BH405" s="62">
        <f t="shared" si="404"/>
        <v>-81.404955359812888</v>
      </c>
      <c r="BI405" s="59" t="str">
        <f t="shared" si="357"/>
        <v>0.148885590762271-0.00196157172733745i</v>
      </c>
      <c r="BJ405" s="65">
        <f t="shared" si="405"/>
        <v>-16.542192841161921</v>
      </c>
      <c r="BK405" s="62">
        <f t="shared" si="358"/>
        <v>-0.75482978821047941</v>
      </c>
      <c r="BL405" s="50">
        <f t="shared" si="406"/>
        <v>-22.887444965745196</v>
      </c>
      <c r="BM405" s="62">
        <f t="shared" si="407"/>
        <v>-81.404955359812888</v>
      </c>
    </row>
    <row r="406" spans="14:65" x14ac:dyDescent="0.3">
      <c r="N406" s="11">
        <v>88</v>
      </c>
      <c r="O406" s="51">
        <f t="shared" si="359"/>
        <v>75857.757502918481</v>
      </c>
      <c r="P406" s="49" t="str">
        <f t="shared" si="360"/>
        <v>27.9103246607183</v>
      </c>
      <c r="Q406" s="18" t="str">
        <f t="shared" si="361"/>
        <v>1+234.130193753625i</v>
      </c>
      <c r="R406" s="18">
        <f t="shared" si="373"/>
        <v>234.13232930782965</v>
      </c>
      <c r="S406" s="18">
        <f t="shared" si="374"/>
        <v>1.5665252248785229</v>
      </c>
      <c r="T406" s="18" t="str">
        <f t="shared" si="362"/>
        <v>1+0.209716472846289i</v>
      </c>
      <c r="U406" s="18">
        <f t="shared" si="375"/>
        <v>1.0217538837621749</v>
      </c>
      <c r="V406" s="18">
        <f t="shared" si="376"/>
        <v>0.20672062701740457</v>
      </c>
      <c r="W406" s="32" t="str">
        <f t="shared" si="363"/>
        <v>1-2.76562127490897i</v>
      </c>
      <c r="X406" s="18">
        <f t="shared" si="377"/>
        <v>2.9408605944908572</v>
      </c>
      <c r="Y406" s="18">
        <f t="shared" si="378"/>
        <v>-1.2238405963587924</v>
      </c>
      <c r="Z406" s="32" t="str">
        <f t="shared" si="364"/>
        <v>0.881107450963397+1.26468998991757i</v>
      </c>
      <c r="AA406" s="18">
        <f t="shared" si="379"/>
        <v>1.5413601495889655</v>
      </c>
      <c r="AB406" s="18">
        <f t="shared" si="380"/>
        <v>0.96228966208300137</v>
      </c>
      <c r="AC406" s="67" t="str">
        <f t="shared" si="381"/>
        <v>-0.213651707905698+0.0914260640784363i</v>
      </c>
      <c r="AD406" s="65">
        <f t="shared" si="382"/>
        <v>-12.675597773037264</v>
      </c>
      <c r="AE406" s="62">
        <f t="shared" si="383"/>
        <v>156.8328983055151</v>
      </c>
      <c r="AF406" s="50" t="str">
        <f t="shared" si="365"/>
        <v>79.1527877025864</v>
      </c>
      <c r="AG406" s="50" t="str">
        <f t="shared" si="366"/>
        <v>1+232.301323768196i</v>
      </c>
      <c r="AH406" s="50">
        <f t="shared" si="384"/>
        <v>232.30347613511128</v>
      </c>
      <c r="AI406" s="50">
        <f t="shared" si="385"/>
        <v>1.5664915996117739</v>
      </c>
      <c r="AJ406" s="50" t="str">
        <f t="shared" si="367"/>
        <v>1+0.209716472846289i</v>
      </c>
      <c r="AK406" s="50">
        <f t="shared" si="386"/>
        <v>1.0217538837621749</v>
      </c>
      <c r="AL406" s="50">
        <f t="shared" si="387"/>
        <v>0.20672062701740457</v>
      </c>
      <c r="AM406" s="50" t="str">
        <f t="shared" si="368"/>
        <v>1-0.967575717076629i</v>
      </c>
      <c r="AN406" s="50">
        <f t="shared" si="388"/>
        <v>1.3914750332924961</v>
      </c>
      <c r="AO406" s="50">
        <f t="shared" si="389"/>
        <v>-0.76892034859591352</v>
      </c>
      <c r="AP406" s="59" t="str">
        <f t="shared" si="390"/>
        <v>-0.256458694354456-0.410977676603339i</v>
      </c>
      <c r="AQ406" s="50">
        <f t="shared" si="391"/>
        <v>-6.295355560020238</v>
      </c>
      <c r="AR406" s="62">
        <f t="shared" si="392"/>
        <v>-121.96502859033036</v>
      </c>
      <c r="AS406" s="32" t="str">
        <f t="shared" si="369"/>
        <v>-0.0000166666666666667</v>
      </c>
      <c r="AT406" s="32" t="str">
        <f t="shared" si="370"/>
        <v>0.00162053638108496i</v>
      </c>
      <c r="AU406" s="32">
        <f t="shared" si="393"/>
        <v>1.6205363810849599E-3</v>
      </c>
      <c r="AV406" s="32">
        <f t="shared" si="394"/>
        <v>1.5707963267948966</v>
      </c>
      <c r="AW406" s="32" t="str">
        <f t="shared" si="371"/>
        <v>1+1.6468911249988i</v>
      </c>
      <c r="AX406" s="32">
        <f t="shared" si="395"/>
        <v>1.9267201087858643</v>
      </c>
      <c r="AY406" s="32">
        <f t="shared" si="396"/>
        <v>1.0250961012697071</v>
      </c>
      <c r="AZ406" s="32" t="str">
        <f t="shared" si="372"/>
        <v>1+55.9942982499591i</v>
      </c>
      <c r="BA406" s="32">
        <f t="shared" si="397"/>
        <v>56.0032270186761</v>
      </c>
      <c r="BB406" s="32">
        <f t="shared" si="398"/>
        <v>1.5529392638898198</v>
      </c>
      <c r="BC406" s="59" t="str">
        <f t="shared" si="399"/>
        <v>-0.150567601811275+0.258253107733647i</v>
      </c>
      <c r="BD406" s="50">
        <f t="shared" si="400"/>
        <v>-10.488312263651141</v>
      </c>
      <c r="BE406" s="62">
        <f t="shared" si="401"/>
        <v>120.24318546297019</v>
      </c>
      <c r="BF406" s="59" t="str">
        <f t="shared" si="402"/>
        <v>0.00855796010613224-0.068942020750582i</v>
      </c>
      <c r="BG406" s="65">
        <f t="shared" si="403"/>
        <v>-23.163910036688407</v>
      </c>
      <c r="BH406" s="62">
        <f t="shared" si="404"/>
        <v>-82.923916231514738</v>
      </c>
      <c r="BI406" s="59" t="str">
        <f t="shared" si="357"/>
        <v>0.144750632764567-0.00435133165821728i</v>
      </c>
      <c r="BJ406" s="65">
        <f t="shared" si="405"/>
        <v>-16.783667823671394</v>
      </c>
      <c r="BK406" s="62">
        <f t="shared" si="358"/>
        <v>-1.7218431273601731</v>
      </c>
      <c r="BL406" s="50">
        <f t="shared" si="406"/>
        <v>-23.163910036688407</v>
      </c>
      <c r="BM406" s="62">
        <f t="shared" si="407"/>
        <v>-82.923916231514738</v>
      </c>
    </row>
    <row r="407" spans="14:65" x14ac:dyDescent="0.3">
      <c r="N407" s="11">
        <v>89</v>
      </c>
      <c r="O407" s="51">
        <f t="shared" si="359"/>
        <v>77624.711662869129</v>
      </c>
      <c r="P407" s="49" t="str">
        <f t="shared" si="360"/>
        <v>27.9103246607183</v>
      </c>
      <c r="Q407" s="18" t="str">
        <f t="shared" si="361"/>
        <v>1+239.583786549419i</v>
      </c>
      <c r="R407" s="18">
        <f t="shared" si="373"/>
        <v>239.58587349290349</v>
      </c>
      <c r="S407" s="18">
        <f t="shared" si="374"/>
        <v>1.5666224458854177</v>
      </c>
      <c r="T407" s="18" t="str">
        <f t="shared" si="362"/>
        <v>1+0.214601397029444i</v>
      </c>
      <c r="U407" s="18">
        <f t="shared" si="375"/>
        <v>1.0227676958170848</v>
      </c>
      <c r="V407" s="18">
        <f t="shared" si="376"/>
        <v>0.21139513719529074</v>
      </c>
      <c r="W407" s="32" t="str">
        <f t="shared" si="363"/>
        <v>1-2.83004086991691i</v>
      </c>
      <c r="X407" s="18">
        <f t="shared" si="377"/>
        <v>3.0015215017387531</v>
      </c>
      <c r="Y407" s="18">
        <f t="shared" si="378"/>
        <v>-1.2311386314691675</v>
      </c>
      <c r="Z407" s="32" t="str">
        <f t="shared" si="364"/>
        <v>0.875504217753232+1.29414840409027i</v>
      </c>
      <c r="AA407" s="18">
        <f t="shared" si="379"/>
        <v>1.5624748724741437</v>
      </c>
      <c r="AB407" s="18">
        <f t="shared" si="380"/>
        <v>0.97601009436424069</v>
      </c>
      <c r="AC407" s="67" t="str">
        <f t="shared" si="381"/>
        <v>-0.208915224903666+0.0934921711532701i</v>
      </c>
      <c r="AD407" s="65">
        <f t="shared" si="382"/>
        <v>-12.807817995929515</v>
      </c>
      <c r="AE407" s="62">
        <f t="shared" si="383"/>
        <v>155.89088818325115</v>
      </c>
      <c r="AF407" s="50" t="str">
        <f t="shared" si="365"/>
        <v>79.1527877025864</v>
      </c>
      <c r="AG407" s="50" t="str">
        <f t="shared" si="366"/>
        <v>1+237.712316709538i</v>
      </c>
      <c r="AH407" s="50">
        <f t="shared" si="384"/>
        <v>237.71442008303933</v>
      </c>
      <c r="AI407" s="50">
        <f t="shared" si="385"/>
        <v>1.566589585995994</v>
      </c>
      <c r="AJ407" s="50" t="str">
        <f t="shared" si="367"/>
        <v>1+0.214601397029444i</v>
      </c>
      <c r="AK407" s="50">
        <f t="shared" si="386"/>
        <v>1.0227676958170848</v>
      </c>
      <c r="AL407" s="50">
        <f t="shared" si="387"/>
        <v>0.21139513719529074</v>
      </c>
      <c r="AM407" s="50" t="str">
        <f t="shared" si="368"/>
        <v>1-0.990113450785539i</v>
      </c>
      <c r="AN407" s="50">
        <f t="shared" si="388"/>
        <v>1.4072400809479697</v>
      </c>
      <c r="AO407" s="50">
        <f t="shared" si="389"/>
        <v>-0.78043037229963652</v>
      </c>
      <c r="AP407" s="59" t="str">
        <f t="shared" si="390"/>
        <v>-0.256524922726496-0.404807276702414i</v>
      </c>
      <c r="AQ407" s="50">
        <f t="shared" si="391"/>
        <v>-6.3888822779117573</v>
      </c>
      <c r="AR407" s="62">
        <f t="shared" si="392"/>
        <v>-122.36228887243099</v>
      </c>
      <c r="AS407" s="32" t="str">
        <f t="shared" si="369"/>
        <v>-0.0000166666666666667</v>
      </c>
      <c r="AT407" s="32" t="str">
        <f t="shared" si="370"/>
        <v>0.00165828352250025i</v>
      </c>
      <c r="AU407" s="32">
        <f t="shared" si="393"/>
        <v>1.6582835225002501E-3</v>
      </c>
      <c r="AV407" s="32">
        <f t="shared" si="394"/>
        <v>1.5707963267948966</v>
      </c>
      <c r="AW407" s="32" t="str">
        <f t="shared" si="371"/>
        <v>1+1.68525214726063i</v>
      </c>
      <c r="AX407" s="32">
        <f t="shared" si="395"/>
        <v>1.9596108797020302</v>
      </c>
      <c r="AY407" s="32">
        <f t="shared" si="396"/>
        <v>1.0352564630503636</v>
      </c>
      <c r="AZ407" s="32" t="str">
        <f t="shared" si="372"/>
        <v>1+57.2985730068615i</v>
      </c>
      <c r="BA407" s="32">
        <f t="shared" si="397"/>
        <v>57.307298563295035</v>
      </c>
      <c r="BB407" s="32">
        <f t="shared" si="398"/>
        <v>1.5533456567897026</v>
      </c>
      <c r="BC407" s="59" t="str">
        <f t="shared" si="399"/>
        <v>-0.145555663837729+0.255348548170042i</v>
      </c>
      <c r="BD407" s="50">
        <f t="shared" si="400"/>
        <v>-10.635398824887934</v>
      </c>
      <c r="BE407" s="62">
        <f t="shared" si="401"/>
        <v>119.68432421259976</v>
      </c>
      <c r="BF407" s="59" t="str">
        <f t="shared" si="402"/>
        <v>0.00653570407740896-0.0669545144056137i</v>
      </c>
      <c r="BG407" s="65">
        <f t="shared" si="403"/>
        <v>-23.443216820817451</v>
      </c>
      <c r="BH407" s="62">
        <f t="shared" si="404"/>
        <v>-84.424787604149103</v>
      </c>
      <c r="BI407" s="59" t="str">
        <f t="shared" si="357"/>
        <v>0.140705605813007-0.00658127470087985i</v>
      </c>
      <c r="BJ407" s="65">
        <f t="shared" si="405"/>
        <v>-17.024281102799698</v>
      </c>
      <c r="BK407" s="62">
        <f t="shared" si="358"/>
        <v>-2.6779646598312401</v>
      </c>
      <c r="BL407" s="50">
        <f t="shared" si="406"/>
        <v>-23.443216820817451</v>
      </c>
      <c r="BM407" s="62">
        <f t="shared" si="407"/>
        <v>-84.424787604149103</v>
      </c>
    </row>
    <row r="408" spans="14:65" x14ac:dyDescent="0.3">
      <c r="N408" s="11">
        <v>90</v>
      </c>
      <c r="O408" s="51">
        <f t="shared" si="359"/>
        <v>79432.823472428237</v>
      </c>
      <c r="P408" s="49" t="str">
        <f t="shared" si="360"/>
        <v>27.9103246607183</v>
      </c>
      <c r="Q408" s="18" t="str">
        <f t="shared" si="361"/>
        <v>1+245.164409840109i</v>
      </c>
      <c r="R408" s="18">
        <f t="shared" si="373"/>
        <v>245.16644927935985</v>
      </c>
      <c r="S408" s="18">
        <f t="shared" si="374"/>
        <v>1.5667174539482569</v>
      </c>
      <c r="T408" s="18" t="str">
        <f t="shared" si="362"/>
        <v>1+0.219600105713891i</v>
      </c>
      <c r="U408" s="18">
        <f t="shared" si="375"/>
        <v>1.0238282113858517</v>
      </c>
      <c r="V408" s="18">
        <f t="shared" si="376"/>
        <v>0.21616884005167716</v>
      </c>
      <c r="W408" s="32" t="str">
        <f t="shared" si="363"/>
        <v>1-2.89596099005411i</v>
      </c>
      <c r="X408" s="18">
        <f t="shared" si="377"/>
        <v>3.0637542420884838</v>
      </c>
      <c r="Y408" s="18">
        <f t="shared" si="378"/>
        <v>-1.2383070990464968</v>
      </c>
      <c r="Z408" s="32" t="str">
        <f t="shared" si="364"/>
        <v>0.869636912297481+1.32429299287689i</v>
      </c>
      <c r="AA408" s="18">
        <f t="shared" si="379"/>
        <v>1.5843043552970268</v>
      </c>
      <c r="AB408" s="18">
        <f t="shared" si="380"/>
        <v>0.98973937267600354</v>
      </c>
      <c r="AC408" s="67" t="str">
        <f t="shared" si="381"/>
        <v>-0.204214293651134+0.0953933456123917i</v>
      </c>
      <c r="AD408" s="65">
        <f t="shared" si="382"/>
        <v>-12.941074942748545</v>
      </c>
      <c r="AE408" s="62">
        <f t="shared" si="383"/>
        <v>154.96160500776921</v>
      </c>
      <c r="AF408" s="50" t="str">
        <f t="shared" si="365"/>
        <v>79.1527877025864</v>
      </c>
      <c r="AG408" s="50" t="str">
        <f t="shared" si="366"/>
        <v>1+243.249347867694i</v>
      </c>
      <c r="AH408" s="50">
        <f t="shared" si="384"/>
        <v>243.25140336297841</v>
      </c>
      <c r="AI408" s="50">
        <f t="shared" si="385"/>
        <v>1.5666853420158584</v>
      </c>
      <c r="AJ408" s="50" t="str">
        <f t="shared" si="367"/>
        <v>1+0.219600105713891i</v>
      </c>
      <c r="AK408" s="50">
        <f t="shared" si="386"/>
        <v>1.0238282113858517</v>
      </c>
      <c r="AL408" s="50">
        <f t="shared" si="387"/>
        <v>0.21616884005167716</v>
      </c>
      <c r="AM408" s="50" t="str">
        <f t="shared" si="368"/>
        <v>1-1.01317615575176i</v>
      </c>
      <c r="AN408" s="50">
        <f t="shared" si="388"/>
        <v>1.4235610006543149</v>
      </c>
      <c r="AO408" s="50">
        <f t="shared" si="389"/>
        <v>-0.79194302912062919</v>
      </c>
      <c r="AP408" s="59" t="str">
        <f t="shared" si="390"/>
        <v>-0.256588170433903-0.398851485892848i</v>
      </c>
      <c r="AQ408" s="50">
        <f t="shared" si="391"/>
        <v>-6.479719309445704</v>
      </c>
      <c r="AR408" s="62">
        <f t="shared" si="392"/>
        <v>-122.75388890873704</v>
      </c>
      <c r="AS408" s="32" t="str">
        <f t="shared" si="369"/>
        <v>-0.0000166666666666667</v>
      </c>
      <c r="AT408" s="32" t="str">
        <f t="shared" si="370"/>
        <v>0.00169690990778915i</v>
      </c>
      <c r="AU408" s="32">
        <f t="shared" si="393"/>
        <v>1.69690990778915E-3</v>
      </c>
      <c r="AV408" s="32">
        <f t="shared" si="394"/>
        <v>1.5707963267948966</v>
      </c>
      <c r="AW408" s="32" t="str">
        <f t="shared" si="371"/>
        <v>1+1.7245067125179i</v>
      </c>
      <c r="AX408" s="32">
        <f t="shared" si="395"/>
        <v>1.9934701907777039</v>
      </c>
      <c r="AY408" s="32">
        <f t="shared" si="396"/>
        <v>1.0453053484469073</v>
      </c>
      <c r="AZ408" s="32" t="str">
        <f t="shared" si="372"/>
        <v>1+58.6332282256087i</v>
      </c>
      <c r="BA408" s="32">
        <f t="shared" si="397"/>
        <v>58.641755193345944</v>
      </c>
      <c r="BB408" s="32">
        <f t="shared" si="398"/>
        <v>1.5537428046282464</v>
      </c>
      <c r="BC408" s="59" t="str">
        <f t="shared" si="399"/>
        <v>-0.140653097758379+0.252378985841891i</v>
      </c>
      <c r="BD408" s="50">
        <f t="shared" si="400"/>
        <v>-10.784256420768513</v>
      </c>
      <c r="BE408" s="62">
        <f t="shared" si="401"/>
        <v>119.13132038555841</v>
      </c>
      <c r="BF408" s="59" t="str">
        <f t="shared" si="402"/>
        <v>0.00464809718685085-0.0649567658920099i</v>
      </c>
      <c r="BG408" s="65">
        <f t="shared" si="403"/>
        <v>-23.725331363517057</v>
      </c>
      <c r="BH408" s="62">
        <f t="shared" si="404"/>
        <v>-85.907074606672396</v>
      </c>
      <c r="BI408" s="59" t="str">
        <f t="shared" si="357"/>
        <v>0.136751654530852-0.00865776519677323i</v>
      </c>
      <c r="BJ408" s="65">
        <f t="shared" si="405"/>
        <v>-17.263975730214195</v>
      </c>
      <c r="BK408" s="62">
        <f t="shared" si="358"/>
        <v>-3.6225685231786207</v>
      </c>
      <c r="BL408" s="50">
        <f t="shared" si="406"/>
        <v>-23.725331363517057</v>
      </c>
      <c r="BM408" s="62">
        <f t="shared" si="407"/>
        <v>-85.907074606672396</v>
      </c>
    </row>
    <row r="409" spans="14:65" x14ac:dyDescent="0.3">
      <c r="N409" s="11">
        <v>91</v>
      </c>
      <c r="O409" s="51">
        <f t="shared" si="359"/>
        <v>81283.051616410012</v>
      </c>
      <c r="P409" s="49" t="str">
        <f t="shared" si="360"/>
        <v>27.9103246607183</v>
      </c>
      <c r="Q409" s="18" t="str">
        <f t="shared" si="361"/>
        <v>1+250.87502254603i</v>
      </c>
      <c r="R409" s="18">
        <f t="shared" si="373"/>
        <v>250.87701556234896</v>
      </c>
      <c r="S409" s="18">
        <f t="shared" si="374"/>
        <v>1.5668102994347082</v>
      </c>
      <c r="T409" s="18" t="str">
        <f t="shared" si="362"/>
        <v>1+0.224715249281137i</v>
      </c>
      <c r="U409" s="18">
        <f t="shared" si="375"/>
        <v>1.024937531393735</v>
      </c>
      <c r="V409" s="18">
        <f t="shared" si="376"/>
        <v>0.22104339599201747</v>
      </c>
      <c r="W409" s="32" t="str">
        <f t="shared" si="363"/>
        <v>1-2.9634165870408i</v>
      </c>
      <c r="X409" s="18">
        <f t="shared" si="377"/>
        <v>3.1275929831658948</v>
      </c>
      <c r="Y409" s="18">
        <f t="shared" si="378"/>
        <v>-1.2453468520476323</v>
      </c>
      <c r="Z409" s="32" t="str">
        <f t="shared" si="364"/>
        <v>0.863493089254629+1.35513973933743i</v>
      </c>
      <c r="AA409" s="18">
        <f t="shared" si="379"/>
        <v>1.6068677693954847</v>
      </c>
      <c r="AB409" s="18">
        <f t="shared" si="380"/>
        <v>1.0034730654714066</v>
      </c>
      <c r="AC409" s="67" t="str">
        <f t="shared" si="381"/>
        <v>-0.199553413585271+0.0971332743081962i</v>
      </c>
      <c r="AD409" s="65">
        <f t="shared" si="382"/>
        <v>-13.07536998859754</v>
      </c>
      <c r="AE409" s="62">
        <f t="shared" si="383"/>
        <v>154.04534606554537</v>
      </c>
      <c r="AF409" s="50" t="str">
        <f t="shared" si="365"/>
        <v>79.1527877025864</v>
      </c>
      <c r="AG409" s="50" t="str">
        <f t="shared" si="366"/>
        <v>1+248.915353049874i</v>
      </c>
      <c r="AH409" s="50">
        <f t="shared" si="384"/>
        <v>248.91736175675535</v>
      </c>
      <c r="AI409" s="50">
        <f t="shared" si="385"/>
        <v>1.5667789184354484</v>
      </c>
      <c r="AJ409" s="50" t="str">
        <f t="shared" si="367"/>
        <v>1+0.224715249281137i</v>
      </c>
      <c r="AK409" s="50">
        <f t="shared" si="386"/>
        <v>1.024937531393735</v>
      </c>
      <c r="AL409" s="50">
        <f t="shared" si="387"/>
        <v>0.22104339599201747</v>
      </c>
      <c r="AM409" s="50" t="str">
        <f t="shared" si="368"/>
        <v>1-1.03677606012673i</v>
      </c>
      <c r="AN409" s="50">
        <f t="shared" si="388"/>
        <v>1.4404529144862406</v>
      </c>
      <c r="AO409" s="50">
        <f t="shared" si="389"/>
        <v>-0.80345221708301784</v>
      </c>
      <c r="AP409" s="59" t="str">
        <f t="shared" si="390"/>
        <v>-0.256648571619612-0.393107148009781i</v>
      </c>
      <c r="AQ409" s="50">
        <f t="shared" si="391"/>
        <v>-6.56785022315281</v>
      </c>
      <c r="AR409" s="62">
        <f t="shared" si="392"/>
        <v>-123.13938685612719</v>
      </c>
      <c r="AS409" s="32" t="str">
        <f t="shared" si="369"/>
        <v>-0.0000166666666666667</v>
      </c>
      <c r="AT409" s="32" t="str">
        <f t="shared" si="370"/>
        <v>0.00173643601717242i</v>
      </c>
      <c r="AU409" s="32">
        <f t="shared" si="393"/>
        <v>1.73643601717242E-3</v>
      </c>
      <c r="AV409" s="32">
        <f t="shared" si="394"/>
        <v>1.5707963267948966</v>
      </c>
      <c r="AW409" s="32" t="str">
        <f t="shared" si="371"/>
        <v>1+1.76467563406069i</v>
      </c>
      <c r="AX409" s="32">
        <f t="shared" si="395"/>
        <v>2.0283195244949694</v>
      </c>
      <c r="AY409" s="32">
        <f t="shared" si="396"/>
        <v>1.0552399670483805</v>
      </c>
      <c r="AZ409" s="32" t="str">
        <f t="shared" si="372"/>
        <v>1+59.9989715580635i</v>
      </c>
      <c r="BA409" s="32">
        <f t="shared" si="397"/>
        <v>60.007304455585349</v>
      </c>
      <c r="BB409" s="32">
        <f t="shared" si="398"/>
        <v>1.5541309174770792</v>
      </c>
      <c r="BC409" s="59" t="str">
        <f t="shared" si="399"/>
        <v>-0.135861389176267+0.249349486824601i</v>
      </c>
      <c r="BD409" s="50">
        <f t="shared" si="400"/>
        <v>-10.934845767542852</v>
      </c>
      <c r="BE409" s="62">
        <f t="shared" si="401"/>
        <v>118.5843458968349</v>
      </c>
      <c r="BF409" s="59" t="str">
        <f t="shared" si="402"/>
        <v>0.00289147188221915-0.0629552028543356i</v>
      </c>
      <c r="BG409" s="65">
        <f t="shared" si="403"/>
        <v>-24.010215756140397</v>
      </c>
      <c r="BH409" s="62">
        <f t="shared" si="404"/>
        <v>-87.370308037619722</v>
      </c>
      <c r="BI409" s="59" t="str">
        <f t="shared" si="357"/>
        <v>0.132889697093667-0.0105871064038879i</v>
      </c>
      <c r="BJ409" s="65">
        <f t="shared" si="405"/>
        <v>-17.502695990695628</v>
      </c>
      <c r="BK409" s="62">
        <f t="shared" si="358"/>
        <v>-4.555040959292298</v>
      </c>
      <c r="BL409" s="50">
        <f t="shared" si="406"/>
        <v>-24.010215756140397</v>
      </c>
      <c r="BM409" s="62">
        <f t="shared" si="407"/>
        <v>-87.370308037619722</v>
      </c>
    </row>
    <row r="410" spans="14:65" x14ac:dyDescent="0.3">
      <c r="N410" s="11">
        <v>92</v>
      </c>
      <c r="O410" s="51">
        <f t="shared" si="359"/>
        <v>83176.377110267174</v>
      </c>
      <c r="P410" s="49" t="str">
        <f t="shared" si="360"/>
        <v>27.9103246607183</v>
      </c>
      <c r="Q410" s="18" t="str">
        <f t="shared" si="361"/>
        <v>1+256.718652509629i</v>
      </c>
      <c r="R410" s="18">
        <f t="shared" si="373"/>
        <v>256.72060015970601</v>
      </c>
      <c r="S410" s="18">
        <f t="shared" si="374"/>
        <v>1.5669010315662713</v>
      </c>
      <c r="T410" s="18" t="str">
        <f t="shared" si="362"/>
        <v>1+0.22994953984801i</v>
      </c>
      <c r="U410" s="18">
        <f t="shared" si="375"/>
        <v>1.0260978466385706</v>
      </c>
      <c r="V410" s="18">
        <f t="shared" si="376"/>
        <v>0.22602046254211616</v>
      </c>
      <c r="W410" s="32" t="str">
        <f t="shared" si="363"/>
        <v>1-3.0324434267274i</v>
      </c>
      <c r="X410" s="18">
        <f t="shared" si="377"/>
        <v>3.1930726794581763</v>
      </c>
      <c r="Y410" s="18">
        <f t="shared" si="378"/>
        <v>-1.2522588311158738</v>
      </c>
      <c r="Z410" s="32" t="str">
        <f t="shared" si="364"/>
        <v>0.857059716752286+1.38670499882516i</v>
      </c>
      <c r="AA410" s="18">
        <f t="shared" si="379"/>
        <v>1.6301846864224299</v>
      </c>
      <c r="AB410" s="18">
        <f t="shared" si="380"/>
        <v>1.0172068900677167</v>
      </c>
      <c r="AC410" s="67" t="str">
        <f t="shared" si="381"/>
        <v>-0.194936913205526+0.0987158436175154i</v>
      </c>
      <c r="AD410" s="65">
        <f t="shared" si="382"/>
        <v>-13.210701201802028</v>
      </c>
      <c r="AE410" s="62">
        <f t="shared" si="383"/>
        <v>153.14239499038229</v>
      </c>
      <c r="AF410" s="50" t="str">
        <f t="shared" si="365"/>
        <v>79.1527877025864</v>
      </c>
      <c r="AG410" s="50" t="str">
        <f t="shared" si="366"/>
        <v>1+254.713336447026i</v>
      </c>
      <c r="AH410" s="50">
        <f t="shared" si="384"/>
        <v>254.71529943051291</v>
      </c>
      <c r="AI410" s="50">
        <f t="shared" si="385"/>
        <v>1.566870364863661</v>
      </c>
      <c r="AJ410" s="50" t="str">
        <f t="shared" si="367"/>
        <v>1+0.22994953984801i</v>
      </c>
      <c r="AK410" s="50">
        <f t="shared" si="386"/>
        <v>1.0260978466385706</v>
      </c>
      <c r="AL410" s="50">
        <f t="shared" si="387"/>
        <v>0.22602046254211616</v>
      </c>
      <c r="AM410" s="50" t="str">
        <f t="shared" si="368"/>
        <v>1-1.06092567689213i</v>
      </c>
      <c r="AN410" s="50">
        <f t="shared" si="388"/>
        <v>1.4579311684332097</v>
      </c>
      <c r="AO410" s="50">
        <f t="shared" si="389"/>
        <v>-0.81495184339693738</v>
      </c>
      <c r="AP410" s="59" t="str">
        <f t="shared" si="390"/>
        <v>-0.256706254389925-0.387571218891745i</v>
      </c>
      <c r="AQ410" s="50">
        <f t="shared" si="391"/>
        <v>-6.6532603946089397</v>
      </c>
      <c r="AR410" s="62">
        <f t="shared" si="392"/>
        <v>-123.51834149660411</v>
      </c>
      <c r="AS410" s="32" t="str">
        <f t="shared" si="369"/>
        <v>-0.0000166666666666667</v>
      </c>
      <c r="AT410" s="32" t="str">
        <f t="shared" si="370"/>
        <v>0.00177688280791644i</v>
      </c>
      <c r="AU410" s="32">
        <f t="shared" si="393"/>
        <v>1.7768828079164399E-3</v>
      </c>
      <c r="AV410" s="32">
        <f t="shared" si="394"/>
        <v>1.5707963267948966</v>
      </c>
      <c r="AW410" s="32" t="str">
        <f t="shared" si="371"/>
        <v>1+1.8057802099829i</v>
      </c>
      <c r="AX410" s="32">
        <f t="shared" si="395"/>
        <v>2.0641807495386364</v>
      </c>
      <c r="AY410" s="32">
        <f t="shared" si="396"/>
        <v>1.0650577415786247</v>
      </c>
      <c r="AZ410" s="32" t="str">
        <f t="shared" si="372"/>
        <v>1+61.3965271394186i</v>
      </c>
      <c r="BA410" s="32">
        <f t="shared" si="397"/>
        <v>61.404670382482827</v>
      </c>
      <c r="BB410" s="32">
        <f t="shared" si="398"/>
        <v>1.5545102006508056</v>
      </c>
      <c r="BC410" s="59" t="str">
        <f t="shared" si="399"/>
        <v>-0.131181727649503+0.246265089645592i</v>
      </c>
      <c r="BD410" s="50">
        <f t="shared" si="400"/>
        <v>-11.087127097436287</v>
      </c>
      <c r="BE410" s="62">
        <f t="shared" si="401"/>
        <v>118.04356017713556</v>
      </c>
      <c r="BF410" s="59" t="str">
        <f t="shared" si="402"/>
        <v>0.00126189497905445-0.0609558713179177i</v>
      </c>
      <c r="BG410" s="65">
        <f t="shared" si="403"/>
        <v>-24.297828299238308</v>
      </c>
      <c r="BH410" s="62">
        <f t="shared" si="404"/>
        <v>-88.814044832482168</v>
      </c>
      <c r="BI410" s="59" t="str">
        <f t="shared" si="357"/>
        <v>0.12912043091373-0.0123755266684762i</v>
      </c>
      <c r="BJ410" s="65">
        <f t="shared" si="405"/>
        <v>-17.740387492045233</v>
      </c>
      <c r="BK410" s="62">
        <f t="shared" si="358"/>
        <v>-5.4747813194685451</v>
      </c>
      <c r="BL410" s="50">
        <f t="shared" si="406"/>
        <v>-24.297828299238308</v>
      </c>
      <c r="BM410" s="62">
        <f t="shared" si="407"/>
        <v>-88.814044832482168</v>
      </c>
    </row>
    <row r="411" spans="14:65" x14ac:dyDescent="0.3">
      <c r="N411" s="11">
        <v>93</v>
      </c>
      <c r="O411" s="51">
        <f t="shared" si="359"/>
        <v>85113.803820237721</v>
      </c>
      <c r="P411" s="49" t="str">
        <f t="shared" si="360"/>
        <v>27.9103246607183</v>
      </c>
      <c r="Q411" s="18" t="str">
        <f t="shared" si="361"/>
        <v>1+262.698398100861i</v>
      </c>
      <c r="R411" s="18">
        <f t="shared" si="373"/>
        <v>262.70030141733463</v>
      </c>
      <c r="S411" s="18">
        <f t="shared" si="374"/>
        <v>1.5669896984443439</v>
      </c>
      <c r="T411" s="18" t="str">
        <f t="shared" si="362"/>
        <v>1+0.235305752704653i</v>
      </c>
      <c r="U411" s="18">
        <f t="shared" si="375"/>
        <v>1.0273114412172695</v>
      </c>
      <c r="V411" s="18">
        <f t="shared" si="376"/>
        <v>0.23110169186121526</v>
      </c>
      <c r="W411" s="32" t="str">
        <f t="shared" si="363"/>
        <v>1-3.10307810805799i</v>
      </c>
      <c r="X411" s="18">
        <f t="shared" si="377"/>
        <v>3.2602290938995</v>
      </c>
      <c r="Y411" s="18">
        <f t="shared" si="378"/>
        <v>-1.2590440584042482</v>
      </c>
      <c r="Z411" s="32" t="str">
        <f t="shared" si="364"/>
        <v>0.850323148744837+1.41900550765848i</v>
      </c>
      <c r="AA411" s="18">
        <f t="shared" si="379"/>
        <v>1.6542750944315261</v>
      </c>
      <c r="AB411" s="18">
        <f t="shared" si="380"/>
        <v>1.0309367249666985</v>
      </c>
      <c r="AC411" s="67" t="str">
        <f t="shared" si="381"/>
        <v>-0.190368935496112+0.100145125439659i</v>
      </c>
      <c r="AD411" s="65">
        <f t="shared" si="382"/>
        <v>-13.347063410234776</v>
      </c>
      <c r="AE411" s="62">
        <f t="shared" si="383"/>
        <v>152.2530212674246</v>
      </c>
      <c r="AF411" s="50" t="str">
        <f t="shared" si="365"/>
        <v>79.1527877025864</v>
      </c>
      <c r="AG411" s="50" t="str">
        <f t="shared" si="366"/>
        <v>1+260.646372226692i</v>
      </c>
      <c r="AH411" s="50">
        <f t="shared" si="384"/>
        <v>260.64829052755226</v>
      </c>
      <c r="AI411" s="50">
        <f t="shared" si="385"/>
        <v>1.5669597297804818</v>
      </c>
      <c r="AJ411" s="50" t="str">
        <f t="shared" si="367"/>
        <v>1+0.235305752704653i</v>
      </c>
      <c r="AK411" s="50">
        <f t="shared" si="386"/>
        <v>1.0273114412172695</v>
      </c>
      <c r="AL411" s="50">
        <f t="shared" si="387"/>
        <v>0.23110169186121526</v>
      </c>
      <c r="AM411" s="50" t="str">
        <f t="shared" si="368"/>
        <v>1-1.08563781049443i</v>
      </c>
      <c r="AN411" s="50">
        <f t="shared" si="388"/>
        <v>1.4760113331459008</v>
      </c>
      <c r="AO411" s="50">
        <f t="shared" si="389"/>
        <v>-0.82643584055870689</v>
      </c>
      <c r="AP411" s="59" t="str">
        <f t="shared" si="390"/>
        <v>-0.256761341086143-0.382240764774078i</v>
      </c>
      <c r="AQ411" s="50">
        <f t="shared" si="391"/>
        <v>-6.7359369785291339</v>
      </c>
      <c r="AR411" s="62">
        <f t="shared" si="392"/>
        <v>-123.89031330376152</v>
      </c>
      <c r="AS411" s="32" t="str">
        <f t="shared" si="369"/>
        <v>-0.0000166666666666667</v>
      </c>
      <c r="AT411" s="32" t="str">
        <f t="shared" si="370"/>
        <v>0.00181827172544504i</v>
      </c>
      <c r="AU411" s="32">
        <f t="shared" si="393"/>
        <v>1.81827172544504E-3</v>
      </c>
      <c r="AV411" s="32">
        <f t="shared" si="394"/>
        <v>1.5707963267948966</v>
      </c>
      <c r="AW411" s="32" t="str">
        <f t="shared" si="371"/>
        <v>1+1.84784223447477i</v>
      </c>
      <c r="AX411" s="32">
        <f t="shared" si="395"/>
        <v>2.1010761346292783</v>
      </c>
      <c r="AY411" s="32">
        <f t="shared" si="396"/>
        <v>1.0747563062723828</v>
      </c>
      <c r="AZ411" s="32" t="str">
        <f t="shared" si="372"/>
        <v>1+62.8266359721422i</v>
      </c>
      <c r="BA411" s="32">
        <f t="shared" si="397"/>
        <v>62.834593876113125</v>
      </c>
      <c r="BB411" s="32">
        <f t="shared" si="398"/>
        <v>1.5548808548136384</v>
      </c>
      <c r="BC411" s="59" t="str">
        <f t="shared" si="399"/>
        <v>-0.126615015845014+0.243130787203737i</v>
      </c>
      <c r="BD411" s="50">
        <f t="shared" si="400"/>
        <v>-11.241060263231359</v>
      </c>
      <c r="BE411" s="62">
        <f t="shared" si="401"/>
        <v>117.50911027203794</v>
      </c>
      <c r="BF411" s="59" t="str">
        <f t="shared" si="402"/>
        <v>-0.000244797398522609-0.0589644257906505i</v>
      </c>
      <c r="BG411" s="65">
        <f t="shared" si="403"/>
        <v>-24.588123673466132</v>
      </c>
      <c r="BH411" s="62">
        <f t="shared" si="404"/>
        <v>-90.237868460537442</v>
      </c>
      <c r="BI411" s="59" t="str">
        <f t="shared" si="357"/>
        <v>0.125444339310889-0.014029166493281i</v>
      </c>
      <c r="BJ411" s="65">
        <f t="shared" si="405"/>
        <v>-17.9769972417605</v>
      </c>
      <c r="BK411" s="62">
        <f t="shared" si="358"/>
        <v>-6.3812030317235724</v>
      </c>
      <c r="BL411" s="50">
        <f t="shared" si="406"/>
        <v>-24.588123673466132</v>
      </c>
      <c r="BM411" s="62">
        <f t="shared" si="407"/>
        <v>-90.237868460537442</v>
      </c>
    </row>
    <row r="412" spans="14:65" x14ac:dyDescent="0.3">
      <c r="N412" s="11">
        <v>94</v>
      </c>
      <c r="O412" s="51">
        <f t="shared" si="359"/>
        <v>87096.358995608127</v>
      </c>
      <c r="P412" s="49" t="str">
        <f t="shared" si="360"/>
        <v>27.9103246607183</v>
      </c>
      <c r="Q412" s="18" t="str">
        <f t="shared" si="361"/>
        <v>1+268.817429859992i</v>
      </c>
      <c r="R412" s="18">
        <f t="shared" si="373"/>
        <v>268.81928985199647</v>
      </c>
      <c r="S412" s="18">
        <f t="shared" si="374"/>
        <v>1.5670763470756988</v>
      </c>
      <c r="T412" s="18" t="str">
        <f t="shared" si="362"/>
        <v>1+0.24078672778602i</v>
      </c>
      <c r="U412" s="18">
        <f t="shared" si="375"/>
        <v>1.0285806960457207</v>
      </c>
      <c r="V412" s="18">
        <f t="shared" si="376"/>
        <v>0.23628872808333123</v>
      </c>
      <c r="W412" s="32" t="str">
        <f t="shared" si="363"/>
        <v>1-3.17535808247556i</v>
      </c>
      <c r="X412" s="18">
        <f t="shared" si="377"/>
        <v>3.3290988197923568</v>
      </c>
      <c r="Y412" s="18">
        <f t="shared" si="378"/>
        <v>-1.2657036315725871</v>
      </c>
      <c r="Z412" s="32" t="str">
        <f t="shared" si="364"/>
        <v>0.84326909606835+1.45205839199472i</v>
      </c>
      <c r="AA412" s="18">
        <f t="shared" si="379"/>
        <v>1.6791594153463285</v>
      </c>
      <c r="AB412" s="18">
        <f t="shared" si="380"/>
        <v>1.0446586213216289</v>
      </c>
      <c r="AC412" s="67" t="str">
        <f t="shared" si="381"/>
        <v>-0.185853424822892+0.101425362164309i</v>
      </c>
      <c r="AD412" s="65">
        <f t="shared" si="382"/>
        <v>-13.484448277586651</v>
      </c>
      <c r="AE412" s="62">
        <f t="shared" si="383"/>
        <v>151.37747976629825</v>
      </c>
      <c r="AF412" s="50" t="str">
        <f t="shared" si="365"/>
        <v>79.1527877025864</v>
      </c>
      <c r="AG412" s="50" t="str">
        <f t="shared" si="366"/>
        <v>1+266.717606162975i</v>
      </c>
      <c r="AH412" s="50">
        <f t="shared" si="384"/>
        <v>266.71948079828712</v>
      </c>
      <c r="AI412" s="50">
        <f t="shared" si="385"/>
        <v>1.5670470605626599</v>
      </c>
      <c r="AJ412" s="50" t="str">
        <f t="shared" si="367"/>
        <v>1+0.24078672778602i</v>
      </c>
      <c r="AK412" s="50">
        <f t="shared" si="386"/>
        <v>1.0285806960457207</v>
      </c>
      <c r="AL412" s="50">
        <f t="shared" si="387"/>
        <v>0.23628872808333123</v>
      </c>
      <c r="AM412" s="50" t="str">
        <f t="shared" si="368"/>
        <v>1-1.11092556363398i</v>
      </c>
      <c r="AN412" s="50">
        <f t="shared" si="388"/>
        <v>1.4947092051417481</v>
      </c>
      <c r="AO412" s="50">
        <f t="shared" si="389"/>
        <v>-0.83789818228813528</v>
      </c>
      <c r="AP412" s="59" t="str">
        <f t="shared" si="390"/>
        <v>-0.256813948543969-0.377112960740357i</v>
      </c>
      <c r="AQ412" s="50">
        <f t="shared" si="391"/>
        <v>-6.8158688708758994</v>
      </c>
      <c r="AR412" s="62">
        <f t="shared" si="392"/>
        <v>-124.25486550972603</v>
      </c>
      <c r="AS412" s="32" t="str">
        <f t="shared" si="369"/>
        <v>-0.0000166666666666667</v>
      </c>
      <c r="AT412" s="32" t="str">
        <f t="shared" si="370"/>
        <v>0.00186062471471015i</v>
      </c>
      <c r="AU412" s="32">
        <f t="shared" si="393"/>
        <v>1.86062471471015E-3</v>
      </c>
      <c r="AV412" s="32">
        <f t="shared" si="394"/>
        <v>1.5707963267948966</v>
      </c>
      <c r="AW412" s="32" t="str">
        <f t="shared" si="371"/>
        <v>1+1.89088400937845i</v>
      </c>
      <c r="AX412" s="32">
        <f t="shared" si="395"/>
        <v>2.1390283628140891</v>
      </c>
      <c r="AY412" s="32">
        <f t="shared" si="396"/>
        <v>1.0843335045346563</v>
      </c>
      <c r="AZ412" s="32" t="str">
        <f t="shared" si="372"/>
        <v>1+64.2900563188671i</v>
      </c>
      <c r="BA412" s="32">
        <f t="shared" si="397"/>
        <v>64.297833100992634</v>
      </c>
      <c r="BB412" s="32">
        <f t="shared" si="398"/>
        <v>1.5552430760837093</v>
      </c>
      <c r="BC412" s="59" t="str">
        <f t="shared" si="399"/>
        <v>-0.122161879774466+0.23995150993733i</v>
      </c>
      <c r="BD412" s="50">
        <f t="shared" si="400"/>
        <v>-11.396604839364137</v>
      </c>
      <c r="BE412" s="62">
        <f t="shared" si="401"/>
        <v>116.98113098207475</v>
      </c>
      <c r="BF412" s="59" t="str">
        <f t="shared" si="402"/>
        <v>-0.0016329650583796-0.056986122812075i</v>
      </c>
      <c r="BG412" s="65">
        <f t="shared" si="403"/>
        <v>-24.881053116950788</v>
      </c>
      <c r="BH412" s="62">
        <f t="shared" si="404"/>
        <v>-91.64138925162699</v>
      </c>
      <c r="BI412" s="59" t="str">
        <f t="shared" si="357"/>
        <v>0.12186169905302-0.0155540665547367i</v>
      </c>
      <c r="BJ412" s="65">
        <f t="shared" si="405"/>
        <v>-18.212473710240037</v>
      </c>
      <c r="BK412" s="62">
        <f t="shared" si="358"/>
        <v>-7.273734527651281</v>
      </c>
      <c r="BL412" s="50">
        <f t="shared" si="406"/>
        <v>-24.881053116950788</v>
      </c>
      <c r="BM412" s="62">
        <f t="shared" si="407"/>
        <v>-91.64138925162699</v>
      </c>
    </row>
    <row r="413" spans="14:65" x14ac:dyDescent="0.3">
      <c r="N413" s="11">
        <v>95</v>
      </c>
      <c r="O413" s="51">
        <f t="shared" si="359"/>
        <v>89125.093813374609</v>
      </c>
      <c r="P413" s="49" t="str">
        <f t="shared" si="360"/>
        <v>27.9103246607183</v>
      </c>
      <c r="Q413" s="18" t="str">
        <f t="shared" si="361"/>
        <v>1+275.078992178653i</v>
      </c>
      <c r="R413" s="18">
        <f t="shared" si="373"/>
        <v>275.08080983235351</v>
      </c>
      <c r="S413" s="18">
        <f t="shared" si="374"/>
        <v>1.5671610233973798</v>
      </c>
      <c r="T413" s="18" t="str">
        <f t="shared" si="362"/>
        <v>1+0.246395371177647i</v>
      </c>
      <c r="U413" s="18">
        <f t="shared" si="375"/>
        <v>1.0299080924712507</v>
      </c>
      <c r="V413" s="18">
        <f t="shared" si="376"/>
        <v>0.24158320448064149</v>
      </c>
      <c r="W413" s="32" t="str">
        <f t="shared" si="363"/>
        <v>1-3.24932167377929i</v>
      </c>
      <c r="X413" s="18">
        <f t="shared" si="377"/>
        <v>3.3997193030736885</v>
      </c>
      <c r="Y413" s="18">
        <f t="shared" si="378"/>
        <v>-1.2722387179695875</v>
      </c>
      <c r="Z413" s="32" t="str">
        <f t="shared" si="364"/>
        <v>0.835882596131346+1.48588117691065i</v>
      </c>
      <c r="AA413" s="18">
        <f t="shared" si="379"/>
        <v>1.7048585238701353</v>
      </c>
      <c r="AB413" s="18">
        <f t="shared" si="380"/>
        <v>1.0583688134982676</v>
      </c>
      <c r="AC413" s="67" t="str">
        <f t="shared" si="381"/>
        <v>-0.181394115375806+0.102560950775306i</v>
      </c>
      <c r="AD413" s="65">
        <f t="shared" si="382"/>
        <v>-13.622844388750524</v>
      </c>
      <c r="AE413" s="62">
        <f t="shared" si="383"/>
        <v>150.51601030540257</v>
      </c>
      <c r="AF413" s="50" t="str">
        <f t="shared" si="365"/>
        <v>79.1527877025864</v>
      </c>
      <c r="AG413" s="50" t="str">
        <f t="shared" si="366"/>
        <v>1+272.93025730447i</v>
      </c>
      <c r="AH413" s="50">
        <f t="shared" si="384"/>
        <v>272.93208926816249</v>
      </c>
      <c r="AI413" s="50">
        <f t="shared" si="385"/>
        <v>1.5671324035088006</v>
      </c>
      <c r="AJ413" s="50" t="str">
        <f t="shared" si="367"/>
        <v>1+0.246395371177647i</v>
      </c>
      <c r="AK413" s="50">
        <f t="shared" si="386"/>
        <v>1.0299080924712507</v>
      </c>
      <c r="AL413" s="50">
        <f t="shared" si="387"/>
        <v>0.24158320448064149</v>
      </c>
      <c r="AM413" s="50" t="str">
        <f t="shared" si="368"/>
        <v>1-1.13680234421219i</v>
      </c>
      <c r="AN413" s="50">
        <f t="shared" si="388"/>
        <v>1.5140408085009895</v>
      </c>
      <c r="AO413" s="50">
        <f t="shared" si="389"/>
        <v>-0.84933289920129507</v>
      </c>
      <c r="AP413" s="59" t="str">
        <f t="shared" si="390"/>
        <v>-0.256864188341226-0.372185089231078i</v>
      </c>
      <c r="AQ413" s="50">
        <f t="shared" si="391"/>
        <v>-6.8930466612535142</v>
      </c>
      <c r="AR413" s="62">
        <f t="shared" si="392"/>
        <v>-124.61156516710463</v>
      </c>
      <c r="AS413" s="32" t="str">
        <f t="shared" si="369"/>
        <v>-0.0000166666666666667</v>
      </c>
      <c r="AT413" s="32" t="str">
        <f t="shared" si="370"/>
        <v>0.00190396423182727i</v>
      </c>
      <c r="AU413" s="32">
        <f t="shared" si="393"/>
        <v>1.90396423182727E-3</v>
      </c>
      <c r="AV413" s="32">
        <f t="shared" si="394"/>
        <v>1.5707963267948966</v>
      </c>
      <c r="AW413" s="32" t="str">
        <f t="shared" si="371"/>
        <v>1+1.9349283560127i</v>
      </c>
      <c r="AX413" s="32">
        <f t="shared" si="395"/>
        <v>2.1780605461974676</v>
      </c>
      <c r="AY413" s="32">
        <f t="shared" si="396"/>
        <v>1.093787385935731</v>
      </c>
      <c r="AZ413" s="32" t="str">
        <f t="shared" si="372"/>
        <v>1+65.7875641044318i</v>
      </c>
      <c r="BA413" s="32">
        <f t="shared" si="397"/>
        <v>65.795163886069346</v>
      </c>
      <c r="BB413" s="32">
        <f t="shared" si="398"/>
        <v>1.5555970561351129</v>
      </c>
      <c r="BC413" s="59" t="str">
        <f t="shared" si="399"/>
        <v>-0.117822679964067+0.236732110289104i</v>
      </c>
      <c r="BD413" s="50">
        <f t="shared" si="400"/>
        <v>-11.553720219175807</v>
      </c>
      <c r="BE413" s="62">
        <f t="shared" si="401"/>
        <v>116.45974504075289</v>
      </c>
      <c r="BF413" s="59" t="str">
        <f t="shared" si="402"/>
        <v>-0.00290712950700647-0.0550258178069491i</v>
      </c>
      <c r="BG413" s="65">
        <f t="shared" si="403"/>
        <v>-25.176564607926327</v>
      </c>
      <c r="BH413" s="62">
        <f t="shared" si="404"/>
        <v>-93.024244653844505</v>
      </c>
      <c r="BI413" s="59" t="str">
        <f t="shared" si="357"/>
        <v>0.11837258864897-0.0169561567078453i</v>
      </c>
      <c r="BJ413" s="65">
        <f t="shared" si="405"/>
        <v>-18.446766880429298</v>
      </c>
      <c r="BK413" s="62">
        <f t="shared" si="358"/>
        <v>-8.1518201263517103</v>
      </c>
      <c r="BL413" s="50">
        <f t="shared" si="406"/>
        <v>-25.176564607926327</v>
      </c>
      <c r="BM413" s="62">
        <f t="shared" si="407"/>
        <v>-93.024244653844505</v>
      </c>
    </row>
    <row r="414" spans="14:65" x14ac:dyDescent="0.3">
      <c r="N414" s="11">
        <v>96</v>
      </c>
      <c r="O414" s="51">
        <f t="shared" si="359"/>
        <v>91201.083935591028</v>
      </c>
      <c r="P414" s="49" t="str">
        <f t="shared" si="360"/>
        <v>27.9103246607183</v>
      </c>
      <c r="Q414" s="18" t="str">
        <f t="shared" si="361"/>
        <v>1+281.486405020068i</v>
      </c>
      <c r="R414" s="18">
        <f t="shared" si="373"/>
        <v>281.48818129918305</v>
      </c>
      <c r="S414" s="18">
        <f t="shared" si="374"/>
        <v>1.567243772301034</v>
      </c>
      <c r="T414" s="18" t="str">
        <f t="shared" si="362"/>
        <v>1+0.252134656656502i</v>
      </c>
      <c r="U414" s="18">
        <f t="shared" si="375"/>
        <v>1.0312962159764245</v>
      </c>
      <c r="V414" s="18">
        <f t="shared" si="376"/>
        <v>0.24698674044296184</v>
      </c>
      <c r="W414" s="32" t="str">
        <f t="shared" si="363"/>
        <v>1-3.32500809844432i</v>
      </c>
      <c r="X414" s="18">
        <f t="shared" si="377"/>
        <v>3.4721288649357924</v>
      </c>
      <c r="Y414" s="18">
        <f t="shared" si="378"/>
        <v>-1.278650549008943</v>
      </c>
      <c r="Z414" s="32" t="str">
        <f t="shared" si="364"/>
        <v>0.828147981177134+1.52049179569455i</v>
      </c>
      <c r="AA414" s="18">
        <f t="shared" si="379"/>
        <v>1.7313937678940052</v>
      </c>
      <c r="AB414" s="18">
        <f t="shared" si="380"/>
        <v>1.072063728686093</v>
      </c>
      <c r="AC414" s="67" t="str">
        <f t="shared" si="381"/>
        <v>-0.176994521207593+0.103556426260323i</v>
      </c>
      <c r="AD414" s="65">
        <f t="shared" si="382"/>
        <v>-13.76223734347036</v>
      </c>
      <c r="AE414" s="62">
        <f t="shared" si="383"/>
        <v>149.66883724899401</v>
      </c>
      <c r="AF414" s="50" t="str">
        <f t="shared" si="365"/>
        <v>79.1527877025864</v>
      </c>
      <c r="AG414" s="50" t="str">
        <f t="shared" si="366"/>
        <v>1+279.287619681047i</v>
      </c>
      <c r="AH414" s="50">
        <f t="shared" si="384"/>
        <v>279.28940994442507</v>
      </c>
      <c r="AI414" s="50">
        <f t="shared" si="385"/>
        <v>1.5672158038638877</v>
      </c>
      <c r="AJ414" s="50" t="str">
        <f t="shared" si="367"/>
        <v>1+0.252134656656502i</v>
      </c>
      <c r="AK414" s="50">
        <f t="shared" si="386"/>
        <v>1.0312962159764245</v>
      </c>
      <c r="AL414" s="50">
        <f t="shared" si="387"/>
        <v>0.24698674044296184</v>
      </c>
      <c r="AM414" s="50" t="str">
        <f t="shared" si="368"/>
        <v>1-1.16328187244067i</v>
      </c>
      <c r="AN414" s="50">
        <f t="shared" si="388"/>
        <v>1.5340223970819562</v>
      </c>
      <c r="AO414" s="50">
        <f t="shared" si="389"/>
        <v>-0.86073409412035728</v>
      </c>
      <c r="AP414" s="59" t="str">
        <f t="shared" si="390"/>
        <v>-0.256912167034475-0.367454538608851i</v>
      </c>
      <c r="AQ414" s="50">
        <f t="shared" si="391"/>
        <v>-6.9674625759546149</v>
      </c>
      <c r="AR414" s="62">
        <f t="shared" si="392"/>
        <v>-124.9599842006412</v>
      </c>
      <c r="AS414" s="32" t="str">
        <f t="shared" si="369"/>
        <v>-0.0000166666666666667</v>
      </c>
      <c r="AT414" s="32" t="str">
        <f t="shared" si="370"/>
        <v>0.00194831325598206i</v>
      </c>
      <c r="AU414" s="32">
        <f t="shared" si="393"/>
        <v>1.9483132559820599E-3</v>
      </c>
      <c r="AV414" s="32">
        <f t="shared" si="394"/>
        <v>1.5707963267948966</v>
      </c>
      <c r="AW414" s="32" t="str">
        <f t="shared" si="371"/>
        <v>1+1.97999862727311i</v>
      </c>
      <c r="AX414" s="32">
        <f t="shared" si="395"/>
        <v>2.218196241093966</v>
      </c>
      <c r="AY414" s="32">
        <f t="shared" si="396"/>
        <v>1.1031162025959944</v>
      </c>
      <c r="AZ414" s="32" t="str">
        <f t="shared" si="372"/>
        <v>1+67.3199533272859i</v>
      </c>
      <c r="BA414" s="32">
        <f t="shared" si="397"/>
        <v>67.327380136078006</v>
      </c>
      <c r="BB414" s="32">
        <f t="shared" si="398"/>
        <v>1.5559429822977191</v>
      </c>
      <c r="BC414" s="59" t="str">
        <f t="shared" si="399"/>
        <v>-0.113597523411502+0.233477348500157i</v>
      </c>
      <c r="BD414" s="50">
        <f t="shared" si="400"/>
        <v>-11.712365708012271</v>
      </c>
      <c r="BE414" s="62">
        <f t="shared" si="401"/>
        <v>115.94506332740916</v>
      </c>
      <c r="BF414" s="59" t="str">
        <f t="shared" si="402"/>
        <v>-0.00407194055682511-0.0530879650671221i</v>
      </c>
      <c r="BG414" s="65">
        <f t="shared" si="403"/>
        <v>-25.474603051482635</v>
      </c>
      <c r="BH414" s="62">
        <f t="shared" si="404"/>
        <v>-94.386099423596804</v>
      </c>
      <c r="BI414" s="59" t="str">
        <f t="shared" si="357"/>
        <v>0.114976897278142-0.018241246004357i</v>
      </c>
      <c r="BJ414" s="65">
        <f t="shared" si="405"/>
        <v>-18.679828283966856</v>
      </c>
      <c r="BK414" s="62">
        <f t="shared" si="358"/>
        <v>-9.0149208732319579</v>
      </c>
      <c r="BL414" s="50">
        <f t="shared" si="406"/>
        <v>-25.474603051482635</v>
      </c>
      <c r="BM414" s="62">
        <f t="shared" si="407"/>
        <v>-94.386099423596804</v>
      </c>
    </row>
    <row r="415" spans="14:65" x14ac:dyDescent="0.3">
      <c r="N415" s="11">
        <v>97</v>
      </c>
      <c r="O415" s="51">
        <f t="shared" si="359"/>
        <v>93325.430079699145</v>
      </c>
      <c r="P415" s="49" t="str">
        <f t="shared" si="360"/>
        <v>27.9103246607183</v>
      </c>
      <c r="Q415" s="18" t="str">
        <f t="shared" si="361"/>
        <v>1+288.043065679337i</v>
      </c>
      <c r="R415" s="18">
        <f t="shared" si="373"/>
        <v>288.04480152564958</v>
      </c>
      <c r="S415" s="18">
        <f t="shared" si="374"/>
        <v>1.5673246376566892</v>
      </c>
      <c r="T415" s="18" t="str">
        <f t="shared" si="362"/>
        <v>1+0.258007627267712i</v>
      </c>
      <c r="U415" s="18">
        <f t="shared" si="375"/>
        <v>1.0327477599725476</v>
      </c>
      <c r="V415" s="18">
        <f t="shared" si="376"/>
        <v>0.25250093826763431</v>
      </c>
      <c r="W415" s="32" t="str">
        <f t="shared" si="363"/>
        <v>1-3.40245748641483i</v>
      </c>
      <c r="X415" s="18">
        <f t="shared" si="377"/>
        <v>3.5463667248129207</v>
      </c>
      <c r="Y415" s="18">
        <f t="shared" si="378"/>
        <v>-1.2849404147467178</v>
      </c>
      <c r="Z415" s="32" t="str">
        <f t="shared" si="364"/>
        <v>0.820048845050396+1.55590859935462i</v>
      </c>
      <c r="AA415" s="18">
        <f t="shared" si="379"/>
        <v>1.7587869904607958</v>
      </c>
      <c r="AB415" s="18">
        <f t="shared" si="380"/>
        <v>1.0857399955251883</v>
      </c>
      <c r="AC415" s="67" t="str">
        <f t="shared" si="381"/>
        <v>-0.17265792789945+0.104416444497762i</v>
      </c>
      <c r="AD415" s="65">
        <f t="shared" si="382"/>
        <v>-13.902609857396076</v>
      </c>
      <c r="AE415" s="62">
        <f t="shared" si="383"/>
        <v>148.83616913830679</v>
      </c>
      <c r="AF415" s="50" t="str">
        <f t="shared" si="365"/>
        <v>79.1527877025864</v>
      </c>
      <c r="AG415" s="50" t="str">
        <f t="shared" si="366"/>
        <v>1+285.793064050388i</v>
      </c>
      <c r="AH415" s="50">
        <f t="shared" si="384"/>
        <v>285.79481356264881</v>
      </c>
      <c r="AI415" s="50">
        <f t="shared" si="385"/>
        <v>1.5672973058432504</v>
      </c>
      <c r="AJ415" s="50" t="str">
        <f t="shared" si="367"/>
        <v>1+0.258007627267712i</v>
      </c>
      <c r="AK415" s="50">
        <f t="shared" si="386"/>
        <v>1.0327477599725476</v>
      </c>
      <c r="AL415" s="50">
        <f t="shared" si="387"/>
        <v>0.25250093826763431</v>
      </c>
      <c r="AM415" s="50" t="str">
        <f t="shared" si="368"/>
        <v>1-1.19037818811577i</v>
      </c>
      <c r="AN415" s="50">
        <f t="shared" si="388"/>
        <v>1.5546704572808296</v>
      </c>
      <c r="AO415" s="50">
        <f t="shared" si="389"/>
        <v>-0.87209595692613529</v>
      </c>
      <c r="AP415" s="59" t="str">
        <f t="shared" si="390"/>
        <v>-0.256957986384935-0.362918801779312i</v>
      </c>
      <c r="AQ415" s="50">
        <f t="shared" si="391"/>
        <v>-7.0391104121201353</v>
      </c>
      <c r="AR415" s="62">
        <f t="shared" si="392"/>
        <v>-125.29970044350449</v>
      </c>
      <c r="AS415" s="32" t="str">
        <f t="shared" si="369"/>
        <v>-0.0000166666666666667</v>
      </c>
      <c r="AT415" s="32" t="str">
        <f t="shared" si="370"/>
        <v>0.00199369530161414i</v>
      </c>
      <c r="AU415" s="32">
        <f t="shared" si="393"/>
        <v>1.9936953016141401E-3</v>
      </c>
      <c r="AV415" s="32">
        <f t="shared" si="394"/>
        <v>1.5707963267948966</v>
      </c>
      <c r="AW415" s="32" t="str">
        <f t="shared" si="371"/>
        <v>1+2.02611872001409i</v>
      </c>
      <c r="AX415" s="32">
        <f t="shared" si="395"/>
        <v>2.2594594635867082</v>
      </c>
      <c r="AY415" s="32">
        <f t="shared" si="396"/>
        <v>1.1123184050155739</v>
      </c>
      <c r="AZ415" s="32" t="str">
        <f t="shared" si="372"/>
        <v>1+68.8880364804791i</v>
      </c>
      <c r="BA415" s="32">
        <f t="shared" si="397"/>
        <v>68.895294252480113</v>
      </c>
      <c r="BB415" s="32">
        <f t="shared" si="398"/>
        <v>1.5562810376548066</v>
      </c>
      <c r="BC415" s="59" t="str">
        <f t="shared" si="399"/>
        <v>-0.109486276186581+0.230191879748959i</v>
      </c>
      <c r="BD415" s="50">
        <f t="shared" si="400"/>
        <v>-11.872500611915296</v>
      </c>
      <c r="BE415" s="62">
        <f t="shared" si="401"/>
        <v>115.43718511174504</v>
      </c>
      <c r="BF415" s="59" t="str">
        <f t="shared" si="402"/>
        <v>-0.00513214405584071-0.0511766206574374i</v>
      </c>
      <c r="BG415" s="65">
        <f t="shared" si="403"/>
        <v>-25.775110469311372</v>
      </c>
      <c r="BH415" s="62">
        <f t="shared" si="404"/>
        <v>-95.726645749948176</v>
      </c>
      <c r="BI415" s="59" t="str">
        <f t="shared" si="357"/>
        <v>0.111674334243508-0.0194150137375428i</v>
      </c>
      <c r="BJ415" s="65">
        <f t="shared" si="405"/>
        <v>-18.911611024035459</v>
      </c>
      <c r="BK415" s="62">
        <f t="shared" si="358"/>
        <v>-9.8625153317594982</v>
      </c>
      <c r="BL415" s="50">
        <f t="shared" si="406"/>
        <v>-25.775110469311372</v>
      </c>
      <c r="BM415" s="62">
        <f t="shared" si="407"/>
        <v>-95.726645749948176</v>
      </c>
    </row>
    <row r="416" spans="14:65" x14ac:dyDescent="0.3">
      <c r="N416" s="11">
        <v>98</v>
      </c>
      <c r="O416" s="51">
        <f t="shared" si="359"/>
        <v>95499.258602143804</v>
      </c>
      <c r="P416" s="49" t="str">
        <f t="shared" si="360"/>
        <v>27.9103246607183</v>
      </c>
      <c r="Q416" s="18" t="str">
        <f t="shared" si="361"/>
        <v>1+294.752450584731i</v>
      </c>
      <c r="R416" s="18">
        <f t="shared" si="373"/>
        <v>294.75414691858754</v>
      </c>
      <c r="S416" s="18">
        <f t="shared" si="374"/>
        <v>1.5674036623359948</v>
      </c>
      <c r="T416" s="18" t="str">
        <f t="shared" si="362"/>
        <v>1+0.264017396938035i</v>
      </c>
      <c r="U416" s="18">
        <f t="shared" si="375"/>
        <v>1.0342655296808145</v>
      </c>
      <c r="V416" s="18">
        <f t="shared" si="376"/>
        <v>0.25812737975456757</v>
      </c>
      <c r="W416" s="32" t="str">
        <f t="shared" si="363"/>
        <v>1-3.48171090238149i</v>
      </c>
      <c r="X416" s="18">
        <f t="shared" si="377"/>
        <v>3.6224730237452598</v>
      </c>
      <c r="Y416" s="18">
        <f t="shared" si="378"/>
        <v>-1.2911096586653463</v>
      </c>
      <c r="Z416" s="32" t="str">
        <f t="shared" si="364"/>
        <v>0.811568008397539+1.59215036634894i</v>
      </c>
      <c r="AA416" s="18">
        <f t="shared" si="379"/>
        <v>1.7870605533443493</v>
      </c>
      <c r="AB416" s="18">
        <f t="shared" si="380"/>
        <v>1.0993944517234144</v>
      </c>
      <c r="AC416" s="67" t="str">
        <f t="shared" si="381"/>
        <v>-0.168387385864404+0.105145764790904i</v>
      </c>
      <c r="AD416" s="65">
        <f t="shared" si="382"/>
        <v>-14.043941869692544</v>
      </c>
      <c r="AE416" s="62">
        <f t="shared" si="383"/>
        <v>148.01819835755506</v>
      </c>
      <c r="AF416" s="50" t="str">
        <f t="shared" si="365"/>
        <v>79.1527877025864</v>
      </c>
      <c r="AG416" s="50" t="str">
        <f t="shared" si="366"/>
        <v>1+292.450039685208i</v>
      </c>
      <c r="AH416" s="50">
        <f t="shared" si="384"/>
        <v>292.45174937394336</v>
      </c>
      <c r="AI416" s="50">
        <f t="shared" si="385"/>
        <v>1.5673769526559833</v>
      </c>
      <c r="AJ416" s="50" t="str">
        <f t="shared" si="367"/>
        <v>1+0.264017396938035i</v>
      </c>
      <c r="AK416" s="50">
        <f t="shared" si="386"/>
        <v>1.0342655296808145</v>
      </c>
      <c r="AL416" s="50">
        <f t="shared" si="387"/>
        <v>0.25812737975456757</v>
      </c>
      <c r="AM416" s="50" t="str">
        <f t="shared" si="368"/>
        <v>1-1.21810565806273i</v>
      </c>
      <c r="AN416" s="50">
        <f t="shared" si="388"/>
        <v>1.5760017113583464</v>
      </c>
      <c r="AO416" s="50">
        <f t="shared" si="389"/>
        <v>-0.88341277886464231</v>
      </c>
      <c r="AP416" s="59" t="str">
        <f t="shared" si="390"/>
        <v>-0.257001743574279-0.358575474867122i</v>
      </c>
      <c r="AQ416" s="50">
        <f t="shared" si="391"/>
        <v>-7.1079854635556092</v>
      </c>
      <c r="AR416" s="62">
        <f t="shared" si="392"/>
        <v>-125.63029865342472</v>
      </c>
      <c r="AS416" s="32" t="str">
        <f t="shared" si="369"/>
        <v>-0.0000166666666666667</v>
      </c>
      <c r="AT416" s="32" t="str">
        <f t="shared" si="370"/>
        <v>0.00204013443088481i</v>
      </c>
      <c r="AU416" s="32">
        <f t="shared" si="393"/>
        <v>2.0401344308848099E-3</v>
      </c>
      <c r="AV416" s="32">
        <f t="shared" si="394"/>
        <v>1.5707963267948966</v>
      </c>
      <c r="AW416" s="32" t="str">
        <f t="shared" si="371"/>
        <v>1+2.07331308771927i</v>
      </c>
      <c r="AX416" s="32">
        <f t="shared" si="395"/>
        <v>2.30187470547552</v>
      </c>
      <c r="AY416" s="32">
        <f t="shared" si="396"/>
        <v>1.1213926374042544</v>
      </c>
      <c r="AZ416" s="32" t="str">
        <f t="shared" si="372"/>
        <v>1+70.4926449824553i</v>
      </c>
      <c r="BA416" s="32">
        <f t="shared" si="397"/>
        <v>70.49973756420998</v>
      </c>
      <c r="BB416" s="32">
        <f t="shared" si="398"/>
        <v>1.5566114011385552</v>
      </c>
      <c r="BC416" s="59" t="str">
        <f t="shared" si="399"/>
        <v>-0.10548857653706+0.226880242636954i</v>
      </c>
      <c r="BD416" s="50">
        <f t="shared" si="400"/>
        <v>-12.034084321701673</v>
      </c>
      <c r="BE416" s="62">
        <f t="shared" si="401"/>
        <v>114.93619832687673</v>
      </c>
      <c r="BF416" s="59" t="str">
        <f t="shared" si="402"/>
        <v>-0.00609255098637576-0.0492954480186114i</v>
      </c>
      <c r="BG416" s="65">
        <f t="shared" si="403"/>
        <v>-26.078026191394208</v>
      </c>
      <c r="BH416" s="62">
        <f t="shared" si="404"/>
        <v>-97.045603315568201</v>
      </c>
      <c r="BI416" s="59" t="str">
        <f t="shared" si="357"/>
        <v>0.108464438838707-0.0204830015154196i</v>
      </c>
      <c r="BJ416" s="65">
        <f t="shared" si="405"/>
        <v>-19.14206978525727</v>
      </c>
      <c r="BK416" s="62">
        <f t="shared" si="358"/>
        <v>-10.694100326547956</v>
      </c>
      <c r="BL416" s="50">
        <f t="shared" si="406"/>
        <v>-26.078026191394208</v>
      </c>
      <c r="BM416" s="62">
        <f t="shared" si="407"/>
        <v>-97.045603315568201</v>
      </c>
    </row>
    <row r="417" spans="14:65" x14ac:dyDescent="0.3">
      <c r="N417" s="11">
        <v>99</v>
      </c>
      <c r="O417" s="51">
        <f t="shared" si="359"/>
        <v>97723.722095581266</v>
      </c>
      <c r="P417" s="49" t="str">
        <f t="shared" si="360"/>
        <v>27.9103246607183</v>
      </c>
      <c r="Q417" s="18" t="str">
        <f t="shared" si="361"/>
        <v>1+301.618117140934i</v>
      </c>
      <c r="R417" s="18">
        <f t="shared" si="373"/>
        <v>301.61977486173242</v>
      </c>
      <c r="S417" s="18">
        <f t="shared" si="374"/>
        <v>1.5674808882349318</v>
      </c>
      <c r="T417" s="18" t="str">
        <f t="shared" si="362"/>
        <v>1+0.270167152126897i</v>
      </c>
      <c r="U417" s="18">
        <f t="shared" si="375"/>
        <v>1.0358524460985541</v>
      </c>
      <c r="V417" s="18">
        <f t="shared" si="376"/>
        <v>0.2638676226015696</v>
      </c>
      <c r="W417" s="32" t="str">
        <f t="shared" si="363"/>
        <v>1-3.56281036755448i</v>
      </c>
      <c r="X417" s="18">
        <f t="shared" si="377"/>
        <v>3.7004888481325935</v>
      </c>
      <c r="Y417" s="18">
        <f t="shared" si="378"/>
        <v>-1.2971596726679941</v>
      </c>
      <c r="Z417" s="32" t="str">
        <f t="shared" si="364"/>
        <v>0.802687482226975+1.62923631254211i</v>
      </c>
      <c r="AA417" s="18">
        <f t="shared" si="379"/>
        <v>1.8162373623041927</v>
      </c>
      <c r="AB417" s="18">
        <f t="shared" si="380"/>
        <v>1.1130241506474607</v>
      </c>
      <c r="AC417" s="67" t="str">
        <f t="shared" si="381"/>
        <v>-0.164185705280233+0.105749232215718i</v>
      </c>
      <c r="AD417" s="65">
        <f t="shared" si="382"/>
        <v>-14.186210656362348</v>
      </c>
      <c r="AE417" s="62">
        <f t="shared" si="383"/>
        <v>147.2151008352615</v>
      </c>
      <c r="AF417" s="50" t="str">
        <f t="shared" si="365"/>
        <v>79.1527877025864</v>
      </c>
      <c r="AG417" s="50" t="str">
        <f t="shared" si="366"/>
        <v>1+299.262076202101i</v>
      </c>
      <c r="AH417" s="50">
        <f t="shared" si="384"/>
        <v>299.26374697378918</v>
      </c>
      <c r="AI417" s="50">
        <f t="shared" si="385"/>
        <v>1.5674547865278361</v>
      </c>
      <c r="AJ417" s="50" t="str">
        <f t="shared" si="367"/>
        <v>1+0.270167152126897i</v>
      </c>
      <c r="AK417" s="50">
        <f t="shared" si="386"/>
        <v>1.0358524460985541</v>
      </c>
      <c r="AL417" s="50">
        <f t="shared" si="387"/>
        <v>0.2638676226015696</v>
      </c>
      <c r="AM417" s="50" t="str">
        <f t="shared" si="368"/>
        <v>1-1.24647898375313i</v>
      </c>
      <c r="AN417" s="50">
        <f t="shared" si="388"/>
        <v>1.5980331213520689</v>
      </c>
      <c r="AO417" s="50">
        <f t="shared" si="389"/>
        <v>-0.89467896622499643</v>
      </c>
      <c r="AP417" s="59" t="str">
        <f t="shared" si="390"/>
        <v>-0.257043531410707-0.354422255946332i</v>
      </c>
      <c r="AQ417" s="50">
        <f t="shared" si="391"/>
        <v>-7.1740844388303815</v>
      </c>
      <c r="AR417" s="62">
        <f t="shared" si="392"/>
        <v>-125.95137150422333</v>
      </c>
      <c r="AS417" s="32" t="str">
        <f t="shared" si="369"/>
        <v>-0.0000166666666666667</v>
      </c>
      <c r="AT417" s="32" t="str">
        <f t="shared" si="370"/>
        <v>0.00208765526643511i</v>
      </c>
      <c r="AU417" s="32">
        <f t="shared" si="393"/>
        <v>2.08765526643511E-3</v>
      </c>
      <c r="AV417" s="32">
        <f t="shared" si="394"/>
        <v>1.5707963267948966</v>
      </c>
      <c r="AW417" s="32" t="str">
        <f t="shared" si="371"/>
        <v>1+2.1216067534671i</v>
      </c>
      <c r="AX417" s="32">
        <f t="shared" si="395"/>
        <v>2.3454669506000738</v>
      </c>
      <c r="AY417" s="32">
        <f t="shared" si="396"/>
        <v>1.1303377325669108</v>
      </c>
      <c r="AZ417" s="32" t="str">
        <f t="shared" si="372"/>
        <v>1+72.1346296178815i</v>
      </c>
      <c r="BA417" s="32">
        <f t="shared" si="397"/>
        <v>72.141560768456813</v>
      </c>
      <c r="BB417" s="32">
        <f t="shared" si="398"/>
        <v>1.5569342476234445</v>
      </c>
      <c r="BC417" s="59" t="str">
        <f t="shared" si="399"/>
        <v>-0.10160384836722+0.223546849009082i</v>
      </c>
      <c r="BD417" s="50">
        <f t="shared" si="400"/>
        <v>-12.197076392273035</v>
      </c>
      <c r="BE417" s="62">
        <f t="shared" si="401"/>
        <v>114.44217986772837</v>
      </c>
      <c r="BF417" s="59" t="str">
        <f t="shared" si="402"/>
        <v>-0.0069580081435956-0.0474477260227256i</v>
      </c>
      <c r="BG417" s="65">
        <f t="shared" si="403"/>
        <v>-26.383287048635388</v>
      </c>
      <c r="BH417" s="62">
        <f t="shared" si="404"/>
        <v>-98.342719297010149</v>
      </c>
      <c r="BI417" s="59" t="str">
        <f t="shared" si="357"/>
        <v>0.105346590524721-0.0214506063538914i</v>
      </c>
      <c r="BJ417" s="65">
        <f t="shared" si="405"/>
        <v>-19.371160831103424</v>
      </c>
      <c r="BK417" s="62">
        <f t="shared" si="358"/>
        <v>-11.509191636494979</v>
      </c>
      <c r="BL417" s="50">
        <f t="shared" si="406"/>
        <v>-26.383287048635388</v>
      </c>
      <c r="BM417" s="62">
        <f t="shared" si="407"/>
        <v>-98.342719297010149</v>
      </c>
    </row>
    <row r="418" spans="14:65" x14ac:dyDescent="0.3">
      <c r="N418" s="11">
        <v>100</v>
      </c>
      <c r="O418" s="51">
        <f t="shared" si="359"/>
        <v>100000</v>
      </c>
      <c r="P418" s="49" t="str">
        <f t="shared" si="360"/>
        <v>27.9103246607183</v>
      </c>
      <c r="Q418" s="18" t="str">
        <f t="shared" si="361"/>
        <v>1+308.643705615233i</v>
      </c>
      <c r="R418" s="18">
        <f t="shared" si="373"/>
        <v>308.64532560189957</v>
      </c>
      <c r="S418" s="18">
        <f t="shared" si="374"/>
        <v>1.5675563562960071</v>
      </c>
      <c r="T418" s="18" t="str">
        <f t="shared" si="362"/>
        <v>1+0.276460153515902i</v>
      </c>
      <c r="U418" s="18">
        <f t="shared" si="375"/>
        <v>1.0375115500475338</v>
      </c>
      <c r="V418" s="18">
        <f t="shared" si="376"/>
        <v>0.26972319659572674</v>
      </c>
      <c r="W418" s="32" t="str">
        <f t="shared" si="363"/>
        <v>1-3.64579888194371i</v>
      </c>
      <c r="X418" s="18">
        <f t="shared" si="377"/>
        <v>3.7804562538907929</v>
      </c>
      <c r="Y418" s="18">
        <f t="shared" si="378"/>
        <v>-1.3030918922855526</v>
      </c>
      <c r="Z418" s="32" t="str">
        <f t="shared" si="364"/>
        <v>0.793388429752066+1.66718610139367i</v>
      </c>
      <c r="AA418" s="18">
        <f t="shared" si="379"/>
        <v>1.8463408940779795</v>
      </c>
      <c r="AB418" s="18">
        <f t="shared" si="380"/>
        <v>1.1266263668800423</v>
      </c>
      <c r="AC418" s="67" t="str">
        <f t="shared" si="381"/>
        <v>-0.160055452625894+0.106231759942829i</v>
      </c>
      <c r="AD418" s="65">
        <f t="shared" si="382"/>
        <v>-14.329390948464585</v>
      </c>
      <c r="AE418" s="62">
        <f t="shared" si="383"/>
        <v>146.42703578098374</v>
      </c>
      <c r="AF418" s="50" t="str">
        <f t="shared" si="365"/>
        <v>79.1527877025864</v>
      </c>
      <c r="AG418" s="50" t="str">
        <f t="shared" si="366"/>
        <v>1+306.232785432999i</v>
      </c>
      <c r="AH418" s="50">
        <f t="shared" si="384"/>
        <v>306.23441817348549</v>
      </c>
      <c r="AI418" s="50">
        <f t="shared" si="385"/>
        <v>1.5675308487235839</v>
      </c>
      <c r="AJ418" s="50" t="str">
        <f t="shared" si="367"/>
        <v>1+0.276460153515902i</v>
      </c>
      <c r="AK418" s="50">
        <f t="shared" si="386"/>
        <v>1.0375115500475338</v>
      </c>
      <c r="AL418" s="50">
        <f t="shared" si="387"/>
        <v>0.26972319659572674</v>
      </c>
      <c r="AM418" s="50" t="str">
        <f t="shared" si="368"/>
        <v>1-1.27551320909981i</v>
      </c>
      <c r="AN418" s="50">
        <f t="shared" si="388"/>
        <v>1.6207818935896636</v>
      </c>
      <c r="AO418" s="50">
        <f t="shared" si="389"/>
        <v>-0.90588905331333103</v>
      </c>
      <c r="AP418" s="59" t="str">
        <f t="shared" si="390"/>
        <v>-0.257083438525735-0.350456943824438i</v>
      </c>
      <c r="AQ418" s="50">
        <f t="shared" si="391"/>
        <v>-7.2374053723580722</v>
      </c>
      <c r="AR418" s="62">
        <f t="shared" si="392"/>
        <v>-126.26252054866438</v>
      </c>
      <c r="AS418" s="32" t="str">
        <f t="shared" si="369"/>
        <v>-0.0000166666666666667</v>
      </c>
      <c r="AT418" s="32" t="str">
        <f t="shared" si="370"/>
        <v>0.00213628300444106i</v>
      </c>
      <c r="AU418" s="32">
        <f t="shared" si="393"/>
        <v>2.13628300444106E-3</v>
      </c>
      <c r="AV418" s="32">
        <f t="shared" si="394"/>
        <v>1.5707963267948966</v>
      </c>
      <c r="AW418" s="32" t="str">
        <f t="shared" si="371"/>
        <v>1+2.17102532319841i</v>
      </c>
      <c r="AX418" s="32">
        <f t="shared" si="395"/>
        <v>2.3902616915243318</v>
      </c>
      <c r="AY418" s="32">
        <f t="shared" si="396"/>
        <v>1.1391527063989209</v>
      </c>
      <c r="AZ418" s="32" t="str">
        <f t="shared" si="372"/>
        <v>1+73.8148609887458i</v>
      </c>
      <c r="BA418" s="32">
        <f t="shared" si="397"/>
        <v>73.821634381716763</v>
      </c>
      <c r="BB418" s="32">
        <f t="shared" si="398"/>
        <v>1.5572497480175973</v>
      </c>
      <c r="BC418" s="59" t="str">
        <f t="shared" si="399"/>
        <v>-0.0978313149641075+0.220195975085539i</v>
      </c>
      <c r="BD418" s="50">
        <f t="shared" si="400"/>
        <v>-12.36143661704601</v>
      </c>
      <c r="BE418" s="62">
        <f t="shared" si="401"/>
        <v>113.95519591165562</v>
      </c>
      <c r="BF418" s="59" t="str">
        <f t="shared" si="402"/>
        <v>-0.00773337056809751-0.0456363592248744i</v>
      </c>
      <c r="BG418" s="65">
        <f t="shared" si="403"/>
        <v>-26.690827565510595</v>
      </c>
      <c r="BH418" s="62">
        <f t="shared" si="404"/>
        <v>-99.61776830736062</v>
      </c>
      <c r="BI418" s="59" t="str">
        <f t="shared" si="357"/>
        <v>0.102320019317387-0.0223230747718703i</v>
      </c>
      <c r="BJ418" s="65">
        <f t="shared" si="405"/>
        <v>-19.598841989404086</v>
      </c>
      <c r="BK418" s="62">
        <f t="shared" si="358"/>
        <v>-12.307324637008731</v>
      </c>
      <c r="BL418" s="50">
        <f t="shared" si="406"/>
        <v>-26.690827565510595</v>
      </c>
      <c r="BM418" s="62">
        <f t="shared" si="407"/>
        <v>-99.61776830736062</v>
      </c>
    </row>
    <row r="419" spans="14:65" x14ac:dyDescent="0.3">
      <c r="N419" s="11">
        <v>1</v>
      </c>
      <c r="O419" s="51">
        <f>10^(5+(N419/100))</f>
        <v>102329.29922807543</v>
      </c>
      <c r="P419" s="49" t="str">
        <f t="shared" si="360"/>
        <v>27.9103246607183</v>
      </c>
      <c r="Q419" s="18" t="str">
        <f t="shared" si="361"/>
        <v>1+315.832941067632i</v>
      </c>
      <c r="R419" s="18">
        <f t="shared" si="373"/>
        <v>315.83452417908705</v>
      </c>
      <c r="S419" s="18">
        <f t="shared" si="374"/>
        <v>1.5676301065299454</v>
      </c>
      <c r="T419" s="18" t="str">
        <f t="shared" si="362"/>
        <v>1+0.282899737737684i</v>
      </c>
      <c r="U419" s="18">
        <f t="shared" si="375"/>
        <v>1.039246006300746</v>
      </c>
      <c r="V419" s="18">
        <f t="shared" si="376"/>
        <v>0.2756955995971776</v>
      </c>
      <c r="W419" s="32" t="str">
        <f t="shared" si="363"/>
        <v>1-3.73072044715801i</v>
      </c>
      <c r="X419" s="18">
        <f t="shared" si="377"/>
        <v>3.8624182910247904</v>
      </c>
      <c r="Y419" s="18">
        <f t="shared" si="378"/>
        <v>-1.3089077920971735</v>
      </c>
      <c r="Z419" s="32" t="str">
        <f t="shared" si="364"/>
        <v>0.783651126435764+1.70601985438402i</v>
      </c>
      <c r="AA419" s="18">
        <f t="shared" si="379"/>
        <v>1.8773952251767645</v>
      </c>
      <c r="AB419" s="18">
        <f t="shared" si="380"/>
        <v>1.1401986007440403</v>
      </c>
      <c r="AC419" s="67" t="str">
        <f t="shared" si="381"/>
        <v>-0.15599894877878+0.106598311686323i</v>
      </c>
      <c r="AD419" s="65">
        <f t="shared" si="382"/>
        <v>-14.473455054445852</v>
      </c>
      <c r="AE419" s="62">
        <f t="shared" si="383"/>
        <v>145.65414545712687</v>
      </c>
      <c r="AF419" s="50" t="str">
        <f t="shared" si="365"/>
        <v>79.1527877025864</v>
      </c>
      <c r="AG419" s="50" t="str">
        <f t="shared" si="366"/>
        <v>1+313.365863340203i</v>
      </c>
      <c r="AH419" s="50">
        <f t="shared" si="384"/>
        <v>313.36745891517006</v>
      </c>
      <c r="AI419" s="50">
        <f t="shared" si="385"/>
        <v>1.5676051795688872</v>
      </c>
      <c r="AJ419" s="50" t="str">
        <f t="shared" si="367"/>
        <v>1+0.282899737737684i</v>
      </c>
      <c r="AK419" s="50">
        <f t="shared" si="386"/>
        <v>1.039246006300746</v>
      </c>
      <c r="AL419" s="50">
        <f t="shared" si="387"/>
        <v>0.2756955995971776</v>
      </c>
      <c r="AM419" s="50" t="str">
        <f t="shared" si="368"/>
        <v>1-1.30522372843338i</v>
      </c>
      <c r="AN419" s="50">
        <f t="shared" si="388"/>
        <v>1.6442654838150481</v>
      </c>
      <c r="AO419" s="50">
        <f t="shared" si="389"/>
        <v>-0.91703771465516826</v>
      </c>
      <c r="AP419" s="59" t="str">
        <f t="shared" si="390"/>
        <v>-0.257121549562162-0.346677436879624i</v>
      </c>
      <c r="AQ419" s="50">
        <f t="shared" si="391"/>
        <v>-7.2979475292182769</v>
      </c>
      <c r="AR419" s="62">
        <f t="shared" si="392"/>
        <v>-126.56335714896132</v>
      </c>
      <c r="AS419" s="32" t="str">
        <f t="shared" si="369"/>
        <v>-0.0000166666666666667</v>
      </c>
      <c r="AT419" s="32" t="str">
        <f t="shared" si="370"/>
        <v>0.00218604342797301i</v>
      </c>
      <c r="AU419" s="32">
        <f t="shared" si="393"/>
        <v>2.1860434279730098E-3</v>
      </c>
      <c r="AV419" s="32">
        <f t="shared" si="394"/>
        <v>1.5707963267948966</v>
      </c>
      <c r="AW419" s="32" t="str">
        <f t="shared" si="371"/>
        <v>1+2.22159499929299i</v>
      </c>
      <c r="AX419" s="32">
        <f t="shared" si="395"/>
        <v>2.4362849465700074</v>
      </c>
      <c r="AY419" s="32">
        <f t="shared" si="396"/>
        <v>1.1478367520448642</v>
      </c>
      <c r="AZ419" s="32" t="str">
        <f t="shared" si="372"/>
        <v>1+75.5342299759616i</v>
      </c>
      <c r="BA419" s="32">
        <f t="shared" si="397"/>
        <v>75.540849201352344</v>
      </c>
      <c r="BB419" s="32">
        <f t="shared" si="398"/>
        <v>1.5575580693521143</v>
      </c>
      <c r="BC419" s="59" t="str">
        <f t="shared" si="399"/>
        <v>-0.094170012854417+0.216831753870559i</v>
      </c>
      <c r="BD419" s="50">
        <f t="shared" si="400"/>
        <v>-12.527125097436226</v>
      </c>
      <c r="BE419" s="62">
        <f t="shared" si="401"/>
        <v>113.47530225824575</v>
      </c>
      <c r="BF419" s="59" t="str">
        <f t="shared" si="402"/>
        <v>-0.00842347587081267-0.0438638900474266i</v>
      </c>
      <c r="BG419" s="65">
        <f t="shared" si="403"/>
        <v>-27.000580151882069</v>
      </c>
      <c r="BH419" s="62">
        <f t="shared" si="404"/>
        <v>-100.87055228462737</v>
      </c>
      <c r="BI419" s="59" t="str">
        <f t="shared" si="357"/>
        <v>0.0993838162933753-0.0231054978621889i</v>
      </c>
      <c r="BJ419" s="65">
        <f t="shared" si="405"/>
        <v>-19.825072626654503</v>
      </c>
      <c r="BK419" s="62">
        <f t="shared" si="358"/>
        <v>-13.088054890715554</v>
      </c>
      <c r="BL419" s="50">
        <f t="shared" si="406"/>
        <v>-27.000580151882069</v>
      </c>
      <c r="BM419" s="62">
        <f t="shared" si="407"/>
        <v>-100.87055228462737</v>
      </c>
    </row>
    <row r="420" spans="14:65" x14ac:dyDescent="0.3">
      <c r="N420" s="11">
        <v>2</v>
      </c>
      <c r="O420" s="51">
        <f t="shared" ref="O420:O483" si="408">10^(5+(N420/100))</f>
        <v>104712.85480508996</v>
      </c>
      <c r="P420" s="49" t="str">
        <f t="shared" si="360"/>
        <v>27.9103246607183</v>
      </c>
      <c r="Q420" s="18" t="str">
        <f t="shared" si="361"/>
        <v>1+323.189635325929i</v>
      </c>
      <c r="R420" s="18">
        <f t="shared" si="373"/>
        <v>323.19118240154228</v>
      </c>
      <c r="S420" s="18">
        <f t="shared" si="374"/>
        <v>1.5677021780368856</v>
      </c>
      <c r="T420" s="18" t="str">
        <f t="shared" si="362"/>
        <v>1+0.289489319145036i</v>
      </c>
      <c r="U420" s="18">
        <f t="shared" si="375"/>
        <v>1.0410591077835381</v>
      </c>
      <c r="V420" s="18">
        <f t="shared" si="376"/>
        <v>0.28178629331242594</v>
      </c>
      <c r="W420" s="32" t="str">
        <f t="shared" si="363"/>
        <v>1-3.81762008973531i</v>
      </c>
      <c r="X420" s="18">
        <f t="shared" si="377"/>
        <v>3.9464190286322403</v>
      </c>
      <c r="Y420" s="18">
        <f t="shared" si="378"/>
        <v>-1.3146088813640517</v>
      </c>
      <c r="Z420" s="32" t="str">
        <f t="shared" si="364"/>
        <v>0.773454918152234+1.745758161683i</v>
      </c>
      <c r="AA420" s="18">
        <f t="shared" si="379"/>
        <v>1.9094250625506848</v>
      </c>
      <c r="AB420" s="18">
        <f t="shared" si="380"/>
        <v>1.1537385818020456</v>
      </c>
      <c r="AC420" s="67" t="str">
        <f t="shared" si="381"/>
        <v>-0.152018268615217+0.106853884422444i</v>
      </c>
      <c r="AD420" s="65">
        <f t="shared" si="382"/>
        <v>-14.618372985836585</v>
      </c>
      <c r="AE420" s="62">
        <f t="shared" si="383"/>
        <v>144.8965549852164</v>
      </c>
      <c r="AF420" s="50" t="str">
        <f t="shared" si="365"/>
        <v>79.1527877025864</v>
      </c>
      <c r="AG420" s="50" t="str">
        <f t="shared" si="366"/>
        <v>1+320.665091976039i</v>
      </c>
      <c r="AH420" s="50">
        <f t="shared" si="384"/>
        <v>320.66665123146424</v>
      </c>
      <c r="AI420" s="50">
        <f t="shared" si="385"/>
        <v>1.5676778184716564</v>
      </c>
      <c r="AJ420" s="50" t="str">
        <f t="shared" si="367"/>
        <v>1+0.289489319145036i</v>
      </c>
      <c r="AK420" s="50">
        <f t="shared" si="386"/>
        <v>1.0410591077835381</v>
      </c>
      <c r="AL420" s="50">
        <f t="shared" si="387"/>
        <v>0.28178629331242594</v>
      </c>
      <c r="AM420" s="50" t="str">
        <f t="shared" si="368"/>
        <v>1-1.33562629466443i</v>
      </c>
      <c r="AN420" s="50">
        <f t="shared" si="388"/>
        <v>1.66850160293571</v>
      </c>
      <c r="AO420" s="50">
        <f t="shared" si="389"/>
        <v>-0.92811977636711507</v>
      </c>
      <c r="AP420" s="59" t="str">
        <f t="shared" si="390"/>
        <v>-0.25715794535354-0.343081731950409i</v>
      </c>
      <c r="AQ420" s="50">
        <f t="shared" si="391"/>
        <v>-7.3557113045415266</v>
      </c>
      <c r="AR420" s="62">
        <f t="shared" si="392"/>
        <v>-126.85350337172601</v>
      </c>
      <c r="AS420" s="32" t="str">
        <f t="shared" si="369"/>
        <v>-0.0000166666666666667</v>
      </c>
      <c r="AT420" s="32" t="str">
        <f t="shared" si="370"/>
        <v>0.00223696292066618i</v>
      </c>
      <c r="AU420" s="32">
        <f t="shared" si="393"/>
        <v>2.2369629206661799E-3</v>
      </c>
      <c r="AV420" s="32">
        <f t="shared" si="394"/>
        <v>1.5707963267948966</v>
      </c>
      <c r="AW420" s="32" t="str">
        <f t="shared" si="371"/>
        <v>1+2.27334259446248i</v>
      </c>
      <c r="AX420" s="32">
        <f t="shared" si="395"/>
        <v>2.4835632771881211</v>
      </c>
      <c r="AY420" s="32">
        <f t="shared" si="396"/>
        <v>1.1563892337722124</v>
      </c>
      <c r="AZ420" s="32" t="str">
        <f t="shared" si="372"/>
        <v>1+77.2936482117244i</v>
      </c>
      <c r="BA420" s="32">
        <f t="shared" si="397"/>
        <v>77.300116777905359</v>
      </c>
      <c r="BB420" s="32">
        <f t="shared" si="398"/>
        <v>1.5578593748684364</v>
      </c>
      <c r="BC420" s="59" t="str">
        <f t="shared" si="399"/>
        <v>-0.0906188056838022+0.213458168794885i</v>
      </c>
      <c r="BD420" s="50">
        <f t="shared" si="400"/>
        <v>-12.694102307368913</v>
      </c>
      <c r="BE420" s="62">
        <f t="shared" si="401"/>
        <v>113.00254468533538</v>
      </c>
      <c r="BF420" s="59" t="str">
        <f t="shared" si="402"/>
        <v>-0.00903312055340479-0.0421325126310101i</v>
      </c>
      <c r="BG420" s="65">
        <f t="shared" si="403"/>
        <v>-27.312475293205488</v>
      </c>
      <c r="BH420" s="62">
        <f t="shared" si="404"/>
        <v>-102.10090032944819</v>
      </c>
      <c r="BI420" s="59" t="str">
        <f t="shared" si="357"/>
        <v>0.0965369441291501-0.0238028073049453i</v>
      </c>
      <c r="BJ420" s="65">
        <f t="shared" si="405"/>
        <v>-20.049813611910444</v>
      </c>
      <c r="BK420" s="62">
        <f t="shared" si="358"/>
        <v>-13.850958686390625</v>
      </c>
      <c r="BL420" s="50">
        <f t="shared" si="406"/>
        <v>-27.312475293205488</v>
      </c>
      <c r="BM420" s="62">
        <f t="shared" si="407"/>
        <v>-102.10090032944819</v>
      </c>
    </row>
    <row r="421" spans="14:65" x14ac:dyDescent="0.3">
      <c r="N421" s="11">
        <v>3</v>
      </c>
      <c r="O421" s="51">
        <f t="shared" si="408"/>
        <v>107151.93052376082</v>
      </c>
      <c r="P421" s="49" t="str">
        <f t="shared" si="360"/>
        <v>27.9103246607183</v>
      </c>
      <c r="Q421" s="18" t="str">
        <f t="shared" si="361"/>
        <v>1+330.717689006796i</v>
      </c>
      <c r="R421" s="18">
        <f t="shared" si="373"/>
        <v>330.71920086683178</v>
      </c>
      <c r="S421" s="18">
        <f t="shared" si="374"/>
        <v>1.5677726090270983</v>
      </c>
      <c r="T421" s="18" t="str">
        <f t="shared" si="362"/>
        <v>1+0.296232391621242i</v>
      </c>
      <c r="U421" s="18">
        <f t="shared" si="375"/>
        <v>1.0429542798443472</v>
      </c>
      <c r="V421" s="18">
        <f t="shared" si="376"/>
        <v>0.28799669885518275</v>
      </c>
      <c r="W421" s="32" t="str">
        <f t="shared" si="363"/>
        <v>1-3.90654388501637i</v>
      </c>
      <c r="X421" s="18">
        <f t="shared" si="377"/>
        <v>4.0325035803528797</v>
      </c>
      <c r="Y421" s="18">
        <f t="shared" si="378"/>
        <v>-1.3201966998751018</v>
      </c>
      <c r="Z421" s="32" t="str">
        <f t="shared" si="364"/>
        <v>0.762778177376676+1.78642209306715i</v>
      </c>
      <c r="AA421" s="18">
        <f t="shared" si="379"/>
        <v>1.9424557761968484</v>
      </c>
      <c r="AB421" s="18">
        <f t="shared" si="380"/>
        <v>1.1672442713472999</v>
      </c>
      <c r="AC421" s="67" t="str">
        <f t="shared" si="381"/>
        <v>-0.148115242043232+0.107003491510293i</v>
      </c>
      <c r="AD421" s="65">
        <f t="shared" si="382"/>
        <v>-14.764112585614079</v>
      </c>
      <c r="AE421" s="62">
        <f t="shared" si="383"/>
        <v>144.15437218566964</v>
      </c>
      <c r="AF421" s="50" t="str">
        <f t="shared" si="365"/>
        <v>79.1527877025864</v>
      </c>
      <c r="AG421" s="50" t="str">
        <f t="shared" si="366"/>
        <v>1+328.134341488144i</v>
      </c>
      <c r="AH421" s="50">
        <f t="shared" si="384"/>
        <v>328.1358652507493</v>
      </c>
      <c r="AI421" s="50">
        <f t="shared" si="385"/>
        <v>1.5677488039429317</v>
      </c>
      <c r="AJ421" s="50" t="str">
        <f t="shared" si="367"/>
        <v>1+0.296232391621242i</v>
      </c>
      <c r="AK421" s="50">
        <f t="shared" si="386"/>
        <v>1.0429542798443472</v>
      </c>
      <c r="AL421" s="50">
        <f t="shared" si="387"/>
        <v>0.28799669885518275</v>
      </c>
      <c r="AM421" s="50" t="str">
        <f t="shared" si="368"/>
        <v>1-1.36673702763602i</v>
      </c>
      <c r="AN421" s="50">
        <f t="shared" si="388"/>
        <v>1.6935082233964331</v>
      </c>
      <c r="AO421" s="50">
        <f t="shared" si="389"/>
        <v>-0.93913022664775936</v>
      </c>
      <c r="AP421" s="59" t="str">
        <f t="shared" si="390"/>
        <v>-0.257192703095614-0.339667923277316i</v>
      </c>
      <c r="AQ421" s="50">
        <f t="shared" si="391"/>
        <v>-7.4106981183180185</v>
      </c>
      <c r="AR421" s="62">
        <f t="shared" si="392"/>
        <v>-127.13259284459184</v>
      </c>
      <c r="AS421" s="32" t="str">
        <f t="shared" si="369"/>
        <v>-0.0000166666666666667</v>
      </c>
      <c r="AT421" s="32" t="str">
        <f t="shared" si="370"/>
        <v>0.00228906848070959i</v>
      </c>
      <c r="AU421" s="32">
        <f t="shared" si="393"/>
        <v>2.2890684807095902E-3</v>
      </c>
      <c r="AV421" s="32">
        <f t="shared" si="394"/>
        <v>1.5707963267948966</v>
      </c>
      <c r="AW421" s="32" t="str">
        <f t="shared" si="371"/>
        <v>1+2.32629554596681i</v>
      </c>
      <c r="AX421" s="32">
        <f t="shared" si="395"/>
        <v>2.5321238056590003</v>
      </c>
      <c r="AY421" s="32">
        <f t="shared" si="396"/>
        <v>1.1648096806097379</v>
      </c>
      <c r="AZ421" s="32" t="str">
        <f t="shared" si="372"/>
        <v>1+79.0940485628715i</v>
      </c>
      <c r="BA421" s="32">
        <f t="shared" si="397"/>
        <v>79.100369898413717</v>
      </c>
      <c r="BB421" s="32">
        <f t="shared" si="398"/>
        <v>1.5581538241037787</v>
      </c>
      <c r="BC421" s="59" t="str">
        <f t="shared" si="399"/>
        <v>-0.08717639801962+0.210079048540865i</v>
      </c>
      <c r="BD421" s="50">
        <f t="shared" si="400"/>
        <v>-12.86232915282627</v>
      </c>
      <c r="BE421" s="62">
        <f t="shared" si="401"/>
        <v>112.53695931839673</v>
      </c>
      <c r="BF421" s="59" t="str">
        <f t="shared" si="402"/>
        <v>-0.00956703839389973-0.0404440880882324i</v>
      </c>
      <c r="BG421" s="65">
        <f t="shared" si="403"/>
        <v>-27.626441738440363</v>
      </c>
      <c r="BH421" s="62">
        <f t="shared" si="404"/>
        <v>-103.30866849593365</v>
      </c>
      <c r="BI421" s="59" t="str">
        <f t="shared" si="357"/>
        <v>0.0937782475947553-0.0244197722838587i</v>
      </c>
      <c r="BJ421" s="65">
        <f t="shared" si="405"/>
        <v>-20.273027271144286</v>
      </c>
      <c r="BK421" s="62">
        <f t="shared" si="358"/>
        <v>-14.595633526195099</v>
      </c>
      <c r="BL421" s="50">
        <f t="shared" si="406"/>
        <v>-27.626441738440363</v>
      </c>
      <c r="BM421" s="62">
        <f t="shared" si="407"/>
        <v>-103.30866849593365</v>
      </c>
    </row>
    <row r="422" spans="14:65" x14ac:dyDescent="0.3">
      <c r="N422" s="11">
        <v>4</v>
      </c>
      <c r="O422" s="51">
        <f t="shared" si="408"/>
        <v>109647.81961431868</v>
      </c>
      <c r="P422" s="49" t="str">
        <f t="shared" si="360"/>
        <v>27.9103246607183</v>
      </c>
      <c r="Q422" s="18" t="str">
        <f t="shared" si="361"/>
        <v>1+338.42109358394i</v>
      </c>
      <c r="R422" s="18">
        <f t="shared" si="373"/>
        <v>338.42257102999179</v>
      </c>
      <c r="S422" s="18">
        <f t="shared" si="374"/>
        <v>1.5678414368412299</v>
      </c>
      <c r="T422" s="18" t="str">
        <f t="shared" si="362"/>
        <v>1+0.303132530432585i</v>
      </c>
      <c r="U422" s="18">
        <f t="shared" si="375"/>
        <v>1.0449350845896899</v>
      </c>
      <c r="V422" s="18">
        <f t="shared" si="376"/>
        <v>0.29432819209373573</v>
      </c>
      <c r="W422" s="32" t="str">
        <f t="shared" si="363"/>
        <v>1-3.99753898157449i</v>
      </c>
      <c r="X422" s="18">
        <f t="shared" si="377"/>
        <v>4.1207181302787035</v>
      </c>
      <c r="Y422" s="18">
        <f t="shared" si="378"/>
        <v>-1.325672814002204</v>
      </c>
      <c r="Z422" s="32" t="str">
        <f t="shared" si="364"/>
        <v>0.751598257310451+1.82803320909113i</v>
      </c>
      <c r="AA422" s="18">
        <f t="shared" si="379"/>
        <v>1.976513433784886</v>
      </c>
      <c r="AB422" s="18">
        <f t="shared" si="380"/>
        <v>1.1807138639085133</v>
      </c>
      <c r="AC422" s="67" t="str">
        <f t="shared" si="381"/>
        <v>-0.144291456385226+0.1070521463344i</v>
      </c>
      <c r="AD422" s="65">
        <f t="shared" si="382"/>
        <v>-14.910639658585275</v>
      </c>
      <c r="AE422" s="62">
        <f t="shared" si="383"/>
        <v>143.4276874498581</v>
      </c>
      <c r="AF422" s="50" t="str">
        <f t="shared" si="365"/>
        <v>79.1527877025864</v>
      </c>
      <c r="AG422" s="50" t="str">
        <f t="shared" si="366"/>
        <v>1+335.777572171478i</v>
      </c>
      <c r="AH422" s="50">
        <f t="shared" si="384"/>
        <v>335.77906124916746</v>
      </c>
      <c r="AI422" s="50">
        <f t="shared" si="385"/>
        <v>1.5678181736172863</v>
      </c>
      <c r="AJ422" s="50" t="str">
        <f t="shared" si="367"/>
        <v>1+0.303132530432585i</v>
      </c>
      <c r="AK422" s="50">
        <f t="shared" si="386"/>
        <v>1.0449350845896899</v>
      </c>
      <c r="AL422" s="50">
        <f t="shared" si="387"/>
        <v>0.29432819209373573</v>
      </c>
      <c r="AM422" s="50" t="str">
        <f t="shared" si="368"/>
        <v>1-1.39857242267057i</v>
      </c>
      <c r="AN422" s="50">
        <f t="shared" si="388"/>
        <v>1.7193035861809363</v>
      </c>
      <c r="AO422" s="50">
        <f t="shared" si="389"/>
        <v>-0.95006422534658519</v>
      </c>
      <c r="AP422" s="59" t="str">
        <f t="shared" si="390"/>
        <v>-0.257225896510005-0.336434201495891i</v>
      </c>
      <c r="AQ422" s="50">
        <f t="shared" si="391"/>
        <v>-7.4629103065345523</v>
      </c>
      <c r="AR422" s="62">
        <f t="shared" si="392"/>
        <v>-127.40027157221776</v>
      </c>
      <c r="AS422" s="32" t="str">
        <f t="shared" si="369"/>
        <v>-0.0000166666666666667</v>
      </c>
      <c r="AT422" s="32" t="str">
        <f t="shared" si="370"/>
        <v>0.00234238773516088i</v>
      </c>
      <c r="AU422" s="32">
        <f t="shared" si="393"/>
        <v>2.3423877351608801E-3</v>
      </c>
      <c r="AV422" s="32">
        <f t="shared" si="394"/>
        <v>1.5707963267948966</v>
      </c>
      <c r="AW422" s="32" t="str">
        <f t="shared" si="371"/>
        <v>1+2.38048193016177i</v>
      </c>
      <c r="AX422" s="32">
        <f t="shared" si="395"/>
        <v>2.5819942331125967</v>
      </c>
      <c r="AY422" s="32">
        <f t="shared" si="396"/>
        <v>1.1730977797981539</v>
      </c>
      <c r="AZ422" s="32" t="str">
        <f t="shared" si="372"/>
        <v>1+80.9363856255001i</v>
      </c>
      <c r="BA422" s="32">
        <f t="shared" si="397"/>
        <v>80.942563080987625</v>
      </c>
      <c r="BB422" s="32">
        <f t="shared" si="398"/>
        <v>1.558441572974675</v>
      </c>
      <c r="BC422" s="59" t="str">
        <f t="shared" si="399"/>
        <v>-0.0838413489876143+0.2066980629927i</v>
      </c>
      <c r="BD422" s="50">
        <f t="shared" si="400"/>
        <v>-13.031767026476738</v>
      </c>
      <c r="BE422" s="62">
        <f t="shared" si="401"/>
        <v>112.07857301057682</v>
      </c>
      <c r="BF422" s="59" t="str">
        <f t="shared" si="402"/>
        <v>-0.0100298809358067-0.0388001609019175i</v>
      </c>
      <c r="BG422" s="65">
        <f t="shared" si="403"/>
        <v>-27.942406685062</v>
      </c>
      <c r="BH422" s="62">
        <f t="shared" si="404"/>
        <v>-104.49373953956507</v>
      </c>
      <c r="BI422" s="59" t="str">
        <f t="shared" si="357"/>
        <v>0.0911064639316437-0.0249609972611924i</v>
      </c>
      <c r="BJ422" s="65">
        <f t="shared" si="405"/>
        <v>-20.494677333011285</v>
      </c>
      <c r="BK422" s="62">
        <f t="shared" si="358"/>
        <v>-15.321698561640931</v>
      </c>
      <c r="BL422" s="50">
        <f t="shared" si="406"/>
        <v>-27.942406685062</v>
      </c>
      <c r="BM422" s="62">
        <f t="shared" si="407"/>
        <v>-104.49373953956507</v>
      </c>
    </row>
    <row r="423" spans="14:65" x14ac:dyDescent="0.3">
      <c r="N423" s="11">
        <v>5</v>
      </c>
      <c r="O423" s="51">
        <f t="shared" si="408"/>
        <v>112201.84543019651</v>
      </c>
      <c r="P423" s="49" t="str">
        <f t="shared" si="360"/>
        <v>27.9103246607183</v>
      </c>
      <c r="Q423" s="18" t="str">
        <f t="shared" si="361"/>
        <v>1+346.303933504435i</v>
      </c>
      <c r="R423" s="18">
        <f t="shared" si="373"/>
        <v>346.30537731985066</v>
      </c>
      <c r="S423" s="18">
        <f t="shared" si="374"/>
        <v>1.5679086979700889</v>
      </c>
      <c r="T423" s="18" t="str">
        <f t="shared" si="362"/>
        <v>1+0.310193394123997i</v>
      </c>
      <c r="U423" s="18">
        <f t="shared" si="375"/>
        <v>1.0470052252773934</v>
      </c>
      <c r="V423" s="18">
        <f t="shared" si="376"/>
        <v>0.30078209878493983</v>
      </c>
      <c r="W423" s="32" t="str">
        <f t="shared" si="363"/>
        <v>1-4.09065362621431i</v>
      </c>
      <c r="X423" s="18">
        <f t="shared" si="377"/>
        <v>4.21110995934092</v>
      </c>
      <c r="Y423" s="18">
        <f t="shared" si="378"/>
        <v>-1.3310388129618835</v>
      </c>
      <c r="Z423" s="32" t="str">
        <f t="shared" si="364"/>
        <v>0.739891443844179+1.87061357251945i</v>
      </c>
      <c r="AA423" s="18">
        <f t="shared" si="379"/>
        <v>2.0116248373809174</v>
      </c>
      <c r="AB423" s="18">
        <f t="shared" si="380"/>
        <v>1.194145787797174</v>
      </c>
      <c r="AC423" s="67" t="str">
        <f t="shared" si="381"/>
        <v>-0.140548260018621+0.107004846576098i</v>
      </c>
      <c r="AD423" s="65">
        <f t="shared" si="382"/>
        <v>-15.05791810319759</v>
      </c>
      <c r="AE423" s="62">
        <f t="shared" si="383"/>
        <v>142.71657364300384</v>
      </c>
      <c r="AF423" s="50" t="str">
        <f t="shared" si="365"/>
        <v>79.1527877025864</v>
      </c>
      <c r="AG423" s="50" t="str">
        <f t="shared" si="366"/>
        <v>1+343.598836568118i</v>
      </c>
      <c r="AH423" s="50">
        <f t="shared" si="384"/>
        <v>343.60029175040614</v>
      </c>
      <c r="AI423" s="50">
        <f t="shared" si="385"/>
        <v>1.5678859642727674</v>
      </c>
      <c r="AJ423" s="50" t="str">
        <f t="shared" si="367"/>
        <v>1+0.310193394123997i</v>
      </c>
      <c r="AK423" s="50">
        <f t="shared" si="386"/>
        <v>1.0470052252773934</v>
      </c>
      <c r="AL423" s="50">
        <f t="shared" si="387"/>
        <v>0.30078209878493983</v>
      </c>
      <c r="AM423" s="50" t="str">
        <f t="shared" si="368"/>
        <v>1-1.43114935931591i</v>
      </c>
      <c r="AN423" s="50">
        <f t="shared" si="388"/>
        <v>1.745906208440287</v>
      </c>
      <c r="AO423" s="50">
        <f t="shared" si="389"/>
        <v>-0.96091711257923607</v>
      </c>
      <c r="AP423" s="59" t="str">
        <f t="shared" si="390"/>
        <v>-0.257257596000558-0.333378852680595i</v>
      </c>
      <c r="AQ423" s="50">
        <f t="shared" si="391"/>
        <v>-7.5123510095664567</v>
      </c>
      <c r="AR423" s="62">
        <f t="shared" si="392"/>
        <v>-127.6561987098525</v>
      </c>
      <c r="AS423" s="32" t="str">
        <f t="shared" si="369"/>
        <v>-0.0000166666666666667</v>
      </c>
      <c r="AT423" s="32" t="str">
        <f t="shared" si="370"/>
        <v>0.00239694895459452i</v>
      </c>
      <c r="AU423" s="32">
        <f t="shared" si="393"/>
        <v>2.3969489545945201E-3</v>
      </c>
      <c r="AV423" s="32">
        <f t="shared" si="394"/>
        <v>1.5707963267948966</v>
      </c>
      <c r="AW423" s="32" t="str">
        <f t="shared" si="371"/>
        <v>1+2.4359304773855i</v>
      </c>
      <c r="AX423" s="32">
        <f t="shared" si="395"/>
        <v>2.6332028578625595</v>
      </c>
      <c r="AY423" s="32">
        <f t="shared" si="396"/>
        <v>1.1812533700980328</v>
      </c>
      <c r="AZ423" s="32" t="str">
        <f t="shared" si="372"/>
        <v>1+82.821636231107i</v>
      </c>
      <c r="BA423" s="32">
        <f t="shared" si="397"/>
        <v>82.827673080908255</v>
      </c>
      <c r="BB423" s="32">
        <f t="shared" si="398"/>
        <v>1.5587227738586726</v>
      </c>
      <c r="BC423" s="59" t="str">
        <f t="shared" si="399"/>
        <v>-0.0806120856626287+0.203318720249407i</v>
      </c>
      <c r="BD423" s="50">
        <f t="shared" si="400"/>
        <v>-13.202377857458512</v>
      </c>
      <c r="BE423" s="62">
        <f t="shared" si="401"/>
        <v>111.62740373080432</v>
      </c>
      <c r="BF423" s="59" t="str">
        <f t="shared" si="402"/>
        <v>-0.0104262000899819-0.0372019762187758i</v>
      </c>
      <c r="BG423" s="65">
        <f t="shared" si="403"/>
        <v>-28.260295960656094</v>
      </c>
      <c r="BH423" s="62">
        <f t="shared" si="404"/>
        <v>-105.6560226261918</v>
      </c>
      <c r="BI423" s="59" t="str">
        <f t="shared" si="357"/>
        <v>0.0885202330513931-0.0254309205628754i</v>
      </c>
      <c r="BJ423" s="65">
        <f t="shared" si="405"/>
        <v>-20.714728867024967</v>
      </c>
      <c r="BK423" s="62">
        <f t="shared" si="358"/>
        <v>-16.028794979048172</v>
      </c>
      <c r="BL423" s="50">
        <f t="shared" si="406"/>
        <v>-28.260295960656094</v>
      </c>
      <c r="BM423" s="62">
        <f t="shared" si="407"/>
        <v>-105.6560226261918</v>
      </c>
    </row>
    <row r="424" spans="14:65" x14ac:dyDescent="0.3">
      <c r="N424" s="11">
        <v>6</v>
      </c>
      <c r="O424" s="51">
        <f t="shared" si="408"/>
        <v>114815.36214968823</v>
      </c>
      <c r="P424" s="49" t="str">
        <f t="shared" si="360"/>
        <v>27.9103246607183</v>
      </c>
      <c r="Q424" s="18" t="str">
        <f t="shared" si="361"/>
        <v>1+354.370388354348i</v>
      </c>
      <c r="R424" s="18">
        <f t="shared" si="373"/>
        <v>354.3717993046447</v>
      </c>
      <c r="S424" s="18">
        <f t="shared" si="374"/>
        <v>1.5679744280739802</v>
      </c>
      <c r="T424" s="18" t="str">
        <f t="shared" si="362"/>
        <v>1+0.317418726458867i</v>
      </c>
      <c r="U424" s="18">
        <f t="shared" si="375"/>
        <v>1.0491685507613964</v>
      </c>
      <c r="V424" s="18">
        <f t="shared" si="376"/>
        <v>0.30735968949619835</v>
      </c>
      <c r="W424" s="32" t="str">
        <f t="shared" si="363"/>
        <v>1-4.18593718955295i</v>
      </c>
      <c r="X424" s="18">
        <f t="shared" si="377"/>
        <v>4.3037274721899443</v>
      </c>
      <c r="Y424" s="18">
        <f t="shared" si="378"/>
        <v>-1.3362963052795649</v>
      </c>
      <c r="Z424" s="32" t="str">
        <f t="shared" si="364"/>
        <v>0.727632905256941+1.91418576002441i</v>
      </c>
      <c r="AA424" s="18">
        <f t="shared" si="379"/>
        <v>2.0478175623558079</v>
      </c>
      <c r="AB424" s="18">
        <f t="shared" si="380"/>
        <v>1.2075387047311128</v>
      </c>
      <c r="AC424" s="67" t="str">
        <f t="shared" si="381"/>
        <v>-0.136886767174892+0.106866559206972i</v>
      </c>
      <c r="AD424" s="65">
        <f t="shared" si="382"/>
        <v>-15.205910044249308</v>
      </c>
      <c r="AE424" s="62">
        <f t="shared" si="383"/>
        <v>142.021086036274</v>
      </c>
      <c r="AF424" s="50" t="str">
        <f t="shared" si="365"/>
        <v>79.1527877025864</v>
      </c>
      <c r="AG424" s="50" t="str">
        <f t="shared" si="366"/>
        <v>1+351.602281615975i</v>
      </c>
      <c r="AH424" s="50">
        <f t="shared" si="384"/>
        <v>351.60370367440589</v>
      </c>
      <c r="AI424" s="50">
        <f t="shared" si="385"/>
        <v>1.5679522118503844</v>
      </c>
      <c r="AJ424" s="50" t="str">
        <f t="shared" si="367"/>
        <v>1+0.317418726458867i</v>
      </c>
      <c r="AK424" s="50">
        <f t="shared" si="386"/>
        <v>1.0491685507613964</v>
      </c>
      <c r="AL424" s="50">
        <f t="shared" si="387"/>
        <v>0.30735968949619835</v>
      </c>
      <c r="AM424" s="50" t="str">
        <f t="shared" si="368"/>
        <v>1-1.46448511029506i</v>
      </c>
      <c r="AN424" s="50">
        <f t="shared" si="388"/>
        <v>1.7733348917437828</v>
      </c>
      <c r="AO424" s="50">
        <f t="shared" si="389"/>
        <v>-0.97168441636662761</v>
      </c>
      <c r="AP424" s="59" t="str">
        <f t="shared" si="390"/>
        <v>-0.257287868802642-0.330500257439125i</v>
      </c>
      <c r="AQ424" s="50">
        <f t="shared" si="391"/>
        <v>-7.5590240587697979</v>
      </c>
      <c r="AR424" s="62">
        <f t="shared" si="392"/>
        <v>-127.90004729308622</v>
      </c>
      <c r="AS424" s="32" t="str">
        <f t="shared" si="369"/>
        <v>-0.0000166666666666667</v>
      </c>
      <c r="AT424" s="32" t="str">
        <f t="shared" si="370"/>
        <v>0.00245278106809124i</v>
      </c>
      <c r="AU424" s="32">
        <f t="shared" si="393"/>
        <v>2.4527810680912399E-3</v>
      </c>
      <c r="AV424" s="32">
        <f t="shared" si="394"/>
        <v>1.5707963267948966</v>
      </c>
      <c r="AW424" s="32" t="str">
        <f t="shared" si="371"/>
        <v>1+2.49267058719169i</v>
      </c>
      <c r="AX424" s="32">
        <f t="shared" si="395"/>
        <v>2.6857785940487657</v>
      </c>
      <c r="AY424" s="32">
        <f t="shared" si="396"/>
        <v>1.1892764349973626</v>
      </c>
      <c r="AZ424" s="32" t="str">
        <f t="shared" si="372"/>
        <v>1+84.7507999645174i</v>
      </c>
      <c r="BA424" s="32">
        <f t="shared" si="397"/>
        <v>84.756699408516639</v>
      </c>
      <c r="BB424" s="32">
        <f t="shared" si="398"/>
        <v>1.5589975756742152</v>
      </c>
      <c r="BC424" s="59" t="str">
        <f t="shared" si="399"/>
        <v>-0.077486916142994+0.199944364634114i</v>
      </c>
      <c r="BD424" s="50">
        <f t="shared" si="400"/>
        <v>-13.37412415642085</v>
      </c>
      <c r="BE424" s="62">
        <f t="shared" si="401"/>
        <v>111.18346095754615</v>
      </c>
      <c r="BF424" s="59" t="str">
        <f t="shared" si="402"/>
        <v>-0.0107604328321055-0.0356504978013626i</v>
      </c>
      <c r="BG424" s="65">
        <f t="shared" si="403"/>
        <v>-28.580034200670163</v>
      </c>
      <c r="BH424" s="62">
        <f t="shared" si="404"/>
        <v>-106.79545300617977</v>
      </c>
      <c r="BI424" s="59" t="str">
        <f t="shared" si="357"/>
        <v>0.0860181074995969-0.0258338137223861i</v>
      </c>
      <c r="BJ424" s="65">
        <f t="shared" si="405"/>
        <v>-20.933148215190652</v>
      </c>
      <c r="BK424" s="62">
        <f t="shared" si="358"/>
        <v>-16.716586335540047</v>
      </c>
      <c r="BL424" s="50">
        <f t="shared" si="406"/>
        <v>-28.580034200670163</v>
      </c>
      <c r="BM424" s="62">
        <f t="shared" si="407"/>
        <v>-106.79545300617977</v>
      </c>
    </row>
    <row r="425" spans="14:65" x14ac:dyDescent="0.3">
      <c r="N425" s="11">
        <v>7</v>
      </c>
      <c r="O425" s="51">
        <f t="shared" si="408"/>
        <v>117489.75549395311</v>
      </c>
      <c r="P425" s="49" t="str">
        <f t="shared" si="360"/>
        <v>27.9103246607183</v>
      </c>
      <c r="Q425" s="18" t="str">
        <f t="shared" si="361"/>
        <v>1+362.624735074814i</v>
      </c>
      <c r="R425" s="18">
        <f t="shared" si="373"/>
        <v>362.62611390808439</v>
      </c>
      <c r="S425" s="18">
        <f t="shared" si="374"/>
        <v>1.5680386620016018</v>
      </c>
      <c r="T425" s="18" t="str">
        <f t="shared" si="362"/>
        <v>1+0.324812358404041i</v>
      </c>
      <c r="U425" s="18">
        <f t="shared" si="375"/>
        <v>1.0514290599807461</v>
      </c>
      <c r="V425" s="18">
        <f t="shared" si="376"/>
        <v>0.31406217431819183</v>
      </c>
      <c r="W425" s="32" t="str">
        <f t="shared" si="363"/>
        <v>1-4.28344019219694i</v>
      </c>
      <c r="X425" s="18">
        <f t="shared" si="377"/>
        <v>4.3986202245849952</v>
      </c>
      <c r="Y425" s="18">
        <f t="shared" si="378"/>
        <v>-1.341446915451916</v>
      </c>
      <c r="Z425" s="32" t="str">
        <f t="shared" si="364"/>
        <v>0.714796639544858+1.95877287415659i</v>
      </c>
      <c r="AA425" s="18">
        <f t="shared" si="379"/>
        <v>2.0851199985699358</v>
      </c>
      <c r="AB425" s="18">
        <f t="shared" si="380"/>
        <v>1.2208915085726839</v>
      </c>
      <c r="AC425" s="67" t="str">
        <f t="shared" si="381"/>
        <v>-0.133307863791685+0.106642206283806i</v>
      </c>
      <c r="AD425" s="65">
        <f t="shared" si="382"/>
        <v>-15.354575966032282</v>
      </c>
      <c r="AE425" s="62">
        <f t="shared" si="383"/>
        <v>141.34126226628962</v>
      </c>
      <c r="AF425" s="50" t="str">
        <f t="shared" si="365"/>
        <v>79.1527877025864</v>
      </c>
      <c r="AG425" s="50" t="str">
        <f t="shared" si="366"/>
        <v>1+359.792150847552i</v>
      </c>
      <c r="AH425" s="50">
        <f t="shared" si="384"/>
        <v>359.79354053610757</v>
      </c>
      <c r="AI425" s="50">
        <f t="shared" si="385"/>
        <v>1.5680169514731523</v>
      </c>
      <c r="AJ425" s="50" t="str">
        <f t="shared" si="367"/>
        <v>1+0.324812358404041i</v>
      </c>
      <c r="AK425" s="50">
        <f t="shared" si="386"/>
        <v>1.0514290599807461</v>
      </c>
      <c r="AL425" s="50">
        <f t="shared" si="387"/>
        <v>0.31406217431819183</v>
      </c>
      <c r="AM425" s="50" t="str">
        <f t="shared" si="368"/>
        <v>1-1.49859735066445i</v>
      </c>
      <c r="AN425" s="50">
        <f t="shared" si="388"/>
        <v>1.8016087309453486</v>
      </c>
      <c r="AO425" s="50">
        <f t="shared" si="389"/>
        <v>-0.98236185928459074</v>
      </c>
      <c r="AP425" s="59" t="str">
        <f t="shared" si="390"/>
        <v>-0.257316779125738-0.327796890056609i</v>
      </c>
      <c r="AQ425" s="50">
        <f t="shared" si="391"/>
        <v>-7.6029338622283218</v>
      </c>
      <c r="AR425" s="62">
        <f t="shared" si="392"/>
        <v>-128.13150492287835</v>
      </c>
      <c r="AS425" s="32" t="str">
        <f t="shared" si="369"/>
        <v>-0.0000166666666666667</v>
      </c>
      <c r="AT425" s="32" t="str">
        <f t="shared" si="370"/>
        <v>0.00250991367857668i</v>
      </c>
      <c r="AU425" s="32">
        <f t="shared" si="393"/>
        <v>2.50991367857668E-3</v>
      </c>
      <c r="AV425" s="32">
        <f t="shared" si="394"/>
        <v>1.5707963267948966</v>
      </c>
      <c r="AW425" s="32" t="str">
        <f t="shared" si="371"/>
        <v>1+2.55073234393761i</v>
      </c>
      <c r="AX425" s="32">
        <f t="shared" si="395"/>
        <v>2.7397509905846285</v>
      </c>
      <c r="AY425" s="32">
        <f t="shared" si="396"/>
        <v>1.1971670958583354</v>
      </c>
      <c r="AZ425" s="32" t="str">
        <f t="shared" si="372"/>
        <v>1+86.7248996938787i</v>
      </c>
      <c r="BA425" s="32">
        <f t="shared" si="397"/>
        <v>86.730664859168002</v>
      </c>
      <c r="BB425" s="32">
        <f t="shared" si="398"/>
        <v>1.5592661239587517</v>
      </c>
      <c r="BC425" s="59" t="str">
        <f t="shared" si="399"/>
        <v>-0.074464042247589+0.196578175630744i</v>
      </c>
      <c r="BD425" s="50">
        <f t="shared" si="400"/>
        <v>-13.546969055946247</v>
      </c>
      <c r="BE425" s="62">
        <f t="shared" si="401"/>
        <v>110.74674607594291</v>
      </c>
      <c r="BF425" s="59" t="str">
        <f t="shared" si="402"/>
        <v>-0.0110368879551882-0.0341464264154946i</v>
      </c>
      <c r="BG425" s="65">
        <f t="shared" si="403"/>
        <v>-28.901545021978524</v>
      </c>
      <c r="BH425" s="62">
        <f t="shared" si="404"/>
        <v>-107.91199165776749</v>
      </c>
      <c r="BI425" s="59" t="str">
        <f t="shared" si="357"/>
        <v>0.0835985621365923-0.0261737815299131i</v>
      </c>
      <c r="BJ425" s="65">
        <f t="shared" si="405"/>
        <v>-21.149902918174565</v>
      </c>
      <c r="BK425" s="62">
        <f t="shared" si="358"/>
        <v>-17.384758846935462</v>
      </c>
      <c r="BL425" s="50">
        <f t="shared" si="406"/>
        <v>-28.901545021978524</v>
      </c>
      <c r="BM425" s="62">
        <f t="shared" si="407"/>
        <v>-107.91199165776749</v>
      </c>
    </row>
    <row r="426" spans="14:65" x14ac:dyDescent="0.3">
      <c r="N426" s="11">
        <v>8</v>
      </c>
      <c r="O426" s="51">
        <f t="shared" si="408"/>
        <v>120226.44346174144</v>
      </c>
      <c r="P426" s="49" t="str">
        <f t="shared" si="360"/>
        <v>27.9103246607183</v>
      </c>
      <c r="Q426" s="18" t="str">
        <f t="shared" si="361"/>
        <v>1+371.071350229722i</v>
      </c>
      <c r="R426" s="18">
        <f t="shared" si="373"/>
        <v>371.07269767703065</v>
      </c>
      <c r="S426" s="18">
        <f t="shared" si="374"/>
        <v>1.5681014338085109</v>
      </c>
      <c r="T426" s="18" t="str">
        <f t="shared" si="362"/>
        <v>1+0.33237821016104i</v>
      </c>
      <c r="U426" s="18">
        <f t="shared" si="375"/>
        <v>1.0537909064847051</v>
      </c>
      <c r="V426" s="18">
        <f t="shared" si="376"/>
        <v>0.32089069737261994</v>
      </c>
      <c r="W426" s="32" t="str">
        <f t="shared" si="363"/>
        <v>1-4.38321433152885i</v>
      </c>
      <c r="X426" s="18">
        <f t="shared" si="377"/>
        <v>4.4958389513104118</v>
      </c>
      <c r="Y426" s="18">
        <f t="shared" si="378"/>
        <v>-1.3464922808022923</v>
      </c>
      <c r="Z426" s="32" t="str">
        <f t="shared" si="364"/>
        <v>0.70135541926737+2.00439855559407i</v>
      </c>
      <c r="AA426" s="18">
        <f t="shared" si="379"/>
        <v>2.1235613939331497</v>
      </c>
      <c r="AB426" s="18">
        <f t="shared" si="380"/>
        <v>1.2342033232235703</v>
      </c>
      <c r="AC426" s="67" t="str">
        <f t="shared" si="381"/>
        <v>-0.129812214308869+0.106336651610521i</v>
      </c>
      <c r="AD426" s="65">
        <f t="shared" si="382"/>
        <v>-15.503874845503361</v>
      </c>
      <c r="AE426" s="62">
        <f t="shared" si="383"/>
        <v>140.67712232017348</v>
      </c>
      <c r="AF426" s="50" t="str">
        <f t="shared" si="365"/>
        <v>79.1527877025864</v>
      </c>
      <c r="AG426" s="50" t="str">
        <f t="shared" si="366"/>
        <v>1+368.17278663992i</v>
      </c>
      <c r="AH426" s="50">
        <f t="shared" si="384"/>
        <v>368.17414469541995</v>
      </c>
      <c r="AI426" s="50">
        <f t="shared" si="385"/>
        <v>1.5680802174647046</v>
      </c>
      <c r="AJ426" s="50" t="str">
        <f t="shared" si="367"/>
        <v>1+0.33237821016104i</v>
      </c>
      <c r="AK426" s="50">
        <f t="shared" si="386"/>
        <v>1.0537909064847051</v>
      </c>
      <c r="AL426" s="50">
        <f t="shared" si="387"/>
        <v>0.32089069737261994</v>
      </c>
      <c r="AM426" s="50" t="str">
        <f t="shared" si="368"/>
        <v>1-1.53350416718543i</v>
      </c>
      <c r="AN426" s="50">
        <f t="shared" si="388"/>
        <v>1.8307471236560986</v>
      </c>
      <c r="AO426" s="50">
        <f t="shared" si="389"/>
        <v>-0.99294536411963008</v>
      </c>
      <c r="AP426" s="59" t="str">
        <f t="shared" si="390"/>
        <v>-0.257344388289601-0.325267317689289i</v>
      </c>
      <c r="AQ426" s="50">
        <f t="shared" si="391"/>
        <v>-7.6440852906061565</v>
      </c>
      <c r="AR426" s="62">
        <f t="shared" si="392"/>
        <v>-128.35027440535862</v>
      </c>
      <c r="AS426" s="32" t="str">
        <f t="shared" si="369"/>
        <v>-0.0000166666666666667</v>
      </c>
      <c r="AT426" s="32" t="str">
        <f t="shared" si="370"/>
        <v>0.00256837707851712i</v>
      </c>
      <c r="AU426" s="32">
        <f t="shared" si="393"/>
        <v>2.56837707851712E-3</v>
      </c>
      <c r="AV426" s="32">
        <f t="shared" si="394"/>
        <v>1.5707963267948966</v>
      </c>
      <c r="AW426" s="32" t="str">
        <f t="shared" si="371"/>
        <v>1+2.61014653273522i</v>
      </c>
      <c r="AX426" s="32">
        <f t="shared" si="395"/>
        <v>2.7951502504068881</v>
      </c>
      <c r="AY426" s="32">
        <f t="shared" si="396"/>
        <v>1.204925605040079</v>
      </c>
      <c r="AZ426" s="32" t="str">
        <f t="shared" si="372"/>
        <v>1+88.7449821129974i</v>
      </c>
      <c r="BA426" s="32">
        <f t="shared" si="397"/>
        <v>88.750616055530728</v>
      </c>
      <c r="BB426" s="32">
        <f t="shared" si="398"/>
        <v>1.5595285609451106</v>
      </c>
      <c r="BC426" s="59" t="str">
        <f t="shared" si="399"/>
        <v>-0.071541571783645+0.193223167677497i</v>
      </c>
      <c r="BD426" s="50">
        <f t="shared" si="400"/>
        <v>-13.720876346497889</v>
      </c>
      <c r="BE426" s="62">
        <f t="shared" si="401"/>
        <v>110.31725277622188</v>
      </c>
      <c r="BF426" s="59" t="str">
        <f t="shared" si="402"/>
        <v>-0.0112597348160314-0.0326902184464163i</v>
      </c>
      <c r="BG426" s="65">
        <f t="shared" si="403"/>
        <v>-29.224751192001253</v>
      </c>
      <c r="BH426" s="62">
        <f t="shared" si="404"/>
        <v>-109.0056249036046</v>
      </c>
      <c r="BI426" s="59" t="str">
        <f t="shared" si="357"/>
        <v>0.0812600034938259-0.0264547627320025i</v>
      </c>
      <c r="BJ426" s="65">
        <f t="shared" si="405"/>
        <v>-21.364961637104045</v>
      </c>
      <c r="BK426" s="62">
        <f t="shared" si="358"/>
        <v>-18.033021629136712</v>
      </c>
      <c r="BL426" s="50">
        <f t="shared" si="406"/>
        <v>-29.224751192001253</v>
      </c>
      <c r="BM426" s="62">
        <f t="shared" si="407"/>
        <v>-109.0056249036046</v>
      </c>
    </row>
    <row r="427" spans="14:65" x14ac:dyDescent="0.3">
      <c r="N427" s="11">
        <v>9</v>
      </c>
      <c r="O427" s="51">
        <f t="shared" si="408"/>
        <v>123026.87708123829</v>
      </c>
      <c r="P427" s="49" t="str">
        <f t="shared" si="360"/>
        <v>27.9103246607183</v>
      </c>
      <c r="Q427" s="18" t="str">
        <f t="shared" si="361"/>
        <v>1+379.714712326232i</v>
      </c>
      <c r="R427" s="18">
        <f t="shared" si="373"/>
        <v>379.71602910200295</v>
      </c>
      <c r="S427" s="18">
        <f t="shared" si="374"/>
        <v>1.5681627767751705</v>
      </c>
      <c r="T427" s="18" t="str">
        <f t="shared" si="362"/>
        <v>1+0.340120293244611i</v>
      </c>
      <c r="U427" s="18">
        <f t="shared" si="375"/>
        <v>1.0562584029851787</v>
      </c>
      <c r="V427" s="18">
        <f t="shared" si="376"/>
        <v>0.3278463311209654</v>
      </c>
      <c r="W427" s="32" t="str">
        <f t="shared" si="363"/>
        <v>1-4.48531250911804i</v>
      </c>
      <c r="X427" s="18">
        <f t="shared" si="377"/>
        <v>4.5954355946363528</v>
      </c>
      <c r="Y427" s="18">
        <f t="shared" si="378"/>
        <v>-1.351434048523865</v>
      </c>
      <c r="Z427" s="32" t="str">
        <f t="shared" si="364"/>
        <v>0.687280733794171+2.05108699567708i</v>
      </c>
      <c r="AA427" s="18">
        <f t="shared" si="379"/>
        <v>2.16317190044626</v>
      </c>
      <c r="AB427" s="18">
        <f t="shared" si="380"/>
        <v>1.2474734997213333</v>
      </c>
      <c r="AC427" s="67" t="str">
        <f t="shared" si="381"/>
        <v>-0.126400269297195+0.105954688318854i</v>
      </c>
      <c r="AD427" s="65">
        <f t="shared" si="382"/>
        <v>-15.653764285148203</v>
      </c>
      <c r="AE427" s="62">
        <f t="shared" si="383"/>
        <v>140.02866854420444</v>
      </c>
      <c r="AF427" s="50" t="str">
        <f t="shared" si="365"/>
        <v>79.1527877025864</v>
      </c>
      <c r="AG427" s="50" t="str">
        <f t="shared" si="366"/>
        <v>1+376.748632517107i</v>
      </c>
      <c r="AH427" s="50">
        <f t="shared" si="384"/>
        <v>376.74995965959988</v>
      </c>
      <c r="AI427" s="50">
        <f t="shared" si="385"/>
        <v>1.56814204336748</v>
      </c>
      <c r="AJ427" s="50" t="str">
        <f t="shared" si="367"/>
        <v>1+0.340120293244611i</v>
      </c>
      <c r="AK427" s="50">
        <f t="shared" si="386"/>
        <v>1.0562584029851787</v>
      </c>
      <c r="AL427" s="50">
        <f t="shared" si="387"/>
        <v>0.3278463311209654</v>
      </c>
      <c r="AM427" s="50" t="str">
        <f t="shared" si="368"/>
        <v>1-1.56922406791418i</v>
      </c>
      <c r="AN427" s="50">
        <f t="shared" si="388"/>
        <v>1.8607697803116665</v>
      </c>
      <c r="AO427" s="50">
        <f t="shared" si="389"/>
        <v>-1.0034310585349393</v>
      </c>
      <c r="AP427" s="59" t="str">
        <f t="shared" si="390"/>
        <v>-0.25737075485432-0.322910199607305i</v>
      </c>
      <c r="AQ427" s="50">
        <f t="shared" si="391"/>
        <v>-7.6824835640466418</v>
      </c>
      <c r="AR427" s="62">
        <f t="shared" si="392"/>
        <v>-128.55607434629448</v>
      </c>
      <c r="AS427" s="32" t="str">
        <f t="shared" si="369"/>
        <v>-0.0000166666666666667</v>
      </c>
      <c r="AT427" s="32" t="str">
        <f t="shared" si="370"/>
        <v>0.00262820226598109i</v>
      </c>
      <c r="AU427" s="32">
        <f t="shared" si="393"/>
        <v>2.6282022659810901E-3</v>
      </c>
      <c r="AV427" s="32">
        <f t="shared" si="394"/>
        <v>1.5707963267948966</v>
      </c>
      <c r="AW427" s="32" t="str">
        <f t="shared" si="371"/>
        <v>1+2.67094465577386i</v>
      </c>
      <c r="AX427" s="32">
        <f t="shared" si="395"/>
        <v>2.8520072500270657</v>
      </c>
      <c r="AY427" s="32">
        <f t="shared" si="396"/>
        <v>1.2125523390311193</v>
      </c>
      <c r="AZ427" s="32" t="str">
        <f t="shared" si="372"/>
        <v>1+90.8121182963111i</v>
      </c>
      <c r="BA427" s="32">
        <f t="shared" si="397"/>
        <v>90.817624002520574</v>
      </c>
      <c r="BB427" s="32">
        <f t="shared" si="398"/>
        <v>1.5597850256361738</v>
      </c>
      <c r="BC427" s="59" t="str">
        <f t="shared" si="399"/>
        <v>-0.0687175303420388+0.189882190745804i</v>
      </c>
      <c r="BD427" s="50">
        <f t="shared" si="400"/>
        <v>-13.895810508056909</v>
      </c>
      <c r="BE427" s="62">
        <f t="shared" si="401"/>
        <v>109.89496745145843</v>
      </c>
      <c r="BF427" s="59" t="str">
        <f t="shared" si="402"/>
        <v>-0.011432993997101-0.0312821045544431i</v>
      </c>
      <c r="BG427" s="65">
        <f t="shared" si="403"/>
        <v>-29.549574793205107</v>
      </c>
      <c r="BH427" s="62">
        <f t="shared" si="404"/>
        <v>-110.07636400433714</v>
      </c>
      <c r="BI427" s="59" t="str">
        <f t="shared" si="357"/>
        <v>0.0790007787714551-0.0266805313263708i</v>
      </c>
      <c r="BJ427" s="65">
        <f t="shared" si="405"/>
        <v>-21.578294072103546</v>
      </c>
      <c r="BK427" s="62">
        <f t="shared" si="358"/>
        <v>-18.661106894836077</v>
      </c>
      <c r="BL427" s="50">
        <f t="shared" si="406"/>
        <v>-29.549574793205107</v>
      </c>
      <c r="BM427" s="62">
        <f t="shared" si="407"/>
        <v>-110.07636400433714</v>
      </c>
    </row>
    <row r="428" spans="14:65" x14ac:dyDescent="0.3">
      <c r="N428" s="11">
        <v>10</v>
      </c>
      <c r="O428" s="51">
        <f t="shared" si="408"/>
        <v>125892.54117941685</v>
      </c>
      <c r="P428" s="49" t="str">
        <f t="shared" si="360"/>
        <v>27.9103246607183</v>
      </c>
      <c r="Q428" s="18" t="str">
        <f t="shared" si="361"/>
        <v>1+388.559404189336i</v>
      </c>
      <c r="R428" s="18">
        <f t="shared" si="373"/>
        <v>388.56069099173141</v>
      </c>
      <c r="S428" s="18">
        <f t="shared" si="374"/>
        <v>1.568222723424586</v>
      </c>
      <c r="T428" s="18" t="str">
        <f t="shared" si="362"/>
        <v>1+0.348042712609686i</v>
      </c>
      <c r="U428" s="18">
        <f t="shared" si="375"/>
        <v>1.0588360259269178</v>
      </c>
      <c r="V428" s="18">
        <f t="shared" si="376"/>
        <v>0.33493007048206536</v>
      </c>
      <c r="W428" s="32" t="str">
        <f t="shared" si="363"/>
        <v>1-4.5897888587697i</v>
      </c>
      <c r="X428" s="18">
        <f t="shared" si="377"/>
        <v>4.6974633333413545</v>
      </c>
      <c r="Y428" s="18">
        <f t="shared" si="378"/>
        <v>-1.3562738729046397</v>
      </c>
      <c r="Z428" s="32" t="str">
        <f t="shared" si="364"/>
        <v>0.672542728830348+2.09886294923454i</v>
      </c>
      <c r="AA428" s="18">
        <f t="shared" si="379"/>
        <v>2.2039826228380481</v>
      </c>
      <c r="AB428" s="18">
        <f t="shared" si="380"/>
        <v>1.2607016125849566</v>
      </c>
      <c r="AC428" s="67" t="str">
        <f t="shared" si="381"/>
        <v>-0.123072273807813+0.105501027406219i</v>
      </c>
      <c r="AD428" s="65">
        <f t="shared" si="382"/>
        <v>-15.804200645262835</v>
      </c>
      <c r="AE428" s="62">
        <f t="shared" si="383"/>
        <v>139.39588567414739</v>
      </c>
      <c r="AF428" s="50" t="str">
        <f t="shared" si="365"/>
        <v>79.1527877025864</v>
      </c>
      <c r="AG428" s="50" t="str">
        <f t="shared" si="366"/>
        <v>1+385.524235506113i</v>
      </c>
      <c r="AH428" s="50">
        <f t="shared" si="384"/>
        <v>385.52553243925735</v>
      </c>
      <c r="AI428" s="50">
        <f t="shared" si="385"/>
        <v>1.5682024619604988</v>
      </c>
      <c r="AJ428" s="50" t="str">
        <f t="shared" si="367"/>
        <v>1+0.348042712609686i</v>
      </c>
      <c r="AK428" s="50">
        <f t="shared" si="386"/>
        <v>1.0588360259269178</v>
      </c>
      <c r="AL428" s="50">
        <f t="shared" si="387"/>
        <v>0.33493007048206536</v>
      </c>
      <c r="AM428" s="50" t="str">
        <f t="shared" si="368"/>
        <v>1-1.60577599201488i</v>
      </c>
      <c r="AN428" s="50">
        <f t="shared" si="388"/>
        <v>1.8916967348207194</v>
      </c>
      <c r="AO428" s="50">
        <f t="shared" si="389"/>
        <v>-1.0138152787587418</v>
      </c>
      <c r="AP428" s="59" t="str">
        <f t="shared" si="390"/>
        <v>-0.25739593474449-0.320724286486106i</v>
      </c>
      <c r="AQ428" s="50">
        <f t="shared" si="391"/>
        <v>-7.7181341410421123</v>
      </c>
      <c r="AR428" s="62">
        <f t="shared" si="392"/>
        <v>-128.74863970047505</v>
      </c>
      <c r="AS428" s="32" t="str">
        <f t="shared" si="369"/>
        <v>-0.0000166666666666667</v>
      </c>
      <c r="AT428" s="32" t="str">
        <f t="shared" si="370"/>
        <v>0.00268942096107484i</v>
      </c>
      <c r="AU428" s="32">
        <f t="shared" si="393"/>
        <v>2.68942096107484E-3</v>
      </c>
      <c r="AV428" s="32">
        <f t="shared" si="394"/>
        <v>1.5707963267948966</v>
      </c>
      <c r="AW428" s="32" t="str">
        <f t="shared" si="371"/>
        <v>1+2.73315894902312i</v>
      </c>
      <c r="AX428" s="32">
        <f t="shared" si="395"/>
        <v>2.9103535593850389</v>
      </c>
      <c r="AY428" s="32">
        <f t="shared" si="396"/>
        <v>1.2200477916224197</v>
      </c>
      <c r="AZ428" s="32" t="str">
        <f t="shared" si="372"/>
        <v>1+92.9274042667861i</v>
      </c>
      <c r="BA428" s="32">
        <f t="shared" si="397"/>
        <v>92.932784655161896</v>
      </c>
      <c r="BB428" s="32">
        <f t="shared" si="398"/>
        <v>1.5600356538778881</v>
      </c>
      <c r="BC428" s="59" t="str">
        <f t="shared" si="399"/>
        <v>-0.0659898725850601+0.186557931633784i</v>
      </c>
      <c r="BD428" s="50">
        <f t="shared" si="400"/>
        <v>-14.071736737621476</v>
      </c>
      <c r="BE428" s="62">
        <f t="shared" si="401"/>
        <v>109.47986959291345</v>
      </c>
      <c r="BF428" s="59" t="str">
        <f t="shared" si="402"/>
        <v>-0.0115605297908122-0.0299221081991817i</v>
      </c>
      <c r="BG428" s="65">
        <f t="shared" si="403"/>
        <v>-29.875937382884295</v>
      </c>
      <c r="BH428" s="62">
        <f t="shared" si="404"/>
        <v>-111.12424473293916</v>
      </c>
      <c r="BI428" s="59" t="str">
        <f t="shared" si="357"/>
        <v>0.0768191844492705-0.026854698396724i</v>
      </c>
      <c r="BJ428" s="65">
        <f t="shared" si="405"/>
        <v>-21.789870878663589</v>
      </c>
      <c r="BK428" s="62">
        <f t="shared" si="358"/>
        <v>-19.268770107561561</v>
      </c>
      <c r="BL428" s="50">
        <f t="shared" si="406"/>
        <v>-29.875937382884295</v>
      </c>
      <c r="BM428" s="62">
        <f t="shared" si="407"/>
        <v>-111.12424473293916</v>
      </c>
    </row>
    <row r="429" spans="14:65" x14ac:dyDescent="0.3">
      <c r="N429" s="11">
        <v>11</v>
      </c>
      <c r="O429" s="51">
        <f t="shared" si="408"/>
        <v>128824.95516931375</v>
      </c>
      <c r="P429" s="49" t="str">
        <f t="shared" si="360"/>
        <v>27.9103246607183</v>
      </c>
      <c r="Q429" s="18" t="str">
        <f t="shared" si="361"/>
        <v>1+397.610115391733i</v>
      </c>
      <c r="R429" s="18">
        <f t="shared" si="373"/>
        <v>397.61137290302355</v>
      </c>
      <c r="S429" s="18">
        <f t="shared" si="374"/>
        <v>1.5682813055395397</v>
      </c>
      <c r="T429" s="18" t="str">
        <f t="shared" si="362"/>
        <v>1+0.356149668827877i</v>
      </c>
      <c r="U429" s="18">
        <f t="shared" si="375"/>
        <v>1.0615284200652408</v>
      </c>
      <c r="V429" s="18">
        <f t="shared" si="376"/>
        <v>0.34214282676828622</v>
      </c>
      <c r="W429" s="32" t="str">
        <f t="shared" si="363"/>
        <v>1-4.69669877522732i</v>
      </c>
      <c r="X429" s="18">
        <f t="shared" si="377"/>
        <v>4.8019766123151628</v>
      </c>
      <c r="Y429" s="18">
        <f t="shared" si="378"/>
        <v>-1.3610134127283333</v>
      </c>
      <c r="Z429" s="32" t="str">
        <f t="shared" si="364"/>
        <v>0.657110143091412+2.14775174770943i</v>
      </c>
      <c r="AA429" s="18">
        <f t="shared" si="379"/>
        <v>2.2460256699206549</v>
      </c>
      <c r="AB429" s="18">
        <f t="shared" si="380"/>
        <v>1.2738874554582811</v>
      </c>
      <c r="AC429" s="67" t="str">
        <f t="shared" si="381"/>
        <v>-0.119828276331906+0.104980287256449i</v>
      </c>
      <c r="AD429" s="65">
        <f t="shared" si="382"/>
        <v>-15.955139175441877</v>
      </c>
      <c r="AE429" s="62">
        <f t="shared" si="383"/>
        <v>138.77874088536666</v>
      </c>
      <c r="AF429" s="50" t="str">
        <f t="shared" si="365"/>
        <v>79.1527877025864</v>
      </c>
      <c r="AG429" s="50" t="str">
        <f t="shared" si="366"/>
        <v>1+394.504248547801i</v>
      </c>
      <c r="AH429" s="50">
        <f t="shared" si="384"/>
        <v>394.50551595923872</v>
      </c>
      <c r="AI429" s="50">
        <f t="shared" si="385"/>
        <v>1.5682615052767335</v>
      </c>
      <c r="AJ429" s="50" t="str">
        <f t="shared" si="367"/>
        <v>1+0.356149668827877i</v>
      </c>
      <c r="AK429" s="50">
        <f t="shared" si="386"/>
        <v>1.0615284200652408</v>
      </c>
      <c r="AL429" s="50">
        <f t="shared" si="387"/>
        <v>0.34214282676828622</v>
      </c>
      <c r="AM429" s="50" t="str">
        <f t="shared" si="368"/>
        <v>1-1.64317931980151i</v>
      </c>
      <c r="AN429" s="50">
        <f t="shared" si="388"/>
        <v>1.923548355779847</v>
      </c>
      <c r="AO429" s="50">
        <f t="shared" si="389"/>
        <v>-1.0240945723146249</v>
      </c>
      <c r="AP429" s="59" t="str">
        <f t="shared" si="390"/>
        <v>-0.257419981367828-0.318708419746198i</v>
      </c>
      <c r="AQ429" s="50">
        <f t="shared" si="391"/>
        <v>-7.7510426101688772</v>
      </c>
      <c r="AR429" s="62">
        <f t="shared" si="392"/>
        <v>-128.92772227657491</v>
      </c>
      <c r="AS429" s="32" t="str">
        <f t="shared" si="369"/>
        <v>-0.0000166666666666667</v>
      </c>
      <c r="AT429" s="32" t="str">
        <f t="shared" si="370"/>
        <v>0.00275206562276086i</v>
      </c>
      <c r="AU429" s="32">
        <f t="shared" si="393"/>
        <v>2.75206562276086E-3</v>
      </c>
      <c r="AV429" s="32">
        <f t="shared" si="394"/>
        <v>1.5707963267948966</v>
      </c>
      <c r="AW429" s="32" t="str">
        <f t="shared" si="371"/>
        <v>1+2.79682239932479i</v>
      </c>
      <c r="AX429" s="32">
        <f t="shared" si="395"/>
        <v>2.9702214620066418</v>
      </c>
      <c r="AY429" s="32">
        <f t="shared" si="396"/>
        <v>1.2274125671489498</v>
      </c>
      <c r="AZ429" s="32" t="str">
        <f t="shared" si="372"/>
        <v>1+95.091961577043i</v>
      </c>
      <c r="BA429" s="32">
        <f t="shared" si="397"/>
        <v>95.097219499677379</v>
      </c>
      <c r="BB429" s="32">
        <f t="shared" si="398"/>
        <v>1.5602805784306475</v>
      </c>
      <c r="BC429" s="59" t="str">
        <f t="shared" si="399"/>
        <v>-0.063356492999329+0.183252915903985i</v>
      </c>
      <c r="BD429" s="50">
        <f t="shared" si="400"/>
        <v>-14.248620972758527</v>
      </c>
      <c r="BE429" s="62">
        <f t="shared" si="401"/>
        <v>109.07193218135444</v>
      </c>
      <c r="BF429" s="59" t="str">
        <f t="shared" si="402"/>
        <v>-0.0116460444016382-0.028610063880201i</v>
      </c>
      <c r="BG429" s="65">
        <f t="shared" si="403"/>
        <v>-30.203760148200402</v>
      </c>
      <c r="BH429" s="62">
        <f t="shared" si="404"/>
        <v>-112.14932693327896</v>
      </c>
      <c r="BI429" s="59" t="str">
        <f t="shared" si="357"/>
        <v>0.0747134744890602-0.0269807144331268i</v>
      </c>
      <c r="BJ429" s="65">
        <f t="shared" si="405"/>
        <v>-21.999663582927397</v>
      </c>
      <c r="BK429" s="62">
        <f t="shared" si="358"/>
        <v>-19.855790095220485</v>
      </c>
      <c r="BL429" s="50">
        <f t="shared" si="406"/>
        <v>-30.203760148200402</v>
      </c>
      <c r="BM429" s="62">
        <f t="shared" si="407"/>
        <v>-112.14932693327896</v>
      </c>
    </row>
    <row r="430" spans="14:65" x14ac:dyDescent="0.3">
      <c r="N430" s="11">
        <v>12</v>
      </c>
      <c r="O430" s="51">
        <f t="shared" si="408"/>
        <v>131825.67385564081</v>
      </c>
      <c r="P430" s="49" t="str">
        <f t="shared" si="360"/>
        <v>27.9103246607183</v>
      </c>
      <c r="Q430" s="18" t="str">
        <f t="shared" si="361"/>
        <v>1+406.871644740301i</v>
      </c>
      <c r="R430" s="18">
        <f t="shared" si="373"/>
        <v>406.87287362722736</v>
      </c>
      <c r="S430" s="18">
        <f t="shared" si="374"/>
        <v>1.5683385541794352</v>
      </c>
      <c r="T430" s="18" t="str">
        <f t="shared" si="362"/>
        <v>1+0.364445460314677i</v>
      </c>
      <c r="U430" s="18">
        <f t="shared" si="375"/>
        <v>1.0643404030402945</v>
      </c>
      <c r="V430" s="18">
        <f t="shared" si="376"/>
        <v>0.34948542145224648</v>
      </c>
      <c r="W430" s="32" t="str">
        <f t="shared" si="363"/>
        <v>1-4.80609894354371i</v>
      </c>
      <c r="X430" s="18">
        <f t="shared" si="377"/>
        <v>4.90903117276026</v>
      </c>
      <c r="Y430" s="18">
        <f t="shared" si="378"/>
        <v>-1.3656543288448391</v>
      </c>
      <c r="Z430" s="32" t="str">
        <f t="shared" si="364"/>
        <v>0.640950241993931+2.19777931258979i</v>
      </c>
      <c r="AA430" s="18">
        <f t="shared" si="379"/>
        <v>2.2893342087951529</v>
      </c>
      <c r="AB430" s="18">
        <f t="shared" si="380"/>
        <v>1.2870310361010187</v>
      </c>
      <c r="AC430" s="67" t="str">
        <f t="shared" si="381"/>
        <v>-0.116668138262086+0.104396984157115i</v>
      </c>
      <c r="AD430" s="65">
        <f t="shared" si="382"/>
        <v>-16.106534145122431</v>
      </c>
      <c r="AE430" s="62">
        <f t="shared" si="383"/>
        <v>138.17718386091514</v>
      </c>
      <c r="AF430" s="50" t="str">
        <f t="shared" si="365"/>
        <v>79.1527877025864</v>
      </c>
      <c r="AG430" s="50" t="str">
        <f t="shared" si="366"/>
        <v>1+403.693432963949i</v>
      </c>
      <c r="AH430" s="50">
        <f t="shared" si="384"/>
        <v>403.69467152566978</v>
      </c>
      <c r="AI430" s="50">
        <f t="shared" si="385"/>
        <v>1.5683192046200845</v>
      </c>
      <c r="AJ430" s="50" t="str">
        <f t="shared" si="367"/>
        <v>1+0.364445460314677i</v>
      </c>
      <c r="AK430" s="50">
        <f t="shared" si="386"/>
        <v>1.0643404030402945</v>
      </c>
      <c r="AL430" s="50">
        <f t="shared" si="387"/>
        <v>0.34948542145224648</v>
      </c>
      <c r="AM430" s="50" t="str">
        <f t="shared" si="368"/>
        <v>1-1.68145388301354i</v>
      </c>
      <c r="AN430" s="50">
        <f t="shared" si="388"/>
        <v>1.9563453582384966</v>
      </c>
      <c r="AO430" s="50">
        <f t="shared" si="389"/>
        <v>-1.0342656998202973</v>
      </c>
      <c r="AP430" s="59" t="str">
        <f t="shared" si="390"/>
        <v>-0.257442945728427-0.316861530940853i</v>
      </c>
      <c r="AQ430" s="50">
        <f t="shared" si="391"/>
        <v>-7.7812145855516244</v>
      </c>
      <c r="AR430" s="62">
        <f t="shared" si="392"/>
        <v>-129.09309119832793</v>
      </c>
      <c r="AS430" s="32" t="str">
        <f t="shared" si="369"/>
        <v>-0.0000166666666666667</v>
      </c>
      <c r="AT430" s="32" t="str">
        <f t="shared" si="370"/>
        <v>0.00281616946606796i</v>
      </c>
      <c r="AU430" s="32">
        <f t="shared" si="393"/>
        <v>2.8161694660679601E-3</v>
      </c>
      <c r="AV430" s="32">
        <f t="shared" si="394"/>
        <v>1.5707963267948966</v>
      </c>
      <c r="AW430" s="32" t="str">
        <f t="shared" si="371"/>
        <v>1+2.8619687618829i</v>
      </c>
      <c r="AX430" s="32">
        <f t="shared" si="395"/>
        <v>3.0316439754683495</v>
      </c>
      <c r="AY430" s="32">
        <f t="shared" si="396"/>
        <v>1.2346473738248556</v>
      </c>
      <c r="AZ430" s="32" t="str">
        <f t="shared" si="372"/>
        <v>1+97.3069379040186i</v>
      </c>
      <c r="BA430" s="32">
        <f t="shared" si="397"/>
        <v>97.312076148115011</v>
      </c>
      <c r="BB430" s="32">
        <f t="shared" si="398"/>
        <v>1.5605199290390837</v>
      </c>
      <c r="BC430" s="59" t="str">
        <f t="shared" si="399"/>
        <v>-0.0608152360937123+0.179969510396962i</v>
      </c>
      <c r="BD430" s="50">
        <f t="shared" si="400"/>
        <v>-14.426429911399916</v>
      </c>
      <c r="BE430" s="62">
        <f t="shared" si="401"/>
        <v>108.67112207291909</v>
      </c>
      <c r="BF430" s="59" t="str">
        <f t="shared" si="402"/>
        <v>-0.0116930737526528-0.0273456349609392i</v>
      </c>
      <c r="BG430" s="65">
        <f t="shared" si="403"/>
        <v>-30.532964056522335</v>
      </c>
      <c r="BH430" s="62">
        <f t="shared" si="404"/>
        <v>-113.15169406616583</v>
      </c>
      <c r="BI430" s="59" t="str">
        <f t="shared" si="357"/>
        <v>0.0726818681121922-0.0270618720847136i</v>
      </c>
      <c r="BJ430" s="65">
        <f t="shared" si="405"/>
        <v>-22.207644496951534</v>
      </c>
      <c r="BK430" s="62">
        <f t="shared" si="358"/>
        <v>-20.421969125408872</v>
      </c>
      <c r="BL430" s="50">
        <f t="shared" si="406"/>
        <v>-30.532964056522335</v>
      </c>
      <c r="BM430" s="62">
        <f t="shared" si="407"/>
        <v>-113.15169406616583</v>
      </c>
    </row>
    <row r="431" spans="14:65" x14ac:dyDescent="0.3">
      <c r="N431" s="11">
        <v>13</v>
      </c>
      <c r="O431" s="51">
        <f t="shared" si="408"/>
        <v>134896.28825916545</v>
      </c>
      <c r="P431" s="49" t="str">
        <f t="shared" si="360"/>
        <v>27.9103246607183</v>
      </c>
      <c r="Q431" s="18" t="str">
        <f t="shared" si="361"/>
        <v>1+416.348902820495i</v>
      </c>
      <c r="R431" s="18">
        <f t="shared" si="373"/>
        <v>416.35010373462137</v>
      </c>
      <c r="S431" s="18">
        <f t="shared" si="374"/>
        <v>1.5683944996967574</v>
      </c>
      <c r="T431" s="18" t="str">
        <f t="shared" si="362"/>
        <v>1+0.372934485608542i</v>
      </c>
      <c r="U431" s="18">
        <f t="shared" si="375"/>
        <v>1.0672769699361586</v>
      </c>
      <c r="V431" s="18">
        <f t="shared" si="376"/>
        <v>0.35695857977829382</v>
      </c>
      <c r="W431" s="32" t="str">
        <f t="shared" si="363"/>
        <v>1-4.91804736913621i</v>
      </c>
      <c r="X431" s="18">
        <f t="shared" si="377"/>
        <v>5.0186840830109629</v>
      </c>
      <c r="Y431" s="18">
        <f t="shared" si="378"/>
        <v>-1.3701982819038838</v>
      </c>
      <c r="Z431" s="32" t="str">
        <f t="shared" si="364"/>
        <v>0.624028748221078+2.24897216915275i</v>
      </c>
      <c r="AA431" s="18">
        <f t="shared" si="379"/>
        <v>2.3339425220493308</v>
      </c>
      <c r="AB431" s="18">
        <f t="shared" si="380"/>
        <v>1.3001325707773765</v>
      </c>
      <c r="AC431" s="67" t="str">
        <f t="shared" si="381"/>
        <v>-0.113591543750769+0.10375552381598i</v>
      </c>
      <c r="AD431" s="65">
        <f t="shared" si="382"/>
        <v>-16.258338973089593</v>
      </c>
      <c r="AE431" s="62">
        <f t="shared" si="383"/>
        <v>137.59114687591722</v>
      </c>
      <c r="AF431" s="50" t="str">
        <f t="shared" si="365"/>
        <v>79.1527877025864</v>
      </c>
      <c r="AG431" s="50" t="str">
        <f t="shared" si="366"/>
        <v>1+413.096660981769i</v>
      </c>
      <c r="AH431" s="50">
        <f t="shared" si="384"/>
        <v>413.09787135046651</v>
      </c>
      <c r="AI431" s="50">
        <f t="shared" si="385"/>
        <v>1.5683755905819692</v>
      </c>
      <c r="AJ431" s="50" t="str">
        <f t="shared" si="367"/>
        <v>1+0.372934485608542i</v>
      </c>
      <c r="AK431" s="50">
        <f t="shared" si="386"/>
        <v>1.0672769699361586</v>
      </c>
      <c r="AL431" s="50">
        <f t="shared" si="387"/>
        <v>0.35695857977829382</v>
      </c>
      <c r="AM431" s="50" t="str">
        <f t="shared" si="368"/>
        <v>1-1.72061997533102i</v>
      </c>
      <c r="AN431" s="50">
        <f t="shared" si="388"/>
        <v>1.9901088159967839</v>
      </c>
      <c r="AO431" s="50">
        <f t="shared" si="389"/>
        <v>-1.0443256358874</v>
      </c>
      <c r="AP431" s="59" t="str">
        <f t="shared" si="390"/>
        <v>-0.257464876534941-0.315182641191494i</v>
      </c>
      <c r="AQ431" s="50">
        <f t="shared" si="391"/>
        <v>-7.8086556068794302</v>
      </c>
      <c r="AR431" s="62">
        <f t="shared" si="392"/>
        <v>-129.24453332306848</v>
      </c>
      <c r="AS431" s="32" t="str">
        <f t="shared" si="369"/>
        <v>-0.0000166666666666667</v>
      </c>
      <c r="AT431" s="32" t="str">
        <f t="shared" si="370"/>
        <v>0.00288176647970237i</v>
      </c>
      <c r="AU431" s="32">
        <f t="shared" si="393"/>
        <v>2.8817664797023699E-3</v>
      </c>
      <c r="AV431" s="32">
        <f t="shared" si="394"/>
        <v>1.5707963267948966</v>
      </c>
      <c r="AW431" s="32" t="str">
        <f t="shared" si="371"/>
        <v>1+2.9286325781612i</v>
      </c>
      <c r="AX431" s="32">
        <f t="shared" si="395"/>
        <v>3.0946548721734901</v>
      </c>
      <c r="AY431" s="32">
        <f t="shared" si="396"/>
        <v>1.2417530171945541</v>
      </c>
      <c r="AZ431" s="32" t="str">
        <f t="shared" si="372"/>
        <v>1+99.5735076574807i</v>
      </c>
      <c r="BA431" s="32">
        <f t="shared" si="397"/>
        <v>99.578528946828527</v>
      </c>
      <c r="BB431" s="32">
        <f t="shared" si="398"/>
        <v>1.5607538325002981</v>
      </c>
      <c r="BC431" s="59" t="str">
        <f t="shared" si="399"/>
        <v>-0.058363906028643+0.176709926254207i</v>
      </c>
      <c r="BD431" s="50">
        <f t="shared" si="400"/>
        <v>-14.605131028087879</v>
      </c>
      <c r="BE431" s="62">
        <f t="shared" si="401"/>
        <v>108.27740037825144</v>
      </c>
      <c r="BF431" s="59" t="str">
        <f t="shared" si="402"/>
        <v>-0.0117049847768701-0.0261283309612484i</v>
      </c>
      <c r="BG431" s="65">
        <f t="shared" si="403"/>
        <v>-30.863470001177475</v>
      </c>
      <c r="BH431" s="62">
        <f t="shared" si="404"/>
        <v>-114.1314527458314</v>
      </c>
      <c r="BI431" s="59" t="str">
        <f t="shared" si="357"/>
        <v>0.0707225571413166-0.0271013092931781i</v>
      </c>
      <c r="BJ431" s="65">
        <f t="shared" si="405"/>
        <v>-22.413786634967305</v>
      </c>
      <c r="BK431" s="62">
        <f t="shared" si="358"/>
        <v>-20.967132944817049</v>
      </c>
      <c r="BL431" s="50">
        <f t="shared" si="406"/>
        <v>-30.863470001177475</v>
      </c>
      <c r="BM431" s="62">
        <f t="shared" si="407"/>
        <v>-114.1314527458314</v>
      </c>
    </row>
    <row r="432" spans="14:65" x14ac:dyDescent="0.3">
      <c r="N432" s="11">
        <v>14</v>
      </c>
      <c r="O432" s="51">
        <f t="shared" si="408"/>
        <v>138038.42646028858</v>
      </c>
      <c r="P432" s="49" t="str">
        <f t="shared" si="360"/>
        <v>27.9103246607183</v>
      </c>
      <c r="Q432" s="18" t="str">
        <f t="shared" si="361"/>
        <v>1+426.046914599993i</v>
      </c>
      <c r="R432" s="18">
        <f t="shared" si="373"/>
        <v>426.04808817805269</v>
      </c>
      <c r="S432" s="18">
        <f t="shared" si="374"/>
        <v>1.5684491717531583</v>
      </c>
      <c r="T432" s="18" t="str">
        <f t="shared" si="362"/>
        <v>1+0.381621245703049i</v>
      </c>
      <c r="U432" s="18">
        <f t="shared" si="375"/>
        <v>1.0703432978124108</v>
      </c>
      <c r="V432" s="18">
        <f t="shared" si="376"/>
        <v>0.36456292423535269</v>
      </c>
      <c r="W432" s="32" t="str">
        <f t="shared" si="363"/>
        <v>1-5.03260340854189i</v>
      </c>
      <c r="X432" s="18">
        <f t="shared" si="377"/>
        <v>5.1309937699891481</v>
      </c>
      <c r="Y432" s="18">
        <f t="shared" si="378"/>
        <v>-1.3746469302453648</v>
      </c>
      <c r="Z432" s="32" t="str">
        <f t="shared" si="364"/>
        <v>0.606309769015858+2.30135746052846i</v>
      </c>
      <c r="AA432" s="18">
        <f t="shared" si="379"/>
        <v>2.3798860680994935</v>
      </c>
      <c r="AB432" s="18">
        <f t="shared" si="380"/>
        <v>1.3131924780918707</v>
      </c>
      <c r="AC432" s="67" t="str">
        <f t="shared" si="381"/>
        <v>-0.110598009865367+0.103060193868995i</v>
      </c>
      <c r="AD432" s="65">
        <f t="shared" si="382"/>
        <v>-16.410506355899589</v>
      </c>
      <c r="AE432" s="62">
        <f t="shared" si="383"/>
        <v>137.02054489672375</v>
      </c>
      <c r="AF432" s="50" t="str">
        <f t="shared" si="365"/>
        <v>79.1527877025864</v>
      </c>
      <c r="AG432" s="50" t="str">
        <f t="shared" si="366"/>
        <v>1+422.718918317223i</v>
      </c>
      <c r="AH432" s="50">
        <f t="shared" si="384"/>
        <v>422.72010113464324</v>
      </c>
      <c r="AI432" s="50">
        <f t="shared" si="385"/>
        <v>1.5684306930575365</v>
      </c>
      <c r="AJ432" s="50" t="str">
        <f t="shared" si="367"/>
        <v>1+0.381621245703049i</v>
      </c>
      <c r="AK432" s="50">
        <f t="shared" si="386"/>
        <v>1.0703432978124108</v>
      </c>
      <c r="AL432" s="50">
        <f t="shared" si="387"/>
        <v>0.36456292423535269</v>
      </c>
      <c r="AM432" s="50" t="str">
        <f t="shared" si="368"/>
        <v>1-1.76069836313451i</v>
      </c>
      <c r="AN432" s="50">
        <f t="shared" si="388"/>
        <v>2.0248601744181109</v>
      </c>
      <c r="AO432" s="50">
        <f t="shared" si="389"/>
        <v>-1.054271569160365</v>
      </c>
      <c r="AP432" s="59" t="str">
        <f t="shared" si="390"/>
        <v>-0.257485820303874-0.31367086067041i</v>
      </c>
      <c r="AQ432" s="50">
        <f t="shared" si="391"/>
        <v>-7.8333710447530081</v>
      </c>
      <c r="AR432" s="62">
        <f t="shared" si="392"/>
        <v>-129.38185361886568</v>
      </c>
      <c r="AS432" s="32" t="str">
        <f t="shared" si="369"/>
        <v>-0.0000166666666666667</v>
      </c>
      <c r="AT432" s="32" t="str">
        <f t="shared" si="370"/>
        <v>0.00294889144406902i</v>
      </c>
      <c r="AU432" s="32">
        <f t="shared" si="393"/>
        <v>2.9488914440690202E-3</v>
      </c>
      <c r="AV432" s="32">
        <f t="shared" si="394"/>
        <v>1.5707963267948966</v>
      </c>
      <c r="AW432" s="32" t="str">
        <f t="shared" si="371"/>
        <v>1+2.99684919419747i</v>
      </c>
      <c r="AX432" s="32">
        <f t="shared" si="395"/>
        <v>3.1592887004454067</v>
      </c>
      <c r="AY432" s="32">
        <f t="shared" si="396"/>
        <v>1.2487303937193563</v>
      </c>
      <c r="AZ432" s="32" t="str">
        <f t="shared" si="372"/>
        <v>1+101.892872602714i</v>
      </c>
      <c r="BA432" s="32">
        <f t="shared" si="397"/>
        <v>101.89777959913016</v>
      </c>
      <c r="BB432" s="32">
        <f t="shared" si="398"/>
        <v>1.5609824127305665</v>
      </c>
      <c r="BC432" s="59" t="str">
        <f t="shared" si="399"/>
        <v>-0.0560002756692271+0.173476222386682i</v>
      </c>
      <c r="BD432" s="50">
        <f t="shared" si="400"/>
        <v>-14.784692586872064</v>
      </c>
      <c r="BE432" s="62">
        <f t="shared" si="401"/>
        <v>107.89072283378106</v>
      </c>
      <c r="BF432" s="59" t="str">
        <f t="shared" si="402"/>
        <v>-0.0116849740699039-0.0249575242221166i</v>
      </c>
      <c r="BG432" s="65">
        <f t="shared" si="403"/>
        <v>-31.19519894277164</v>
      </c>
      <c r="BH432" s="62">
        <f t="shared" si="404"/>
        <v>-115.08873226949518</v>
      </c>
      <c r="BI432" s="59" t="str">
        <f t="shared" si="357"/>
        <v>0.068833712899816-0.0271020127575054i</v>
      </c>
      <c r="BJ432" s="65">
        <f t="shared" si="405"/>
        <v>-22.61806363162507</v>
      </c>
      <c r="BK432" s="62">
        <f t="shared" si="358"/>
        <v>-21.4911307850846</v>
      </c>
      <c r="BL432" s="50">
        <f t="shared" si="406"/>
        <v>-31.19519894277164</v>
      </c>
      <c r="BM432" s="62">
        <f t="shared" si="407"/>
        <v>-115.08873226949518</v>
      </c>
    </row>
    <row r="433" spans="14:65" x14ac:dyDescent="0.3">
      <c r="N433" s="11">
        <v>15</v>
      </c>
      <c r="O433" s="51">
        <f t="shared" si="408"/>
        <v>141253.75446227577</v>
      </c>
      <c r="P433" s="49" t="str">
        <f t="shared" si="360"/>
        <v>27.9103246607183</v>
      </c>
      <c r="Q433" s="18" t="str">
        <f t="shared" si="361"/>
        <v>1+435.970822093011i</v>
      </c>
      <c r="R433" s="18">
        <f t="shared" si="373"/>
        <v>435.97196895724363</v>
      </c>
      <c r="S433" s="18">
        <f t="shared" si="374"/>
        <v>1.568502599335178</v>
      </c>
      <c r="T433" s="18" t="str">
        <f t="shared" si="362"/>
        <v>1+0.390510346433383i</v>
      </c>
      <c r="U433" s="18">
        <f t="shared" si="375"/>
        <v>1.0735447501951285</v>
      </c>
      <c r="V433" s="18">
        <f t="shared" si="376"/>
        <v>0.37229896791033468</v>
      </c>
      <c r="W433" s="32" t="str">
        <f t="shared" si="363"/>
        <v>1-5.14982780088916i</v>
      </c>
      <c r="X433" s="18">
        <f t="shared" si="377"/>
        <v>5.2460200513161288</v>
      </c>
      <c r="Y433" s="18">
        <f t="shared" si="378"/>
        <v>-1.379001927939826</v>
      </c>
      <c r="Z433" s="32" t="str">
        <f t="shared" si="364"/>
        <v>0.58775572004775+2.35496296209181i</v>
      </c>
      <c r="AA433" s="18">
        <f t="shared" si="379"/>
        <v>2.427201544839876</v>
      </c>
      <c r="AB433" s="18">
        <f t="shared" si="380"/>
        <v>1.3262113723212041</v>
      </c>
      <c r="AC433" s="67" t="str">
        <f t="shared" si="381"/>
        <v>-0.107686896945512+0.102315157363007i</v>
      </c>
      <c r="AD433" s="65">
        <f t="shared" si="382"/>
        <v>-16.562988395229791</v>
      </c>
      <c r="AE433" s="62">
        <f t="shared" si="383"/>
        <v>136.46527569351991</v>
      </c>
      <c r="AF433" s="50" t="str">
        <f t="shared" si="365"/>
        <v>79.1527877025864</v>
      </c>
      <c r="AG433" s="50" t="str">
        <f t="shared" si="366"/>
        <v>1+432.565306818515i</v>
      </c>
      <c r="AH433" s="50">
        <f t="shared" si="384"/>
        <v>432.56646271179653</v>
      </c>
      <c r="AI433" s="50">
        <f t="shared" si="385"/>
        <v>1.5684845412615087</v>
      </c>
      <c r="AJ433" s="50" t="str">
        <f t="shared" si="367"/>
        <v>1+0.390510346433383i</v>
      </c>
      <c r="AK433" s="50">
        <f t="shared" si="386"/>
        <v>1.0735447501951285</v>
      </c>
      <c r="AL433" s="50">
        <f t="shared" si="387"/>
        <v>0.37229896791033468</v>
      </c>
      <c r="AM433" s="50" t="str">
        <f t="shared" si="368"/>
        <v>1-1.80171029651574i</v>
      </c>
      <c r="AN433" s="50">
        <f t="shared" si="388"/>
        <v>2.0606212637383989</v>
      </c>
      <c r="AO433" s="50">
        <f t="shared" si="389"/>
        <v>-1.0641009015370888</v>
      </c>
      <c r="AP433" s="59" t="str">
        <f t="shared" si="390"/>
        <v>-0.257505821458242-0.312325388130601i</v>
      </c>
      <c r="AQ433" s="50">
        <f t="shared" si="391"/>
        <v>-7.8553660120892443</v>
      </c>
      <c r="AR433" s="62">
        <f t="shared" si="392"/>
        <v>-129.50487550159986</v>
      </c>
      <c r="AS433" s="32" t="str">
        <f t="shared" si="369"/>
        <v>-0.0000166666666666667</v>
      </c>
      <c r="AT433" s="32" t="str">
        <f t="shared" si="370"/>
        <v>0.0030175799497125i</v>
      </c>
      <c r="AU433" s="32">
        <f t="shared" si="393"/>
        <v>3.0175799497124999E-3</v>
      </c>
      <c r="AV433" s="32">
        <f t="shared" si="394"/>
        <v>1.5707963267948966</v>
      </c>
      <c r="AW433" s="32" t="str">
        <f t="shared" si="371"/>
        <v>1+3.0666547793445i</v>
      </c>
      <c r="AX433" s="32">
        <f t="shared" si="395"/>
        <v>3.2255808059443281</v>
      </c>
      <c r="AY433" s="32">
        <f t="shared" si="396"/>
        <v>1.2555804845166936</v>
      </c>
      <c r="AZ433" s="32" t="str">
        <f t="shared" si="372"/>
        <v>1+104.266262497713i</v>
      </c>
      <c r="BA433" s="32">
        <f t="shared" si="397"/>
        <v>104.27105780245058</v>
      </c>
      <c r="BB433" s="32">
        <f t="shared" si="398"/>
        <v>1.5612057908305534</v>
      </c>
      <c r="BC433" s="59" t="str">
        <f t="shared" si="399"/>
        <v>-0.0537220950599069+0.17027030932803i</v>
      </c>
      <c r="BD433" s="50">
        <f t="shared" si="400"/>
        <v>-14.965083651067069</v>
      </c>
      <c r="BE433" s="62">
        <f t="shared" si="401"/>
        <v>107.51104016417715</v>
      </c>
      <c r="BF433" s="59" t="str">
        <f t="shared" si="402"/>
        <v>-0.0116360677787321-0.0238324658634128i</v>
      </c>
      <c r="BG433" s="65">
        <f t="shared" si="403"/>
        <v>-31.528072046296856</v>
      </c>
      <c r="BH433" s="62">
        <f t="shared" si="404"/>
        <v>-116.02368414230297</v>
      </c>
      <c r="BI433" s="59" t="str">
        <f t="shared" si="357"/>
        <v>0.0670134926668536-0.0270668216826889i</v>
      </c>
      <c r="BJ433" s="65">
        <f t="shared" si="405"/>
        <v>-22.820449663156307</v>
      </c>
      <c r="BK433" s="62">
        <f t="shared" si="358"/>
        <v>-21.993835337422723</v>
      </c>
      <c r="BL433" s="50">
        <f t="shared" si="406"/>
        <v>-31.528072046296856</v>
      </c>
      <c r="BM433" s="62">
        <f t="shared" si="407"/>
        <v>-116.02368414230297</v>
      </c>
    </row>
    <row r="434" spans="14:65" x14ac:dyDescent="0.3">
      <c r="N434" s="11">
        <v>16</v>
      </c>
      <c r="O434" s="51">
        <f t="shared" si="408"/>
        <v>144543.97707459307</v>
      </c>
      <c r="P434" s="49" t="str">
        <f t="shared" si="360"/>
        <v>27.9103246607183</v>
      </c>
      <c r="Q434" s="18" t="str">
        <f t="shared" si="361"/>
        <v>1+446.125887086657i</v>
      </c>
      <c r="R434" s="18">
        <f t="shared" si="373"/>
        <v>446.12700784513885</v>
      </c>
      <c r="S434" s="18">
        <f t="shared" si="374"/>
        <v>1.5685548107696068</v>
      </c>
      <c r="T434" s="18" t="str">
        <f t="shared" si="362"/>
        <v>1+0.39960650091841i</v>
      </c>
      <c r="U434" s="18">
        <f t="shared" si="375"/>
        <v>1.0768868815136783</v>
      </c>
      <c r="V434" s="18">
        <f t="shared" si="376"/>
        <v>0.38016710774394574</v>
      </c>
      <c r="W434" s="32" t="str">
        <f t="shared" si="363"/>
        <v>1-5.26978270010248i</v>
      </c>
      <c r="X434" s="18">
        <f t="shared" si="377"/>
        <v>5.3638241681005336</v>
      </c>
      <c r="Y434" s="18">
        <f t="shared" si="378"/>
        <v>-1.3832649229725256</v>
      </c>
      <c r="Z434" s="32" t="str">
        <f t="shared" si="364"/>
        <v>0.568327245691312+2.40981709618927i</v>
      </c>
      <c r="AA434" s="18">
        <f t="shared" si="379"/>
        <v>2.4759269567742015</v>
      </c>
      <c r="AB434" s="18">
        <f t="shared" si="380"/>
        <v>1.3391900562896595</v>
      </c>
      <c r="AC434" s="67" t="str">
        <f t="shared" si="381"/>
        <v>-0.104857419073717+0.101524447188348i</v>
      </c>
      <c r="AD434" s="65">
        <f t="shared" si="382"/>
        <v>-16.71573672420061</v>
      </c>
      <c r="AE434" s="62">
        <f t="shared" si="383"/>
        <v>135.92521996528393</v>
      </c>
      <c r="AF434" s="50" t="str">
        <f t="shared" si="365"/>
        <v>79.1527877025864</v>
      </c>
      <c r="AG434" s="50" t="str">
        <f t="shared" si="366"/>
        <v>1+442.641047171161i</v>
      </c>
      <c r="AH434" s="50">
        <f t="shared" si="384"/>
        <v>442.64217675316712</v>
      </c>
      <c r="AI434" s="50">
        <f t="shared" si="385"/>
        <v>1.5685371637436667</v>
      </c>
      <c r="AJ434" s="50" t="str">
        <f t="shared" si="367"/>
        <v>1+0.39960650091841i</v>
      </c>
      <c r="AK434" s="50">
        <f t="shared" si="386"/>
        <v>1.0768868815136783</v>
      </c>
      <c r="AL434" s="50">
        <f t="shared" si="387"/>
        <v>0.38016710774394574</v>
      </c>
      <c r="AM434" s="50" t="str">
        <f t="shared" si="368"/>
        <v>1-1.84367752054464i</v>
      </c>
      <c r="AN434" s="50">
        <f t="shared" si="388"/>
        <v>2.0974143128532408</v>
      </c>
      <c r="AO434" s="50">
        <f t="shared" si="389"/>
        <v>-1.0738112466180005</v>
      </c>
      <c r="AP434" s="59" t="str">
        <f t="shared" si="390"/>
        <v>-0.257524922421782-0.311145510482465i</v>
      </c>
      <c r="AQ434" s="50">
        <f t="shared" si="391"/>
        <v>-7.8746452822576032</v>
      </c>
      <c r="AR434" s="62">
        <f t="shared" si="392"/>
        <v>-129.6134411334022</v>
      </c>
      <c r="AS434" s="32" t="str">
        <f t="shared" si="369"/>
        <v>-0.0000166666666666667</v>
      </c>
      <c r="AT434" s="32" t="str">
        <f t="shared" si="370"/>
        <v>0.00308786841618771i</v>
      </c>
      <c r="AU434" s="32">
        <f t="shared" si="393"/>
        <v>3.0878684161877099E-3</v>
      </c>
      <c r="AV434" s="32">
        <f t="shared" si="394"/>
        <v>1.5707963267948966</v>
      </c>
      <c r="AW434" s="32" t="str">
        <f t="shared" si="371"/>
        <v>1+3.13808634544751i</v>
      </c>
      <c r="AX434" s="32">
        <f t="shared" si="395"/>
        <v>3.293567353415459</v>
      </c>
      <c r="AY434" s="32">
        <f t="shared" si="396"/>
        <v>1.2623043492665362</v>
      </c>
      <c r="AZ434" s="32" t="str">
        <f t="shared" si="372"/>
        <v>1+106.694935745215i</v>
      </c>
      <c r="BA434" s="32">
        <f t="shared" si="397"/>
        <v>106.6996219003402</v>
      </c>
      <c r="BB434" s="32">
        <f t="shared" si="398"/>
        <v>1.5614240851490642</v>
      </c>
      <c r="BC434" s="59" t="str">
        <f t="shared" si="399"/>
        <v>-0.0515270993232196+0.167093953414842i</v>
      </c>
      <c r="BD434" s="50">
        <f t="shared" si="400"/>
        <v>-15.146274090076266</v>
      </c>
      <c r="BE434" s="62">
        <f t="shared" si="401"/>
        <v>107.13829843513666</v>
      </c>
      <c r="BF434" s="59" t="str">
        <f t="shared" si="402"/>
        <v>-0.0115611226015695-0.0227523009719132i</v>
      </c>
      <c r="BG434" s="65">
        <f t="shared" si="403"/>
        <v>-31.862010814276882</v>
      </c>
      <c r="BH434" s="62">
        <f t="shared" si="404"/>
        <v>-116.93648159957932</v>
      </c>
      <c r="BI434" s="59" t="str">
        <f t="shared" ref="BI434:BI497" si="409">IMPRODUCT(AP434,BC434)</f>
        <v>0.0652600456896258-0.0269984317677022i</v>
      </c>
      <c r="BJ434" s="65">
        <f t="shared" si="405"/>
        <v>-23.020919372333868</v>
      </c>
      <c r="BK434" s="62">
        <f t="shared" ref="BK434:BK497" si="410">(180/PI())*IMARGUMENT(BI434)</f>
        <v>-22.475142698265554</v>
      </c>
      <c r="BL434" s="50">
        <f t="shared" si="406"/>
        <v>-31.862010814276882</v>
      </c>
      <c r="BM434" s="62">
        <f t="shared" si="407"/>
        <v>-116.93648159957932</v>
      </c>
    </row>
    <row r="435" spans="14:65" x14ac:dyDescent="0.3">
      <c r="N435" s="11">
        <v>17</v>
      </c>
      <c r="O435" s="51">
        <f t="shared" si="408"/>
        <v>147910.83881682079</v>
      </c>
      <c r="P435" s="49" t="str">
        <f t="shared" si="360"/>
        <v>27.9103246607183</v>
      </c>
      <c r="Q435" s="18" t="str">
        <f t="shared" si="361"/>
        <v>1+456.51749393081i</v>
      </c>
      <c r="R435" s="18">
        <f t="shared" si="373"/>
        <v>456.51858917777616</v>
      </c>
      <c r="S435" s="18">
        <f t="shared" si="374"/>
        <v>1.5686058337384989</v>
      </c>
      <c r="T435" s="18" t="str">
        <f t="shared" si="362"/>
        <v>1+0.408914532059641i</v>
      </c>
      <c r="U435" s="18">
        <f t="shared" si="375"/>
        <v>1.0803754414691011</v>
      </c>
      <c r="V435" s="18">
        <f t="shared" si="376"/>
        <v>0.38816761771350522</v>
      </c>
      <c r="W435" s="32" t="str">
        <f t="shared" si="363"/>
        <v>1-5.39253170785721i</v>
      </c>
      <c r="X435" s="18">
        <f t="shared" si="377"/>
        <v>5.4844688184221999</v>
      </c>
      <c r="Y435" s="18">
        <f t="shared" si="378"/>
        <v>-1.3874375555645693</v>
      </c>
      <c r="Z435" s="32" t="str">
        <f t="shared" si="364"/>
        <v>0.547983135547613+2.46594894720883i</v>
      </c>
      <c r="AA435" s="18">
        <f t="shared" si="379"/>
        <v>2.5261016858164935</v>
      </c>
      <c r="AB435" s="18">
        <f t="shared" si="380"/>
        <v>1.3521295138338403</v>
      </c>
      <c r="AC435" s="67" t="str">
        <f t="shared" si="381"/>
        <v>-0.102108654577464+0.100691961429341i</v>
      </c>
      <c r="AD435" s="65">
        <f t="shared" si="382"/>
        <v>-16.868702632756644</v>
      </c>
      <c r="AE435" s="62">
        <f t="shared" si="383"/>
        <v>135.40024147626352</v>
      </c>
      <c r="AF435" s="50" t="str">
        <f t="shared" si="365"/>
        <v>79.1527877025864</v>
      </c>
      <c r="AG435" s="50" t="str">
        <f t="shared" si="366"/>
        <v>1+452.951481666063i</v>
      </c>
      <c r="AH435" s="50">
        <f t="shared" si="384"/>
        <v>452.95258553570682</v>
      </c>
      <c r="AI435" s="50">
        <f t="shared" si="385"/>
        <v>1.5685885884039805</v>
      </c>
      <c r="AJ435" s="50" t="str">
        <f t="shared" si="367"/>
        <v>1+0.408914532059641i</v>
      </c>
      <c r="AK435" s="50">
        <f t="shared" si="386"/>
        <v>1.0803754414691011</v>
      </c>
      <c r="AL435" s="50">
        <f t="shared" si="387"/>
        <v>0.38816761771350522</v>
      </c>
      <c r="AM435" s="50" t="str">
        <f t="shared" si="368"/>
        <v>1-1.88662228679888i</v>
      </c>
      <c r="AN435" s="50">
        <f t="shared" si="388"/>
        <v>2.1352619635647132</v>
      </c>
      <c r="AO435" s="50">
        <f t="shared" si="389"/>
        <v>-1.0834004274333744</v>
      </c>
      <c r="AP435" s="59" t="str">
        <f t="shared" si="390"/>
        <v>-0.257543163708927-0.31013060241713i</v>
      </c>
      <c r="AQ435" s="50">
        <f t="shared" si="391"/>
        <v>-7.8912132145630896</v>
      </c>
      <c r="AR435" s="62">
        <f t="shared" si="392"/>
        <v>-129.70741168390194</v>
      </c>
      <c r="AS435" s="32" t="str">
        <f t="shared" si="369"/>
        <v>-0.0000166666666666667</v>
      </c>
      <c r="AT435" s="32" t="str">
        <f t="shared" si="370"/>
        <v>0.00315979411136995i</v>
      </c>
      <c r="AU435" s="32">
        <f t="shared" si="393"/>
        <v>3.1597941113699502E-3</v>
      </c>
      <c r="AV435" s="32">
        <f t="shared" si="394"/>
        <v>1.5707963267948966</v>
      </c>
      <c r="AW435" s="32" t="str">
        <f t="shared" si="371"/>
        <v>1+3.21118176646835i</v>
      </c>
      <c r="AX435" s="32">
        <f t="shared" si="395"/>
        <v>3.3632853487771137</v>
      </c>
      <c r="AY435" s="32">
        <f t="shared" si="396"/>
        <v>1.2689031202973362</v>
      </c>
      <c r="AZ435" s="32" t="str">
        <f t="shared" si="372"/>
        <v>1+109.180180059924i</v>
      </c>
      <c r="BA435" s="32">
        <f t="shared" si="397"/>
        <v>109.18475954966162</v>
      </c>
      <c r="BB435" s="32">
        <f t="shared" si="398"/>
        <v>1.5616374113453704</v>
      </c>
      <c r="BC435" s="59" t="str">
        <f t="shared" si="399"/>
        <v>-0.0494130159894134+0.163948781239742i</v>
      </c>
      <c r="BD435" s="50">
        <f t="shared" si="400"/>
        <v>-15.328234583487577</v>
      </c>
      <c r="BE435" s="62">
        <f t="shared" si="401"/>
        <v>106.77243939580667</v>
      </c>
      <c r="BF435" s="59" t="str">
        <f t="shared" si="402"/>
        <v>-0.0114628277756858-0.0217160829721184i</v>
      </c>
      <c r="BG435" s="65">
        <f t="shared" si="403"/>
        <v>-32.196937216244244</v>
      </c>
      <c r="BH435" s="62">
        <f t="shared" si="404"/>
        <v>-117.82731912792975</v>
      </c>
      <c r="BI435" s="59" t="str">
        <f t="shared" si="409"/>
        <v>0.0635715187577488-0.0268993993906619i</v>
      </c>
      <c r="BJ435" s="65">
        <f t="shared" si="405"/>
        <v>-23.219447798050659</v>
      </c>
      <c r="BK435" s="62">
        <f t="shared" si="410"/>
        <v>-22.934972288095274</v>
      </c>
      <c r="BL435" s="50">
        <f t="shared" si="406"/>
        <v>-32.196937216244244</v>
      </c>
      <c r="BM435" s="62">
        <f t="shared" si="407"/>
        <v>-117.82731912792975</v>
      </c>
    </row>
    <row r="436" spans="14:65" x14ac:dyDescent="0.3">
      <c r="N436" s="11">
        <v>18</v>
      </c>
      <c r="O436" s="51">
        <f t="shared" si="408"/>
        <v>151356.12484362084</v>
      </c>
      <c r="P436" s="49" t="str">
        <f t="shared" si="360"/>
        <v>27.9103246607183</v>
      </c>
      <c r="Q436" s="18" t="str">
        <f t="shared" si="361"/>
        <v>1+467.15115239297i</v>
      </c>
      <c r="R436" s="18">
        <f t="shared" si="373"/>
        <v>467.15222270912921</v>
      </c>
      <c r="S436" s="18">
        <f t="shared" si="374"/>
        <v>1.5686556952938446</v>
      </c>
      <c r="T436" s="18" t="str">
        <f t="shared" si="362"/>
        <v>1+0.418439375098395i</v>
      </c>
      <c r="U436" s="18">
        <f t="shared" si="375"/>
        <v>1.0840163793193973</v>
      </c>
      <c r="V436" s="18">
        <f t="shared" si="376"/>
        <v>0.39630064197021403</v>
      </c>
      <c r="W436" s="32" t="str">
        <f t="shared" si="363"/>
        <v>1-5.51813990730205i</v>
      </c>
      <c r="X436" s="18">
        <f t="shared" si="377"/>
        <v>5.6080181915325014</v>
      </c>
      <c r="Y436" s="18">
        <f t="shared" si="378"/>
        <v>-1.3915214566246634</v>
      </c>
      <c r="Z436" s="32" t="str">
        <f t="shared" si="364"/>
        <v>0.526680237031452+2.5233882770009i</v>
      </c>
      <c r="AA436" s="18">
        <f t="shared" si="379"/>
        <v>2.5777665659607503</v>
      </c>
      <c r="AB436" s="18">
        <f t="shared" si="380"/>
        <v>1.3650309019004887</v>
      </c>
      <c r="AC436" s="67" t="str">
        <f t="shared" si="381"/>
        <v>-0.0994395564877201+0.0998214595948692i</v>
      </c>
      <c r="AD436" s="65">
        <f t="shared" si="382"/>
        <v>-17.021837192221664</v>
      </c>
      <c r="AE436" s="62">
        <f t="shared" si="383"/>
        <v>134.8901872033972</v>
      </c>
      <c r="AF436" s="50" t="str">
        <f t="shared" si="365"/>
        <v>79.1527877025864</v>
      </c>
      <c r="AG436" s="50" t="str">
        <f t="shared" si="366"/>
        <v>1+463.502077032067i</v>
      </c>
      <c r="AH436" s="50">
        <f t="shared" si="384"/>
        <v>463.50315577462919</v>
      </c>
      <c r="AI436" s="50">
        <f t="shared" si="385"/>
        <v>1.5686388425073972</v>
      </c>
      <c r="AJ436" s="50" t="str">
        <f t="shared" si="367"/>
        <v>1+0.418439375098395i</v>
      </c>
      <c r="AK436" s="50">
        <f t="shared" si="386"/>
        <v>1.0840163793193973</v>
      </c>
      <c r="AL436" s="50">
        <f t="shared" si="387"/>
        <v>0.39630064197021403</v>
      </c>
      <c r="AM436" s="50" t="str">
        <f t="shared" si="368"/>
        <v>1-1.93056736516199i</v>
      </c>
      <c r="AN436" s="50">
        <f t="shared" si="388"/>
        <v>2.1741872852697184</v>
      </c>
      <c r="AO436" s="50">
        <f t="shared" si="389"/>
        <v>-1.0928664735011024</v>
      </c>
      <c r="AP436" s="59" t="str">
        <f t="shared" si="390"/>
        <v>-0.25756058401073-0.309280126076233i</v>
      </c>
      <c r="AQ436" s="50">
        <f t="shared" si="391"/>
        <v>-7.9050736876301837</v>
      </c>
      <c r="AR436" s="62">
        <f t="shared" si="392"/>
        <v>-129.78666755570109</v>
      </c>
      <c r="AS436" s="32" t="str">
        <f t="shared" si="369"/>
        <v>-0.0000166666666666667</v>
      </c>
      <c r="AT436" s="32" t="str">
        <f t="shared" si="370"/>
        <v>0.00323339517121486i</v>
      </c>
      <c r="AU436" s="32">
        <f t="shared" si="393"/>
        <v>3.23339517121486E-3</v>
      </c>
      <c r="AV436" s="32">
        <f t="shared" si="394"/>
        <v>1.5707963267948966</v>
      </c>
      <c r="AW436" s="32" t="str">
        <f t="shared" si="371"/>
        <v>1+3.2859797985668i</v>
      </c>
      <c r="AX436" s="32">
        <f t="shared" si="395"/>
        <v>3.4347726615584193</v>
      </c>
      <c r="AY436" s="32">
        <f t="shared" si="396"/>
        <v>1.2753779968616308</v>
      </c>
      <c r="AZ436" s="32" t="str">
        <f t="shared" si="372"/>
        <v>1+111.723313151271i</v>
      </c>
      <c r="BA436" s="32">
        <f t="shared" si="397"/>
        <v>111.72778840331962</v>
      </c>
      <c r="BB436" s="32">
        <f t="shared" si="398"/>
        <v>1.5618458824501358</v>
      </c>
      <c r="BC436" s="59" t="str">
        <f t="shared" si="399"/>
        <v>-0.0473775717673221+0.16083628432663i</v>
      </c>
      <c r="BD436" s="50">
        <f t="shared" si="400"/>
        <v>-15.51093662264333</v>
      </c>
      <c r="BE436" s="62">
        <f t="shared" si="401"/>
        <v>106.41340081025787</v>
      </c>
      <c r="BF436" s="59" t="str">
        <f t="shared" si="402"/>
        <v>-0.011343707933292-0.0207227871464477i</v>
      </c>
      <c r="BG436" s="65">
        <f t="shared" si="403"/>
        <v>-32.532773814864981</v>
      </c>
      <c r="BH436" s="62">
        <f t="shared" si="404"/>
        <v>-118.69641198634504</v>
      </c>
      <c r="BI436" s="59" t="str">
        <f t="shared" si="409"/>
        <v>0.0619460613475747-0.0267721459518995i</v>
      </c>
      <c r="BJ436" s="65">
        <f t="shared" si="405"/>
        <v>-23.416010310273517</v>
      </c>
      <c r="BK436" s="62">
        <f t="shared" si="410"/>
        <v>-23.373266745443242</v>
      </c>
      <c r="BL436" s="50">
        <f t="shared" si="406"/>
        <v>-32.532773814864981</v>
      </c>
      <c r="BM436" s="62">
        <f t="shared" si="407"/>
        <v>-118.69641198634504</v>
      </c>
    </row>
    <row r="437" spans="14:65" x14ac:dyDescent="0.3">
      <c r="N437" s="11">
        <v>19</v>
      </c>
      <c r="O437" s="51">
        <f t="shared" si="408"/>
        <v>154881.66189124843</v>
      </c>
      <c r="P437" s="49" t="str">
        <f t="shared" si="360"/>
        <v>27.9103246607183</v>
      </c>
      <c r="Q437" s="18" t="str">
        <f t="shared" si="361"/>
        <v>1+478.032500579606i</v>
      </c>
      <c r="R437" s="18">
        <f t="shared" si="373"/>
        <v>478.03354653244884</v>
      </c>
      <c r="S437" s="18">
        <f t="shared" si="374"/>
        <v>1.5687044218719084</v>
      </c>
      <c r="T437" s="18" t="str">
        <f t="shared" si="362"/>
        <v>1+0.428186080232526i</v>
      </c>
      <c r="U437" s="18">
        <f t="shared" si="375"/>
        <v>1.087815848066618</v>
      </c>
      <c r="V437" s="18">
        <f t="shared" si="376"/>
        <v>0.40456618796123506</v>
      </c>
      <c r="W437" s="32" t="str">
        <f t="shared" si="363"/>
        <v>1-5.64667389756697i</v>
      </c>
      <c r="X437" s="18">
        <f t="shared" si="377"/>
        <v>5.7345380027918695</v>
      </c>
      <c r="Y437" s="18">
        <f t="shared" si="378"/>
        <v>-1.3955182463251268</v>
      </c>
      <c r="Z437" s="32" t="str">
        <f t="shared" si="364"/>
        <v>0.504373363838946+2.58216554065844i</v>
      </c>
      <c r="AA437" s="18">
        <f t="shared" si="379"/>
        <v>2.6309639620325678</v>
      </c>
      <c r="AB437" s="18">
        <f t="shared" si="380"/>
        <v>1.3778955423188339</v>
      </c>
      <c r="AC437" s="67" t="str">
        <f t="shared" si="381"/>
        <v>-0.0968489628861216+0.0989165596861912i</v>
      </c>
      <c r="AD437" s="65">
        <f t="shared" si="382"/>
        <v>-17.175091379166506</v>
      </c>
      <c r="AE437" s="62">
        <f t="shared" si="383"/>
        <v>134.39488749441819</v>
      </c>
      <c r="AF437" s="50" t="str">
        <f t="shared" si="365"/>
        <v>79.1527877025864</v>
      </c>
      <c r="AG437" s="50" t="str">
        <f t="shared" si="366"/>
        <v>1+474.298427334489i</v>
      </c>
      <c r="AH437" s="50">
        <f t="shared" si="384"/>
        <v>474.29948152192776</v>
      </c>
      <c r="AI437" s="50">
        <f t="shared" si="385"/>
        <v>1.5686879526982918</v>
      </c>
      <c r="AJ437" s="50" t="str">
        <f t="shared" si="367"/>
        <v>1+0.428186080232526i</v>
      </c>
      <c r="AK437" s="50">
        <f t="shared" si="386"/>
        <v>1.087815848066618</v>
      </c>
      <c r="AL437" s="50">
        <f t="shared" si="387"/>
        <v>0.40456618796123506</v>
      </c>
      <c r="AM437" s="50" t="str">
        <f t="shared" si="368"/>
        <v>1-1.97553605589619i</v>
      </c>
      <c r="AN437" s="50">
        <f t="shared" si="388"/>
        <v>2.2142137900721948</v>
      </c>
      <c r="AO437" s="50">
        <f t="shared" si="389"/>
        <v>-1.1022076172688582</v>
      </c>
      <c r="AP437" s="59" t="str">
        <f t="shared" si="390"/>
        <v>-0.257577220276936-0.308593630767984i</v>
      </c>
      <c r="AQ437" s="50">
        <f t="shared" si="391"/>
        <v>-7.9162300411779709</v>
      </c>
      <c r="AR437" s="62">
        <f t="shared" si="392"/>
        <v>-129.85110857543094</v>
      </c>
      <c r="AS437" s="32" t="str">
        <f t="shared" si="369"/>
        <v>-0.0000166666666666667</v>
      </c>
      <c r="AT437" s="32" t="str">
        <f t="shared" si="370"/>
        <v>0.00330871061997861i</v>
      </c>
      <c r="AU437" s="32">
        <f t="shared" si="393"/>
        <v>3.30871061997861E-3</v>
      </c>
      <c r="AV437" s="32">
        <f t="shared" si="394"/>
        <v>1.5707963267948966</v>
      </c>
      <c r="AW437" s="32" t="str">
        <f t="shared" si="371"/>
        <v>1+3.36252010064954i</v>
      </c>
      <c r="AX437" s="32">
        <f t="shared" si="395"/>
        <v>3.5080680476969364</v>
      </c>
      <c r="AY437" s="32">
        <f t="shared" si="396"/>
        <v>1.2817302396094374</v>
      </c>
      <c r="AZ437" s="32" t="str">
        <f t="shared" si="372"/>
        <v>1+114.325683422084i</v>
      </c>
      <c r="BA437" s="32">
        <f t="shared" si="397"/>
        <v>114.33005680890119</v>
      </c>
      <c r="BB437" s="32">
        <f t="shared" si="398"/>
        <v>1.5620496089249765</v>
      </c>
      <c r="BC437" s="59" t="str">
        <f t="shared" si="399"/>
        <v>-0.0454184987700554+0.157757823981082i</v>
      </c>
      <c r="BD437" s="50">
        <f t="shared" si="400"/>
        <v>-15.694352509880662</v>
      </c>
      <c r="BE437" s="62">
        <f t="shared" si="401"/>
        <v>106.06111677754937</v>
      </c>
      <c r="BF437" s="59" t="str">
        <f t="shared" si="402"/>
        <v>-0.0112061267100639-0.0197713232841845i</v>
      </c>
      <c r="BG437" s="65">
        <f t="shared" si="403"/>
        <v>-32.869443889047169</v>
      </c>
      <c r="BH437" s="62">
        <f t="shared" si="404"/>
        <v>-119.54399572803247</v>
      </c>
      <c r="BI437" s="59" t="str">
        <f t="shared" si="409"/>
        <v>0.0603818303467209-0.0266189623385026i</v>
      </c>
      <c r="BJ437" s="65">
        <f t="shared" si="405"/>
        <v>-23.610582551058638</v>
      </c>
      <c r="BK437" s="62">
        <f t="shared" si="410"/>
        <v>-23.789991797881552</v>
      </c>
      <c r="BL437" s="50">
        <f t="shared" si="406"/>
        <v>-32.869443889047169</v>
      </c>
      <c r="BM437" s="62">
        <f t="shared" si="407"/>
        <v>-119.54399572803247</v>
      </c>
    </row>
    <row r="438" spans="14:65" x14ac:dyDescent="0.3">
      <c r="N438" s="11">
        <v>20</v>
      </c>
      <c r="O438" s="51">
        <f t="shared" si="408"/>
        <v>158489.31924611164</v>
      </c>
      <c r="P438" s="49" t="str">
        <f t="shared" si="360"/>
        <v>27.9103246607183</v>
      </c>
      <c r="Q438" s="18" t="str">
        <f t="shared" si="361"/>
        <v>1+489.167307925556i</v>
      </c>
      <c r="R438" s="18">
        <f t="shared" si="373"/>
        <v>489.16833006965578</v>
      </c>
      <c r="S438" s="18">
        <f t="shared" si="374"/>
        <v>1.5687520393072407</v>
      </c>
      <c r="T438" s="18" t="str">
        <f t="shared" si="362"/>
        <v>1+0.438159815294108i</v>
      </c>
      <c r="U438" s="18">
        <f t="shared" si="375"/>
        <v>1.0917802085303465</v>
      </c>
      <c r="V438" s="18">
        <f t="shared" si="376"/>
        <v>0.41296411956987683</v>
      </c>
      <c r="W438" s="32" t="str">
        <f t="shared" si="363"/>
        <v>1-5.77820182907493i</v>
      </c>
      <c r="X438" s="18">
        <f t="shared" si="377"/>
        <v>5.8640955293655361</v>
      </c>
      <c r="Y438" s="18">
        <f t="shared" si="378"/>
        <v>-1.3994295327959205</v>
      </c>
      <c r="Z438" s="32" t="str">
        <f t="shared" si="364"/>
        <v>0.481015200101325+2.64231190266462i</v>
      </c>
      <c r="AA438" s="18">
        <f t="shared" si="379"/>
        <v>2.685737852749527</v>
      </c>
      <c r="AB438" s="18">
        <f t="shared" si="380"/>
        <v>1.3907249132863717</v>
      </c>
      <c r="AC438" s="67" t="str">
        <f t="shared" si="381"/>
        <v>-0.094335607080339+0.0979807360552977i</v>
      </c>
      <c r="AD438" s="65">
        <f t="shared" si="382"/>
        <v>-17.328416198746162</v>
      </c>
      <c r="AE438" s="62">
        <f t="shared" si="383"/>
        <v>133.91415623666654</v>
      </c>
      <c r="AF438" s="50" t="str">
        <f t="shared" si="365"/>
        <v>79.1527877025864</v>
      </c>
      <c r="AG438" s="50" t="str">
        <f t="shared" si="366"/>
        <v>1+485.346256941165i</v>
      </c>
      <c r="AH438" s="50">
        <f t="shared" si="384"/>
        <v>485.34728713241964</v>
      </c>
      <c r="AI438" s="50">
        <f t="shared" si="385"/>
        <v>1.5687359450145895</v>
      </c>
      <c r="AJ438" s="50" t="str">
        <f t="shared" si="367"/>
        <v>1+0.438159815294108i</v>
      </c>
      <c r="AK438" s="50">
        <f t="shared" si="386"/>
        <v>1.0917802085303465</v>
      </c>
      <c r="AL438" s="50">
        <f t="shared" si="387"/>
        <v>0.41296411956987683</v>
      </c>
      <c r="AM438" s="50" t="str">
        <f t="shared" si="368"/>
        <v>1-2.02155220199653i</v>
      </c>
      <c r="AN438" s="50">
        <f t="shared" si="388"/>
        <v>2.2553654483025629</v>
      </c>
      <c r="AO438" s="50">
        <f t="shared" si="389"/>
        <v>-1.1114222899957034</v>
      </c>
      <c r="AP438" s="59" t="str">
        <f t="shared" si="390"/>
        <v>-0.257593107794327-0.308070752729344i</v>
      </c>
      <c r="AQ438" s="50">
        <f t="shared" si="391"/>
        <v>-7.9246850266127282</v>
      </c>
      <c r="AR438" s="62">
        <f t="shared" si="392"/>
        <v>-129.90065415163173</v>
      </c>
      <c r="AS438" s="32" t="str">
        <f t="shared" si="369"/>
        <v>-0.0000166666666666667</v>
      </c>
      <c r="AT438" s="32" t="str">
        <f t="shared" si="370"/>
        <v>0.00338578039090902i</v>
      </c>
      <c r="AU438" s="32">
        <f t="shared" si="393"/>
        <v>3.3857803909090201E-3</v>
      </c>
      <c r="AV438" s="32">
        <f t="shared" si="394"/>
        <v>1.5707963267948966</v>
      </c>
      <c r="AW438" s="32" t="str">
        <f t="shared" si="371"/>
        <v>1+3.44084325539785i</v>
      </c>
      <c r="AX438" s="32">
        <f t="shared" si="395"/>
        <v>3.5832111727076419</v>
      </c>
      <c r="AY438" s="32">
        <f t="shared" si="396"/>
        <v>1.2879611652657343</v>
      </c>
      <c r="AZ438" s="32" t="str">
        <f t="shared" si="372"/>
        <v>1+116.988670683527i</v>
      </c>
      <c r="BA438" s="32">
        <f t="shared" si="397"/>
        <v>116.99294452358541</v>
      </c>
      <c r="BB438" s="32">
        <f t="shared" si="398"/>
        <v>1.5622486987206827</v>
      </c>
      <c r="BC438" s="59" t="str">
        <f t="shared" si="399"/>
        <v>-0.0435335402116414+0.154714636272492i</v>
      </c>
      <c r="BD438" s="50">
        <f t="shared" si="400"/>
        <v>-15.878455355637682</v>
      </c>
      <c r="BE438" s="62">
        <f t="shared" si="401"/>
        <v>105.71551804002189</v>
      </c>
      <c r="BF438" s="59" t="str">
        <f t="shared" si="402"/>
        <v>-0.0110522909962849-0.0188605474500089i</v>
      </c>
      <c r="BG438" s="65">
        <f t="shared" si="403"/>
        <v>-33.206871554383838</v>
      </c>
      <c r="BH438" s="62">
        <f t="shared" si="404"/>
        <v>-120.37032572331159</v>
      </c>
      <c r="BI438" s="59" t="str">
        <f t="shared" si="409"/>
        <v>0.0588769943711193-0.0264420134767266i</v>
      </c>
      <c r="BJ438" s="65">
        <f t="shared" si="405"/>
        <v>-23.803140382250405</v>
      </c>
      <c r="BK438" s="62">
        <f t="shared" si="410"/>
        <v>-24.185136111609847</v>
      </c>
      <c r="BL438" s="50">
        <f t="shared" si="406"/>
        <v>-33.206871554383838</v>
      </c>
      <c r="BM438" s="62">
        <f t="shared" si="407"/>
        <v>-120.37032572331159</v>
      </c>
    </row>
    <row r="439" spans="14:65" x14ac:dyDescent="0.3">
      <c r="N439" s="11">
        <v>21</v>
      </c>
      <c r="O439" s="51">
        <f t="shared" si="408"/>
        <v>162181.00973589328</v>
      </c>
      <c r="P439" s="49" t="str">
        <f t="shared" si="360"/>
        <v>27.9103246607183</v>
      </c>
      <c r="Q439" s="18" t="str">
        <f t="shared" si="361"/>
        <v>1+500.561478253061i</v>
      </c>
      <c r="R439" s="18">
        <f t="shared" si="373"/>
        <v>500.56247713036748</v>
      </c>
      <c r="S439" s="18">
        <f t="shared" si="374"/>
        <v>1.568798572846372</v>
      </c>
      <c r="T439" s="18" t="str">
        <f t="shared" si="362"/>
        <v>1+0.448365868489489i</v>
      </c>
      <c r="U439" s="18">
        <f t="shared" si="375"/>
        <v>1.0959160332919369</v>
      </c>
      <c r="V439" s="18">
        <f t="shared" si="376"/>
        <v>0.42149415031008819</v>
      </c>
      <c r="W439" s="32" t="str">
        <f t="shared" si="363"/>
        <v>1-5.91279343967619i</v>
      </c>
      <c r="X439" s="18">
        <f t="shared" si="377"/>
        <v>5.9967596466990241</v>
      </c>
      <c r="Y439" s="18">
        <f t="shared" si="378"/>
        <v>-1.4032569109305966</v>
      </c>
      <c r="Z439" s="32" t="str">
        <f t="shared" si="364"/>
        <v>0.456556200021618+2.70385925341672i</v>
      </c>
      <c r="AA439" s="18">
        <f t="shared" si="379"/>
        <v>2.7421339183317439</v>
      </c>
      <c r="AB439" s="18">
        <f t="shared" si="380"/>
        <v>1.4035206406042962</v>
      </c>
      <c r="AC439" s="67" t="str">
        <f t="shared" si="381"/>
        <v>-0.0918981275544411+0.0970173180040981i</v>
      </c>
      <c r="AD439" s="65">
        <f t="shared" si="382"/>
        <v>-17.481762807673007</v>
      </c>
      <c r="AE439" s="62">
        <f t="shared" si="383"/>
        <v>133.4477910369645</v>
      </c>
      <c r="AF439" s="50" t="str">
        <f t="shared" si="365"/>
        <v>79.1527877025864</v>
      </c>
      <c r="AG439" s="50" t="str">
        <f t="shared" si="366"/>
        <v>1+496.651423557586i</v>
      </c>
      <c r="AH439" s="50">
        <f t="shared" si="384"/>
        <v>496.65243029887273</v>
      </c>
      <c r="AI439" s="50">
        <f t="shared" si="385"/>
        <v>1.5687828449015664</v>
      </c>
      <c r="AJ439" s="50" t="str">
        <f t="shared" si="367"/>
        <v>1+0.448365868489489i</v>
      </c>
      <c r="AK439" s="50">
        <f t="shared" si="386"/>
        <v>1.0959160332919369</v>
      </c>
      <c r="AL439" s="50">
        <f t="shared" si="387"/>
        <v>0.42149415031008819</v>
      </c>
      <c r="AM439" s="50" t="str">
        <f t="shared" si="368"/>
        <v>1-2.06864020183276i</v>
      </c>
      <c r="AN439" s="50">
        <f t="shared" si="388"/>
        <v>2.2976667044283605</v>
      </c>
      <c r="AO439" s="50">
        <f t="shared" si="389"/>
        <v>-1.1205091171285302</v>
      </c>
      <c r="AP439" s="59" t="str">
        <f t="shared" si="390"/>
        <v>-0.257608280261581-0.30771121493425i</v>
      </c>
      <c r="AQ439" s="50">
        <f t="shared" si="391"/>
        <v>-7.9304407667939198</v>
      </c>
      <c r="AR439" s="62">
        <f t="shared" si="392"/>
        <v>-129.93524340056032</v>
      </c>
      <c r="AS439" s="32" t="str">
        <f t="shared" si="369"/>
        <v>-0.0000166666666666667</v>
      </c>
      <c r="AT439" s="32" t="str">
        <f t="shared" si="370"/>
        <v>0.00346464534741879i</v>
      </c>
      <c r="AU439" s="32">
        <f t="shared" si="393"/>
        <v>3.4646453474187901E-3</v>
      </c>
      <c r="AV439" s="32">
        <f t="shared" si="394"/>
        <v>1.5707963267948966</v>
      </c>
      <c r="AW439" s="32" t="str">
        <f t="shared" si="371"/>
        <v>1+3.5209907907851i</v>
      </c>
      <c r="AX439" s="32">
        <f t="shared" si="395"/>
        <v>3.6602426352351949</v>
      </c>
      <c r="AY439" s="32">
        <f t="shared" si="396"/>
        <v>1.2940721415165808</v>
      </c>
      <c r="AZ439" s="32" t="str">
        <f t="shared" si="372"/>
        <v>1+119.713686886693i</v>
      </c>
      <c r="BA439" s="32">
        <f t="shared" si="397"/>
        <v>119.71786344570792</v>
      </c>
      <c r="BB439" s="32">
        <f t="shared" si="398"/>
        <v>1.5624432573341329</v>
      </c>
      <c r="BC439" s="59" t="str">
        <f t="shared" si="399"/>
        <v>-0.0417204555929808+0.151707837108283i</v>
      </c>
      <c r="BD439" s="50">
        <f t="shared" si="400"/>
        <v>-16.0632190736086</v>
      </c>
      <c r="BE439" s="62">
        <f t="shared" si="401"/>
        <v>105.37653227956243</v>
      </c>
      <c r="BF439" s="59" t="str">
        <f t="shared" si="402"/>
        <v>-0.0108842557267351-0.0179892728731254i</v>
      </c>
      <c r="BG439" s="65">
        <f t="shared" si="403"/>
        <v>-33.544981881281608</v>
      </c>
      <c r="BH439" s="62">
        <f t="shared" si="404"/>
        <v>-121.17567668347321</v>
      </c>
      <c r="BI439" s="59" t="str">
        <f t="shared" si="409"/>
        <v>0.0574297376886745-0.0262433429415423i</v>
      </c>
      <c r="BJ439" s="65">
        <f t="shared" si="405"/>
        <v>-23.993659840402518</v>
      </c>
      <c r="BK439" s="62">
        <f t="shared" si="410"/>
        <v>-24.558711120997923</v>
      </c>
      <c r="BL439" s="50">
        <f t="shared" si="406"/>
        <v>-33.544981881281608</v>
      </c>
      <c r="BM439" s="62">
        <f t="shared" si="407"/>
        <v>-121.17567668347321</v>
      </c>
    </row>
    <row r="440" spans="14:65" x14ac:dyDescent="0.3">
      <c r="N440" s="11">
        <v>22</v>
      </c>
      <c r="O440" s="51">
        <f t="shared" si="408"/>
        <v>165958.69074375604</v>
      </c>
      <c r="P440" s="49" t="str">
        <f t="shared" si="360"/>
        <v>27.9103246607183</v>
      </c>
      <c r="Q440" s="18" t="str">
        <f t="shared" si="361"/>
        <v>1+512.221052902054i</v>
      </c>
      <c r="R440" s="18">
        <f t="shared" si="373"/>
        <v>512.22202904218079</v>
      </c>
      <c r="S440" s="18">
        <f t="shared" si="374"/>
        <v>1.568844047161194</v>
      </c>
      <c r="T440" s="18" t="str">
        <f t="shared" si="362"/>
        <v>1+0.45880965120317i</v>
      </c>
      <c r="U440" s="18">
        <f t="shared" si="375"/>
        <v>1.1002301104937886</v>
      </c>
      <c r="V440" s="18">
        <f t="shared" si="376"/>
        <v>0.43015583661436813</v>
      </c>
      <c r="W440" s="32" t="str">
        <f t="shared" si="363"/>
        <v>1-6.05052009162428i</v>
      </c>
      <c r="X440" s="18">
        <f t="shared" si="377"/>
        <v>6.1326008657949602</v>
      </c>
      <c r="Y440" s="18">
        <f t="shared" si="378"/>
        <v>-1.4070019612982119</v>
      </c>
      <c r="Z440" s="32" t="str">
        <f t="shared" si="364"/>
        <v>0.430944482781371+2.76684022613481i</v>
      </c>
      <c r="AA440" s="18">
        <f t="shared" si="379"/>
        <v>2.8001996329185941</v>
      </c>
      <c r="AB440" s="18">
        <f t="shared" si="380"/>
        <v>1.4162844886959653</v>
      </c>
      <c r="AC440" s="67" t="str">
        <f t="shared" si="381"/>
        <v>-0.0895350776482669+0.0960294890726932i</v>
      </c>
      <c r="AD440" s="65">
        <f t="shared" si="382"/>
        <v>-17.635082636992387</v>
      </c>
      <c r="AE440" s="62">
        <f t="shared" si="383"/>
        <v>132.99557341322352</v>
      </c>
      <c r="AF440" s="50" t="str">
        <f t="shared" si="365"/>
        <v>79.1527877025864</v>
      </c>
      <c r="AG440" s="50" t="str">
        <f t="shared" si="366"/>
        <v>1+508.219921332741i</v>
      </c>
      <c r="AH440" s="50">
        <f t="shared" si="384"/>
        <v>508.22090515784328</v>
      </c>
      <c r="AI440" s="50">
        <f t="shared" si="385"/>
        <v>1.5688286772253381</v>
      </c>
      <c r="AJ440" s="50" t="str">
        <f t="shared" si="367"/>
        <v>1+0.45880965120317i</v>
      </c>
      <c r="AK440" s="50">
        <f t="shared" si="386"/>
        <v>1.1002301104937886</v>
      </c>
      <c r="AL440" s="50">
        <f t="shared" si="387"/>
        <v>0.43015583661436813</v>
      </c>
      <c r="AM440" s="50" t="str">
        <f t="shared" si="368"/>
        <v>1-2.11682502208572i</v>
      </c>
      <c r="AN440" s="50">
        <f t="shared" si="388"/>
        <v>2.3411424933412763</v>
      </c>
      <c r="AO440" s="50">
        <f t="shared" si="389"/>
        <v>-1.1294669132286297</v>
      </c>
      <c r="AP440" s="59" t="str">
        <f t="shared" si="390"/>
        <v>-0.257622769860732-0.307514826947726i</v>
      </c>
      <c r="AQ440" s="50">
        <f t="shared" si="391"/>
        <v>-7.9334987252652587</v>
      </c>
      <c r="AR440" s="62">
        <f t="shared" si="392"/>
        <v>-129.95483524085054</v>
      </c>
      <c r="AS440" s="32" t="str">
        <f t="shared" si="369"/>
        <v>-0.0000166666666666667</v>
      </c>
      <c r="AT440" s="32" t="str">
        <f t="shared" si="370"/>
        <v>0.00354534730475176i</v>
      </c>
      <c r="AU440" s="32">
        <f t="shared" si="393"/>
        <v>3.5453473047517602E-3</v>
      </c>
      <c r="AV440" s="32">
        <f t="shared" si="394"/>
        <v>1.5707963267948966</v>
      </c>
      <c r="AW440" s="32" t="str">
        <f t="shared" si="371"/>
        <v>1+3.60300520209548i</v>
      </c>
      <c r="AX440" s="32">
        <f t="shared" si="395"/>
        <v>3.739203991002241</v>
      </c>
      <c r="AY440" s="32">
        <f t="shared" si="396"/>
        <v>1.3000645821068848</v>
      </c>
      <c r="AZ440" s="32" t="str">
        <f t="shared" si="372"/>
        <v>1+122.502176871246i</v>
      </c>
      <c r="BA440" s="32">
        <f t="shared" si="397"/>
        <v>122.5062583633752</v>
      </c>
      <c r="BB440" s="32">
        <f t="shared" si="398"/>
        <v>1.5626333878639282</v>
      </c>
      <c r="BC440" s="59" t="str">
        <f t="shared" si="399"/>
        <v>-0.0399770253971734+0.148738427364003i</v>
      </c>
      <c r="BD440" s="50">
        <f t="shared" si="400"/>
        <v>-16.248618374128622</v>
      </c>
      <c r="BE440" s="62">
        <f t="shared" si="401"/>
        <v>105.04408440166883</v>
      </c>
      <c r="BF440" s="59" t="str">
        <f t="shared" si="402"/>
        <v>-0.0107039291121584-0.0171562799668538i</v>
      </c>
      <c r="BG440" s="65">
        <f t="shared" si="403"/>
        <v>-33.883701011121005</v>
      </c>
      <c r="BH440" s="62">
        <f t="shared" si="404"/>
        <v>-121.96034218510749</v>
      </c>
      <c r="BI440" s="59" t="str">
        <f t="shared" si="409"/>
        <v>0.0560382637649309-0.0260248775953471i</v>
      </c>
      <c r="BJ440" s="65">
        <f t="shared" si="405"/>
        <v>-24.182117099393885</v>
      </c>
      <c r="BK440" s="62">
        <f t="shared" si="410"/>
        <v>-24.910750839181702</v>
      </c>
      <c r="BL440" s="50">
        <f t="shared" si="406"/>
        <v>-33.883701011121005</v>
      </c>
      <c r="BM440" s="62">
        <f t="shared" si="407"/>
        <v>-121.96034218510749</v>
      </c>
    </row>
    <row r="441" spans="14:65" x14ac:dyDescent="0.3">
      <c r="N441" s="11">
        <v>23</v>
      </c>
      <c r="O441" s="51">
        <f t="shared" si="408"/>
        <v>169824.36524617471</v>
      </c>
      <c r="P441" s="49" t="str">
        <f t="shared" si="360"/>
        <v>27.9103246607183</v>
      </c>
      <c r="Q441" s="18" t="str">
        <f t="shared" si="361"/>
        <v>1+524.15221393334i</v>
      </c>
      <c r="R441" s="18">
        <f t="shared" si="373"/>
        <v>524.15316785384573</v>
      </c>
      <c r="S441" s="18">
        <f t="shared" si="374"/>
        <v>1.5688884863620374</v>
      </c>
      <c r="T441" s="18" t="str">
        <f t="shared" si="362"/>
        <v>1+0.469496700866979i</v>
      </c>
      <c r="U441" s="18">
        <f t="shared" si="375"/>
        <v>1.1047294474779685</v>
      </c>
      <c r="V441" s="18">
        <f t="shared" si="376"/>
        <v>0.43894857125698833</v>
      </c>
      <c r="W441" s="32" t="str">
        <f t="shared" si="363"/>
        <v>1-6.19145480941301i</v>
      </c>
      <c r="X441" s="18">
        <f t="shared" si="377"/>
        <v>6.271691371313123</v>
      </c>
      <c r="Y441" s="18">
        <f t="shared" si="378"/>
        <v>-1.4106662491554212</v>
      </c>
      <c r="Z441" s="32" t="str">
        <f t="shared" si="364"/>
        <v>0.404125722494507+2.83128821416424i</v>
      </c>
      <c r="AA441" s="18">
        <f t="shared" si="379"/>
        <v>2.8599843620633729</v>
      </c>
      <c r="AB441" s="18">
        <f t="shared" si="380"/>
        <v>1.4290183514389443</v>
      </c>
      <c r="AC441" s="67" t="str">
        <f t="shared" si="381"/>
        <v>-0.087244934926701+0.0950202869636749i</v>
      </c>
      <c r="AD441" s="65">
        <f t="shared" si="382"/>
        <v>-17.788327514827007</v>
      </c>
      <c r="AE441" s="62">
        <f t="shared" si="383"/>
        <v>132.55726899876029</v>
      </c>
      <c r="AF441" s="50" t="str">
        <f t="shared" si="365"/>
        <v>79.1527877025864</v>
      </c>
      <c r="AG441" s="50" t="str">
        <f t="shared" si="366"/>
        <v>1+520.057884037268i</v>
      </c>
      <c r="AH441" s="50">
        <f t="shared" si="384"/>
        <v>520.05884546781874</v>
      </c>
      <c r="AI441" s="50">
        <f t="shared" si="385"/>
        <v>1.5688734662860386</v>
      </c>
      <c r="AJ441" s="50" t="str">
        <f t="shared" si="367"/>
        <v>1+0.469496700866979i</v>
      </c>
      <c r="AK441" s="50">
        <f t="shared" si="386"/>
        <v>1.1047294474779685</v>
      </c>
      <c r="AL441" s="50">
        <f t="shared" si="387"/>
        <v>0.43894857125698833</v>
      </c>
      <c r="AM441" s="50" t="str">
        <f t="shared" si="368"/>
        <v>1-2.16613221098486i</v>
      </c>
      <c r="AN441" s="50">
        <f t="shared" si="388"/>
        <v>2.3858182570066306</v>
      </c>
      <c r="AO441" s="50">
        <f t="shared" si="389"/>
        <v>-1.1382946765029196</v>
      </c>
      <c r="AP441" s="59" t="str">
        <f t="shared" si="390"/>
        <v>-0.257636607325431-0.307481484825849i</v>
      </c>
      <c r="AQ441" s="50">
        <f t="shared" si="391"/>
        <v>-7.9338596851696934</v>
      </c>
      <c r="AR441" s="62">
        <f t="shared" si="392"/>
        <v>-129.95940845775388</v>
      </c>
      <c r="AS441" s="32" t="str">
        <f t="shared" si="369"/>
        <v>-0.0000166666666666667</v>
      </c>
      <c r="AT441" s="32" t="str">
        <f t="shared" si="370"/>
        <v>0.00362792905215394i</v>
      </c>
      <c r="AU441" s="32">
        <f t="shared" si="393"/>
        <v>3.6279290521539398E-3</v>
      </c>
      <c r="AV441" s="32">
        <f t="shared" si="394"/>
        <v>1.5707963267948966</v>
      </c>
      <c r="AW441" s="32" t="str">
        <f t="shared" si="371"/>
        <v>1+3.68692997445539i</v>
      </c>
      <c r="AX441" s="32">
        <f t="shared" si="395"/>
        <v>3.8201377771668943</v>
      </c>
      <c r="AY441" s="32">
        <f t="shared" si="396"/>
        <v>1.3059399421513873</v>
      </c>
      <c r="AZ441" s="32" t="str">
        <f t="shared" si="372"/>
        <v>1+125.355619131483i</v>
      </c>
      <c r="BA441" s="32">
        <f t="shared" si="397"/>
        <v>125.35960772049913</v>
      </c>
      <c r="BB441" s="32">
        <f t="shared" si="398"/>
        <v>1.5628191910647755</v>
      </c>
      <c r="BC441" s="59" t="str">
        <f t="shared" si="399"/>
        <v>-0.0383010553156399+0.145807298036612i</v>
      </c>
      <c r="BD441" s="50">
        <f t="shared" si="400"/>
        <v>-16.434628755961118</v>
      </c>
      <c r="BE441" s="62">
        <f t="shared" si="401"/>
        <v>104.71809680722765</v>
      </c>
      <c r="BF441" s="59" t="str">
        <f t="shared" si="402"/>
        <v>-0.0105130782222-0.016360325496146i</v>
      </c>
      <c r="BG441" s="65">
        <f t="shared" si="403"/>
        <v>-34.222956270788117</v>
      </c>
      <c r="BH441" s="62">
        <f t="shared" si="404"/>
        <v>-122.72463419401215</v>
      </c>
      <c r="BI441" s="59" t="str">
        <f t="shared" si="409"/>
        <v>0.0547007984472477-0.0257884322305908i</v>
      </c>
      <c r="BJ441" s="65">
        <f t="shared" si="405"/>
        <v>-24.368488441130808</v>
      </c>
      <c r="BK441" s="62">
        <f t="shared" si="410"/>
        <v>-25.241311650526274</v>
      </c>
      <c r="BL441" s="50">
        <f t="shared" si="406"/>
        <v>-34.222956270788117</v>
      </c>
      <c r="BM441" s="62">
        <f t="shared" si="407"/>
        <v>-122.72463419401215</v>
      </c>
    </row>
    <row r="442" spans="14:65" x14ac:dyDescent="0.3">
      <c r="N442" s="11">
        <v>24</v>
      </c>
      <c r="O442" s="51">
        <f t="shared" si="408"/>
        <v>173780.0828749378</v>
      </c>
      <c r="P442" s="49" t="str">
        <f t="shared" si="360"/>
        <v>27.9103246607183</v>
      </c>
      <c r="Q442" s="18" t="str">
        <f t="shared" si="361"/>
        <v>1+536.361287406431i</v>
      </c>
      <c r="R442" s="18">
        <f t="shared" si="373"/>
        <v>536.3622196130932</v>
      </c>
      <c r="S442" s="18">
        <f t="shared" si="374"/>
        <v>1.5689319140104527</v>
      </c>
      <c r="T442" s="18" t="str">
        <f t="shared" si="362"/>
        <v>1+0.480432683896115i</v>
      </c>
      <c r="U442" s="18">
        <f t="shared" si="375"/>
        <v>1.1094212742487068</v>
      </c>
      <c r="V442" s="18">
        <f t="shared" si="376"/>
        <v>0.44787157695716612</v>
      </c>
      <c r="W442" s="32" t="str">
        <f t="shared" si="363"/>
        <v>1-6.33567231849533i</v>
      </c>
      <c r="X442" s="18">
        <f t="shared" si="377"/>
        <v>6.4141050605168601</v>
      </c>
      <c r="Y442" s="18">
        <f t="shared" si="378"/>
        <v>-1.4142513235531669</v>
      </c>
      <c r="Z442" s="32" t="str">
        <f t="shared" si="364"/>
        <v>0.376043032974787+2.89723738868137i</v>
      </c>
      <c r="AA442" s="18">
        <f t="shared" si="379"/>
        <v>2.9215394655938023</v>
      </c>
      <c r="AB442" s="18">
        <f t="shared" si="380"/>
        <v>1.4417242428383592</v>
      </c>
      <c r="AC442" s="67" t="str">
        <f t="shared" si="381"/>
        <v>-0.0850261102064698+0.0939926040489048i</v>
      </c>
      <c r="AD442" s="65">
        <f t="shared" si="382"/>
        <v>-17.941449789241069</v>
      </c>
      <c r="AE442" s="62">
        <f t="shared" si="383"/>
        <v>132.13262776061387</v>
      </c>
      <c r="AF442" s="50" t="str">
        <f t="shared" si="365"/>
        <v>79.1527877025864</v>
      </c>
      <c r="AG442" s="50" t="str">
        <f t="shared" si="366"/>
        <v>1+532.171588315695i</v>
      </c>
      <c r="AH442" s="50">
        <f t="shared" si="384"/>
        <v>532.17252786145355</v>
      </c>
      <c r="AI442" s="50">
        <f t="shared" si="385"/>
        <v>1.5689172358307013</v>
      </c>
      <c r="AJ442" s="50" t="str">
        <f t="shared" si="367"/>
        <v>1+0.480432683896115i</v>
      </c>
      <c r="AK442" s="50">
        <f t="shared" si="386"/>
        <v>1.1094212742487068</v>
      </c>
      <c r="AL442" s="50">
        <f t="shared" si="387"/>
        <v>0.44787157695716612</v>
      </c>
      <c r="AM442" s="50" t="str">
        <f t="shared" si="368"/>
        <v>1-2.21658791185443i</v>
      </c>
      <c r="AN442" s="50">
        <f t="shared" si="388"/>
        <v>2.4317199614633225</v>
      </c>
      <c r="AO442" s="50">
        <f t="shared" si="389"/>
        <v>-1.1469915829933628</v>
      </c>
      <c r="AP442" s="59" t="str">
        <f t="shared" si="390"/>
        <v>-0.25764982200613-0.307611171061528i</v>
      </c>
      <c r="AQ442" s="50">
        <f t="shared" si="391"/>
        <v>-7.9315237379989521</v>
      </c>
      <c r="AR442" s="62">
        <f t="shared" si="392"/>
        <v>-129.94896173746511</v>
      </c>
      <c r="AS442" s="32" t="str">
        <f t="shared" si="369"/>
        <v>-0.0000166666666666667</v>
      </c>
      <c r="AT442" s="32" t="str">
        <f t="shared" si="370"/>
        <v>0.00371243437556088i</v>
      </c>
      <c r="AU442" s="32">
        <f t="shared" si="393"/>
        <v>3.7124343755608798E-3</v>
      </c>
      <c r="AV442" s="32">
        <f t="shared" si="394"/>
        <v>1.5707963267948966</v>
      </c>
      <c r="AW442" s="32" t="str">
        <f t="shared" si="371"/>
        <v>1+3.77280960589007i</v>
      </c>
      <c r="AX442" s="32">
        <f t="shared" si="395"/>
        <v>3.903087537103977</v>
      </c>
      <c r="AY442" s="32">
        <f t="shared" si="396"/>
        <v>1.3116997136592214</v>
      </c>
      <c r="AZ442" s="32" t="str">
        <f t="shared" si="372"/>
        <v>1+128.275526600263i</v>
      </c>
      <c r="BA442" s="32">
        <f t="shared" si="397"/>
        <v>128.2794244006995</v>
      </c>
      <c r="BB442" s="32">
        <f t="shared" si="398"/>
        <v>1.5630007654006466</v>
      </c>
      <c r="BC442" s="59" t="str">
        <f t="shared" si="399"/>
        <v>-0.0366903800274429+0.142915235391671i</v>
      </c>
      <c r="BD442" s="50">
        <f t="shared" si="400"/>
        <v>-16.621226496649331</v>
      </c>
      <c r="BE442" s="62">
        <f t="shared" si="401"/>
        <v>104.3984896519824</v>
      </c>
      <c r="BF442" s="59" t="str">
        <f t="shared" si="402"/>
        <v>-0.0103133348369947-0.0156001509169191i</v>
      </c>
      <c r="BG442" s="65">
        <f t="shared" si="403"/>
        <v>-34.562676285890404</v>
      </c>
      <c r="BH442" s="62">
        <f t="shared" si="404"/>
        <v>-123.46888258740356</v>
      </c>
      <c r="BI442" s="59" t="str">
        <f t="shared" si="409"/>
        <v>0.0534155928047738-0.025535714193694i</v>
      </c>
      <c r="BJ442" s="65">
        <f t="shared" si="405"/>
        <v>-24.552750234648283</v>
      </c>
      <c r="BK442" s="62">
        <f t="shared" si="410"/>
        <v>-25.55047208548271</v>
      </c>
      <c r="BL442" s="50">
        <f t="shared" si="406"/>
        <v>-34.562676285890404</v>
      </c>
      <c r="BM442" s="62">
        <f t="shared" si="407"/>
        <v>-123.46888258740356</v>
      </c>
    </row>
    <row r="443" spans="14:65" x14ac:dyDescent="0.3">
      <c r="N443" s="11">
        <v>25</v>
      </c>
      <c r="O443" s="51">
        <f t="shared" si="408"/>
        <v>177827.94100389251</v>
      </c>
      <c r="P443" s="49" t="str">
        <f t="shared" si="360"/>
        <v>27.9103246607183</v>
      </c>
      <c r="Q443" s="18" t="str">
        <f t="shared" si="361"/>
        <v>1+548.854746733687i</v>
      </c>
      <c r="R443" s="18">
        <f t="shared" si="373"/>
        <v>548.85565772077052</v>
      </c>
      <c r="S443" s="18">
        <f t="shared" si="374"/>
        <v>1.5689743531316978</v>
      </c>
      <c r="T443" s="18" t="str">
        <f t="shared" si="362"/>
        <v>1+0.491623398693531i</v>
      </c>
      <c r="U443" s="18">
        <f t="shared" si="375"/>
        <v>1.1143130467435882</v>
      </c>
      <c r="V443" s="18">
        <f t="shared" si="376"/>
        <v>0.45692390020921453</v>
      </c>
      <c r="W443" s="32" t="str">
        <f t="shared" si="363"/>
        <v>1-6.48324908490345i</v>
      </c>
      <c r="X443" s="18">
        <f t="shared" si="377"/>
        <v>6.5599175830875662</v>
      </c>
      <c r="Y443" s="18">
        <f t="shared" si="378"/>
        <v>-1.4177587165325198</v>
      </c>
      <c r="Z443" s="32" t="str">
        <f t="shared" si="364"/>
        <v>0.346636847072641+2.96472271681145i</v>
      </c>
      <c r="AA443" s="18">
        <f t="shared" si="379"/>
        <v>2.9849184061421719</v>
      </c>
      <c r="AB443" s="18">
        <f t="shared" si="380"/>
        <v>1.4544042875663188</v>
      </c>
      <c r="AC443" s="67" t="str">
        <f t="shared" si="381"/>
        <v>-0.0828769562143905+0.0929491884053539i</v>
      </c>
      <c r="AD443" s="65">
        <f t="shared" si="382"/>
        <v>-18.094402451356931</v>
      </c>
      <c r="AE443" s="62">
        <f t="shared" si="383"/>
        <v>131.72138423345092</v>
      </c>
      <c r="AF443" s="50" t="str">
        <f t="shared" si="365"/>
        <v>79.1527877025864</v>
      </c>
      <c r="AG443" s="50" t="str">
        <f t="shared" si="366"/>
        <v>1+544.567457014371i</v>
      </c>
      <c r="AH443" s="50">
        <f t="shared" si="384"/>
        <v>544.56837517349356</v>
      </c>
      <c r="AI443" s="50">
        <f t="shared" si="385"/>
        <v>1.5689600090658473</v>
      </c>
      <c r="AJ443" s="50" t="str">
        <f t="shared" si="367"/>
        <v>1+0.491623398693531i</v>
      </c>
      <c r="AK443" s="50">
        <f t="shared" si="386"/>
        <v>1.1143130467435882</v>
      </c>
      <c r="AL443" s="50">
        <f t="shared" si="387"/>
        <v>0.45692390020921453</v>
      </c>
      <c r="AM443" s="50" t="str">
        <f t="shared" si="368"/>
        <v>1-2.26821887697488i</v>
      </c>
      <c r="AN443" s="50">
        <f t="shared" si="388"/>
        <v>2.4788741141625534</v>
      </c>
      <c r="AO443" s="50">
        <f t="shared" si="389"/>
        <v>-1.1555569804763237</v>
      </c>
      <c r="AP443" s="59" t="str">
        <f t="shared" si="390"/>
        <v>-0.257662441932332-0.307903954576019i</v>
      </c>
      <c r="AQ443" s="50">
        <f t="shared" si="391"/>
        <v>-7.9264902822584302</v>
      </c>
      <c r="AR443" s="62">
        <f t="shared" si="392"/>
        <v>-129.92351367181041</v>
      </c>
      <c r="AS443" s="32" t="str">
        <f t="shared" si="369"/>
        <v>-0.0000166666666666667</v>
      </c>
      <c r="AT443" s="32" t="str">
        <f t="shared" si="370"/>
        <v>0.00379890808081363i</v>
      </c>
      <c r="AU443" s="32">
        <f t="shared" si="393"/>
        <v>3.7989080808136298E-3</v>
      </c>
      <c r="AV443" s="32">
        <f t="shared" si="394"/>
        <v>1.5707963267948966</v>
      </c>
      <c r="AW443" s="32" t="str">
        <f t="shared" si="371"/>
        <v>1+3.86068963091684i</v>
      </c>
      <c r="AX443" s="32">
        <f t="shared" si="395"/>
        <v>3.9880978456237517</v>
      </c>
      <c r="AY443" s="32">
        <f t="shared" si="396"/>
        <v>1.3173454212711488</v>
      </c>
      <c r="AZ443" s="32" t="str">
        <f t="shared" si="372"/>
        <v>1+131.263447451173i</v>
      </c>
      <c r="BA443" s="32">
        <f t="shared" si="397"/>
        <v>131.26725652944398</v>
      </c>
      <c r="BB443" s="32">
        <f t="shared" si="398"/>
        <v>1.5631782070967386</v>
      </c>
      <c r="BC443" s="59" t="str">
        <f t="shared" si="399"/>
        <v>-0.0351428665549044+0.140062926078277i</v>
      </c>
      <c r="BD443" s="50">
        <f t="shared" si="400"/>
        <v>-16.80838864159039</v>
      </c>
      <c r="BE443" s="62">
        <f t="shared" si="401"/>
        <v>104.08518109374977</v>
      </c>
      <c r="BF443" s="59" t="str">
        <f t="shared" si="402"/>
        <v>-0.0101062014919359-0.0148744899163648i</v>
      </c>
      <c r="BG443" s="65">
        <f t="shared" si="403"/>
        <v>-34.902791092947332</v>
      </c>
      <c r="BH443" s="62">
        <f t="shared" si="404"/>
        <v>-124.1934346727992</v>
      </c>
      <c r="BI443" s="59" t="str">
        <f t="shared" si="409"/>
        <v>0.0521809256420289-0.0252683279701242i</v>
      </c>
      <c r="BJ443" s="65">
        <f t="shared" si="405"/>
        <v>-24.734878923848814</v>
      </c>
      <c r="BK443" s="62">
        <f t="shared" si="410"/>
        <v>-25.838332578060644</v>
      </c>
      <c r="BL443" s="50">
        <f t="shared" si="406"/>
        <v>-34.902791092947332</v>
      </c>
      <c r="BM443" s="62">
        <f t="shared" si="407"/>
        <v>-124.1934346727992</v>
      </c>
    </row>
    <row r="444" spans="14:65" x14ac:dyDescent="0.3">
      <c r="N444" s="11">
        <v>26</v>
      </c>
      <c r="O444" s="51">
        <f t="shared" si="408"/>
        <v>181970.08586099857</v>
      </c>
      <c r="P444" s="49" t="str">
        <f t="shared" si="360"/>
        <v>27.9103246607183</v>
      </c>
      <c r="Q444" s="18" t="str">
        <f t="shared" si="361"/>
        <v>1+561.639216112606i</v>
      </c>
      <c r="R444" s="18">
        <f t="shared" si="373"/>
        <v>561.64010636312526</v>
      </c>
      <c r="S444" s="18">
        <f t="shared" si="374"/>
        <v>1.5690158262269451</v>
      </c>
      <c r="T444" s="18" t="str">
        <f t="shared" si="362"/>
        <v>1+0.503074778724334i</v>
      </c>
      <c r="U444" s="18">
        <f t="shared" si="375"/>
        <v>1.1194124498988465</v>
      </c>
      <c r="V444" s="18">
        <f t="shared" si="376"/>
        <v>0.46610440538912584</v>
      </c>
      <c r="W444" s="32" t="str">
        <f t="shared" si="363"/>
        <v>1-6.63426335579227i</v>
      </c>
      <c r="X444" s="18">
        <f t="shared" si="377"/>
        <v>6.7092063818314687</v>
      </c>
      <c r="Y444" s="18">
        <f t="shared" si="378"/>
        <v>-1.4211899424044763</v>
      </c>
      <c r="Z444" s="32" t="str">
        <f t="shared" si="364"/>
        <v>0.315844790325227+3.03377998016869i</v>
      </c>
      <c r="AA444" s="18">
        <f t="shared" si="379"/>
        <v>3.0501768636667492</v>
      </c>
      <c r="AB444" s="18">
        <f t="shared" si="380"/>
        <v>1.4670607113895855</v>
      </c>
      <c r="AC444" s="67" t="str">
        <f t="shared" si="381"/>
        <v>-0.0807957758569169+0.0918926453273076i</v>
      </c>
      <c r="AD444" s="65">
        <f t="shared" si="382"/>
        <v>-18.247139258832963</v>
      </c>
      <c r="AE444" s="62">
        <f t="shared" si="383"/>
        <v>131.32325777091538</v>
      </c>
      <c r="AF444" s="50" t="str">
        <f t="shared" si="365"/>
        <v>79.1527877025864</v>
      </c>
      <c r="AG444" s="50" t="str">
        <f t="shared" si="366"/>
        <v>1+557.252062586953i</v>
      </c>
      <c r="AH444" s="50">
        <f t="shared" si="384"/>
        <v>557.25295984625643</v>
      </c>
      <c r="AI444" s="50">
        <f t="shared" si="385"/>
        <v>1.5690018086697852</v>
      </c>
      <c r="AJ444" s="50" t="str">
        <f t="shared" si="367"/>
        <v>1+0.503074778724334i</v>
      </c>
      <c r="AK444" s="50">
        <f t="shared" si="386"/>
        <v>1.1194124498988465</v>
      </c>
      <c r="AL444" s="50">
        <f t="shared" si="387"/>
        <v>0.46610440538912584</v>
      </c>
      <c r="AM444" s="50" t="str">
        <f t="shared" si="368"/>
        <v>1-2.3210524817673i</v>
      </c>
      <c r="AN444" s="50">
        <f t="shared" si="388"/>
        <v>2.5273077816360523</v>
      </c>
      <c r="AO444" s="50">
        <f t="shared" si="389"/>
        <v>-1.1639903821219026</v>
      </c>
      <c r="AP444" s="59" t="str">
        <f t="shared" si="390"/>
        <v>-0.257674493872033-0.308359990756248i</v>
      </c>
      <c r="AQ444" s="50">
        <f t="shared" si="391"/>
        <v>-7.9187580320557425</v>
      </c>
      <c r="AR444" s="62">
        <f t="shared" si="392"/>
        <v>-129.88310273332468</v>
      </c>
      <c r="AS444" s="32" t="str">
        <f t="shared" si="369"/>
        <v>-0.0000166666666666667</v>
      </c>
      <c r="AT444" s="32" t="str">
        <f t="shared" si="370"/>
        <v>0.00388739601741532i</v>
      </c>
      <c r="AU444" s="32">
        <f t="shared" si="393"/>
        <v>3.88739601741532E-3</v>
      </c>
      <c r="AV444" s="32">
        <f t="shared" si="394"/>
        <v>1.5707963267948966</v>
      </c>
      <c r="AW444" s="32" t="str">
        <f t="shared" si="371"/>
        <v>1+3.95061664468814i</v>
      </c>
      <c r="AX444" s="32">
        <f t="shared" si="395"/>
        <v>4.0752143346438823</v>
      </c>
      <c r="AY444" s="32">
        <f t="shared" si="396"/>
        <v>1.3228786182076904</v>
      </c>
      <c r="AZ444" s="32" t="str">
        <f t="shared" si="372"/>
        <v>1+134.320965919397i</v>
      </c>
      <c r="BA444" s="32">
        <f t="shared" si="397"/>
        <v>134.32468829489167</v>
      </c>
      <c r="BB444" s="32">
        <f t="shared" si="398"/>
        <v>1.5633516101902674</v>
      </c>
      <c r="BC444" s="59" t="str">
        <f t="shared" si="399"/>
        <v>-0.0336564172189862+0.137250962188713i</v>
      </c>
      <c r="BD444" s="50">
        <f t="shared" si="400"/>
        <v>-16.996092991977473</v>
      </c>
      <c r="BE444" s="62">
        <f t="shared" si="401"/>
        <v>103.77808752748496</v>
      </c>
      <c r="BF444" s="59" t="str">
        <f t="shared" si="402"/>
        <v>-0.00989305764746702-0.0141820751876376i</v>
      </c>
      <c r="BG444" s="65">
        <f t="shared" si="403"/>
        <v>-35.243232250810443</v>
      </c>
      <c r="BH444" s="62">
        <f t="shared" si="404"/>
        <v>-124.89865470159971</v>
      </c>
      <c r="BI444" s="59" t="str">
        <f t="shared" si="409"/>
        <v>0.0509951057042459-0.0249877797128912i</v>
      </c>
      <c r="BJ444" s="65">
        <f t="shared" si="405"/>
        <v>-24.914851024033219</v>
      </c>
      <c r="BK444" s="62">
        <f t="shared" si="410"/>
        <v>-26.105015205839766</v>
      </c>
      <c r="BL444" s="50">
        <f t="shared" si="406"/>
        <v>-35.243232250810443</v>
      </c>
      <c r="BM444" s="62">
        <f t="shared" si="407"/>
        <v>-124.89865470159971</v>
      </c>
    </row>
    <row r="445" spans="14:65" x14ac:dyDescent="0.3">
      <c r="N445" s="11">
        <v>27</v>
      </c>
      <c r="O445" s="51">
        <f t="shared" si="408"/>
        <v>186208.71366628664</v>
      </c>
      <c r="P445" s="49" t="str">
        <f t="shared" si="360"/>
        <v>27.9103246607183</v>
      </c>
      <c r="Q445" s="18" t="str">
        <f t="shared" si="361"/>
        <v>1+574.721474038085i</v>
      </c>
      <c r="R445" s="18">
        <f t="shared" si="373"/>
        <v>574.72234402405934</v>
      </c>
      <c r="S445" s="18">
        <f t="shared" si="374"/>
        <v>1.5690563552852075</v>
      </c>
      <c r="T445" s="18" t="str">
        <f t="shared" si="362"/>
        <v>1+0.514792895661801i</v>
      </c>
      <c r="U445" s="18">
        <f t="shared" si="375"/>
        <v>1.124727400494832</v>
      </c>
      <c r="V445" s="18">
        <f t="shared" si="376"/>
        <v>0.47541176918894562</v>
      </c>
      <c r="W445" s="32" t="str">
        <f t="shared" si="363"/>
        <v>1-6.78879520092722i</v>
      </c>
      <c r="X445" s="18">
        <f t="shared" si="377"/>
        <v>6.8620507343018424</v>
      </c>
      <c r="Y445" s="18">
        <f t="shared" si="378"/>
        <v>-1.4245464971086754</v>
      </c>
      <c r="Z445" s="32" t="str">
        <f t="shared" si="364"/>
        <v>0.283601548651798+3.10444579382826i</v>
      </c>
      <c r="AA445" s="18">
        <f t="shared" si="379"/>
        <v>3.1173728563031524</v>
      </c>
      <c r="AB445" s="18">
        <f t="shared" si="380"/>
        <v>1.479695831504904</v>
      </c>
      <c r="AC445" s="67" t="str">
        <f t="shared" si="381"/>
        <v>-0.0787808300863811+0.0908254392634715i</v>
      </c>
      <c r="AD445" s="65">
        <f t="shared" si="382"/>
        <v>-18.399614859777202</v>
      </c>
      <c r="AE445" s="62">
        <f t="shared" si="383"/>
        <v>130.93795281654803</v>
      </c>
      <c r="AF445" s="50" t="str">
        <f t="shared" si="365"/>
        <v>79.1527877025864</v>
      </c>
      <c r="AG445" s="50" t="str">
        <f t="shared" si="366"/>
        <v>1+570.232130579225i</v>
      </c>
      <c r="AH445" s="50">
        <f t="shared" si="384"/>
        <v>570.23300741444484</v>
      </c>
      <c r="AI445" s="50">
        <f t="shared" si="385"/>
        <v>1.5690426568046341</v>
      </c>
      <c r="AJ445" s="50" t="str">
        <f t="shared" si="367"/>
        <v>1+0.514792895661801i</v>
      </c>
      <c r="AK445" s="50">
        <f t="shared" si="386"/>
        <v>1.124727400494832</v>
      </c>
      <c r="AL445" s="50">
        <f t="shared" si="387"/>
        <v>0.47541176918894562</v>
      </c>
      <c r="AM445" s="50" t="str">
        <f t="shared" si="368"/>
        <v>1-2.37511673930833i</v>
      </c>
      <c r="AN445" s="50">
        <f t="shared" si="388"/>
        <v>2.5770486074854375</v>
      </c>
      <c r="AO445" s="50">
        <f t="shared" si="389"/>
        <v>-1.1722914599609633</v>
      </c>
      <c r="AP445" s="59" t="str">
        <f t="shared" si="390"/>
        <v>-0.257686003388509-0.3089795215379i</v>
      </c>
      <c r="AQ445" s="50">
        <f t="shared" si="391"/>
        <v>-7.9083250355525747</v>
      </c>
      <c r="AR445" s="62">
        <f t="shared" si="392"/>
        <v>-129.82778722051765</v>
      </c>
      <c r="AS445" s="32" t="str">
        <f t="shared" si="369"/>
        <v>-0.0000166666666666667</v>
      </c>
      <c r="AT445" s="32" t="str">
        <f t="shared" si="370"/>
        <v>0.0039779451028412i</v>
      </c>
      <c r="AU445" s="32">
        <f t="shared" si="393"/>
        <v>3.9779451028412001E-3</v>
      </c>
      <c r="AV445" s="32">
        <f t="shared" si="394"/>
        <v>1.5707963267948966</v>
      </c>
      <c r="AW445" s="32" t="str">
        <f t="shared" si="371"/>
        <v>1+4.04263832769708i</v>
      </c>
      <c r="AX445" s="32">
        <f t="shared" si="395"/>
        <v>4.1644837193300974</v>
      </c>
      <c r="AY445" s="32">
        <f t="shared" si="396"/>
        <v>1.3283008824254001</v>
      </c>
      <c r="AZ445" s="32" t="str">
        <f t="shared" si="372"/>
        <v>1+137.449703141701i</v>
      </c>
      <c r="BA445" s="32">
        <f t="shared" si="397"/>
        <v>137.45334078785328</v>
      </c>
      <c r="BB445" s="32">
        <f t="shared" si="398"/>
        <v>1.5635210665801127</v>
      </c>
      <c r="BC445" s="59" t="str">
        <f t="shared" si="399"/>
        <v>-0.0322289722180416+0.134479846242598i</v>
      </c>
      <c r="BD445" s="50">
        <f t="shared" si="400"/>
        <v>-17.184318091751017</v>
      </c>
      <c r="BE445" s="62">
        <f t="shared" si="401"/>
        <v>103.47712380835507</v>
      </c>
      <c r="BF445" s="59" t="str">
        <f t="shared" si="402"/>
        <v>-0.00967516592289984-0.0135216444755946i</v>
      </c>
      <c r="BG445" s="65">
        <f t="shared" si="403"/>
        <v>-35.583932951528226</v>
      </c>
      <c r="BH445" s="62">
        <f t="shared" si="404"/>
        <v>-125.58492337509693</v>
      </c>
      <c r="BI445" s="59" t="str">
        <f t="shared" si="409"/>
        <v>0.0498564735927147-0.0246954816989675i</v>
      </c>
      <c r="BJ445" s="65">
        <f t="shared" si="405"/>
        <v>-25.092643127303596</v>
      </c>
      <c r="BK445" s="62">
        <f t="shared" si="410"/>
        <v>-26.350663412162561</v>
      </c>
      <c r="BL445" s="50">
        <f t="shared" si="406"/>
        <v>-35.583932951528226</v>
      </c>
      <c r="BM445" s="62">
        <f t="shared" si="407"/>
        <v>-125.58492337509693</v>
      </c>
    </row>
    <row r="446" spans="14:65" x14ac:dyDescent="0.3">
      <c r="N446" s="11">
        <v>28</v>
      </c>
      <c r="O446" s="51">
        <f t="shared" si="408"/>
        <v>190546.07179632492</v>
      </c>
      <c r="P446" s="49" t="str">
        <f t="shared" si="360"/>
        <v>27.9103246607183</v>
      </c>
      <c r="Q446" s="18" t="str">
        <f t="shared" si="361"/>
        <v>1+588.108456896442i</v>
      </c>
      <c r="R446" s="18">
        <f t="shared" si="373"/>
        <v>588.1093070791469</v>
      </c>
      <c r="S446" s="18">
        <f t="shared" si="374"/>
        <v>1.5690959617949951</v>
      </c>
      <c r="T446" s="18" t="str">
        <f t="shared" si="362"/>
        <v>1+0.526783962606643i</v>
      </c>
      <c r="U446" s="18">
        <f t="shared" si="375"/>
        <v>1.1302660497686183</v>
      </c>
      <c r="V446" s="18">
        <f t="shared" si="376"/>
        <v>0.48484447543195991</v>
      </c>
      <c r="W446" s="32" t="str">
        <f t="shared" si="363"/>
        <v>1-6.9469265551381i</v>
      </c>
      <c r="X446" s="18">
        <f t="shared" si="377"/>
        <v>7.0185317953602597</v>
      </c>
      <c r="Y446" s="18">
        <f t="shared" si="378"/>
        <v>-1.4278298576462025</v>
      </c>
      <c r="Z446" s="32" t="str">
        <f t="shared" si="364"/>
        <v>0.249838729813831+3.17675762573995i</v>
      </c>
      <c r="AA446" s="18">
        <f t="shared" si="379"/>
        <v>3.1865668679021804</v>
      </c>
      <c r="AB446" s="18">
        <f t="shared" si="380"/>
        <v>1.4923120467988857</v>
      </c>
      <c r="AC446" s="67" t="str">
        <f t="shared" si="381"/>
        <v>-0.0768303453543844+0.0897498961292001i</v>
      </c>
      <c r="AD446" s="65">
        <f t="shared" si="382"/>
        <v>-18.551784917133087</v>
      </c>
      <c r="AE446" s="62">
        <f t="shared" si="383"/>
        <v>130.56515919661359</v>
      </c>
      <c r="AF446" s="50" t="str">
        <f t="shared" si="365"/>
        <v>79.1527877025864</v>
      </c>
      <c r="AG446" s="50" t="str">
        <f t="shared" si="366"/>
        <v>1+583.514543195049i</v>
      </c>
      <c r="AH446" s="50">
        <f t="shared" si="384"/>
        <v>583.51540007109202</v>
      </c>
      <c r="AI446" s="50">
        <f t="shared" si="385"/>
        <v>1.5690825751280697</v>
      </c>
      <c r="AJ446" s="50" t="str">
        <f t="shared" si="367"/>
        <v>1+0.526783962606643i</v>
      </c>
      <c r="AK446" s="50">
        <f t="shared" si="386"/>
        <v>1.1302660497686183</v>
      </c>
      <c r="AL446" s="50">
        <f t="shared" si="387"/>
        <v>0.48484447543195991</v>
      </c>
      <c r="AM446" s="50" t="str">
        <f t="shared" si="368"/>
        <v>1-2.43044031518295i</v>
      </c>
      <c r="AN446" s="50">
        <f t="shared" si="388"/>
        <v>2.6281248306856728</v>
      </c>
      <c r="AO446" s="50">
        <f t="shared" si="389"/>
        <v>-1.1804600382050969</v>
      </c>
      <c r="AP446" s="59" t="str">
        <f t="shared" si="390"/>
        <v>-0.257696994894528-0.309762875534373i</v>
      </c>
      <c r="AQ446" s="50">
        <f t="shared" si="391"/>
        <v>-7.8951887031479897</v>
      </c>
      <c r="AR446" s="62">
        <f t="shared" si="392"/>
        <v>-129.75764517287553</v>
      </c>
      <c r="AS446" s="32" t="str">
        <f t="shared" si="369"/>
        <v>-0.0000166666666666667</v>
      </c>
      <c r="AT446" s="32" t="str">
        <f t="shared" si="370"/>
        <v>0.00407060334741495i</v>
      </c>
      <c r="AU446" s="32">
        <f t="shared" si="393"/>
        <v>4.07060334741495E-3</v>
      </c>
      <c r="AV446" s="32">
        <f t="shared" si="394"/>
        <v>1.5707963267948966</v>
      </c>
      <c r="AW446" s="32" t="str">
        <f t="shared" si="371"/>
        <v>1+4.13680347105804i</v>
      </c>
      <c r="AX446" s="32">
        <f t="shared" si="395"/>
        <v>4.2559538247210629</v>
      </c>
      <c r="AY446" s="32">
        <f t="shared" si="396"/>
        <v>1.3336138129777508</v>
      </c>
      <c r="AZ446" s="32" t="str">
        <f t="shared" si="372"/>
        <v>1+140.651318015973i</v>
      </c>
      <c r="BA446" s="32">
        <f t="shared" si="397"/>
        <v>140.65487286130679</v>
      </c>
      <c r="BB446" s="32">
        <f t="shared" si="398"/>
        <v>1.5636866660753446</v>
      </c>
      <c r="BC446" s="59" t="str">
        <f t="shared" si="399"/>
        <v>-0.0308585118534862+0.131749996078082i</v>
      </c>
      <c r="BD446" s="50">
        <f t="shared" si="400"/>
        <v>-17.373043213687826</v>
      </c>
      <c r="BE446" s="62">
        <f t="shared" si="401"/>
        <v>103.18220346302553</v>
      </c>
      <c r="BF446" s="59" t="str">
        <f t="shared" si="402"/>
        <v>-0.00945367834020467-0.0128919459326699i</v>
      </c>
      <c r="BG446" s="65">
        <f t="shared" si="403"/>
        <v>-35.924828130820913</v>
      </c>
      <c r="BH446" s="62">
        <f t="shared" si="404"/>
        <v>-126.25263734036088</v>
      </c>
      <c r="BI446" s="59" t="str">
        <f t="shared" si="409"/>
        <v>0.0487634034083496-0.0243927567002402i</v>
      </c>
      <c r="BJ446" s="65">
        <f t="shared" si="405"/>
        <v>-25.268231916835809</v>
      </c>
      <c r="BK446" s="62">
        <f t="shared" si="410"/>
        <v>-26.575441709850029</v>
      </c>
      <c r="BL446" s="50">
        <f t="shared" si="406"/>
        <v>-35.924828130820913</v>
      </c>
      <c r="BM446" s="62">
        <f t="shared" si="407"/>
        <v>-126.25263734036088</v>
      </c>
    </row>
    <row r="447" spans="14:65" x14ac:dyDescent="0.3">
      <c r="N447" s="11">
        <v>29</v>
      </c>
      <c r="O447" s="51">
        <f t="shared" si="408"/>
        <v>194984.45997580473</v>
      </c>
      <c r="P447" s="49" t="str">
        <f t="shared" si="360"/>
        <v>27.9103246607183</v>
      </c>
      <c r="Q447" s="18" t="str">
        <f t="shared" si="361"/>
        <v>1+601.807262643174i</v>
      </c>
      <c r="R447" s="18">
        <f t="shared" si="373"/>
        <v>601.8080934733847</v>
      </c>
      <c r="S447" s="18">
        <f t="shared" si="374"/>
        <v>1.5691346667557067</v>
      </c>
      <c r="T447" s="18" t="str">
        <f t="shared" si="362"/>
        <v>1+0.539054337381261i</v>
      </c>
      <c r="U447" s="18">
        <f t="shared" si="375"/>
        <v>1.136036785781847</v>
      </c>
      <c r="V447" s="18">
        <f t="shared" si="376"/>
        <v>0.49440081032304251</v>
      </c>
      <c r="W447" s="32" t="str">
        <f t="shared" si="363"/>
        <v>1-7.10874126176185i</v>
      </c>
      <c r="X447" s="18">
        <f t="shared" si="377"/>
        <v>7.1787326407016625</v>
      </c>
      <c r="Y447" s="18">
        <f t="shared" si="378"/>
        <v>-1.4310414815818657</v>
      </c>
      <c r="Z447" s="32" t="str">
        <f t="shared" si="364"/>
        <v>0.214484718345952+3.25075381659412i</v>
      </c>
      <c r="AA447" s="18">
        <f t="shared" si="379"/>
        <v>3.2578219826296797</v>
      </c>
      <c r="AB447" s="18">
        <f t="shared" si="380"/>
        <v>1.5049118280471052</v>
      </c>
      <c r="AC447" s="67" t="str">
        <f t="shared" si="381"/>
        <v>-0.0749425206474297+0.0886682059460707i</v>
      </c>
      <c r="AD447" s="65">
        <f t="shared" si="382"/>
        <v>-18.703606233529463</v>
      </c>
      <c r="AE447" s="62">
        <f t="shared" si="383"/>
        <v>130.20455243738351</v>
      </c>
      <c r="AF447" s="50" t="str">
        <f t="shared" si="365"/>
        <v>79.1527877025864</v>
      </c>
      <c r="AG447" s="50" t="str">
        <f t="shared" si="366"/>
        <v>1+597.106342945396i</v>
      </c>
      <c r="AH447" s="50">
        <f t="shared" si="384"/>
        <v>597.10718031658678</v>
      </c>
      <c r="AI447" s="50">
        <f t="shared" si="385"/>
        <v>1.5691215848048068</v>
      </c>
      <c r="AJ447" s="50" t="str">
        <f t="shared" si="367"/>
        <v>1+0.539054337381261i</v>
      </c>
      <c r="AK447" s="50">
        <f t="shared" si="386"/>
        <v>1.136036785781847</v>
      </c>
      <c r="AL447" s="50">
        <f t="shared" si="387"/>
        <v>0.49440081032304251</v>
      </c>
      <c r="AM447" s="50" t="str">
        <f t="shared" si="368"/>
        <v>1-2.48705254268332i</v>
      </c>
      <c r="AN447" s="50">
        <f t="shared" si="388"/>
        <v>2.6805653041975246</v>
      </c>
      <c r="AO447" s="50">
        <f t="shared" si="389"/>
        <v>-1.1884960864622145</v>
      </c>
      <c r="AP447" s="59" t="str">
        <f t="shared" si="390"/>
        <v>-0.257707491704125-0.310710468211618i</v>
      </c>
      <c r="AQ447" s="50">
        <f t="shared" si="391"/>
        <v>-7.8793458451920877</v>
      </c>
      <c r="AR447" s="62">
        <f t="shared" si="392"/>
        <v>-129.67277425493648</v>
      </c>
      <c r="AS447" s="32" t="str">
        <f t="shared" si="369"/>
        <v>-0.0000166666666666667</v>
      </c>
      <c r="AT447" s="32" t="str">
        <f t="shared" si="370"/>
        <v>0.0041654198797643i</v>
      </c>
      <c r="AU447" s="32">
        <f t="shared" si="393"/>
        <v>4.1654198797642997E-3</v>
      </c>
      <c r="AV447" s="32">
        <f t="shared" si="394"/>
        <v>1.5707963267948966</v>
      </c>
      <c r="AW447" s="32" t="str">
        <f t="shared" si="371"/>
        <v>1+4.23316200237637i</v>
      </c>
      <c r="AX447" s="32">
        <f t="shared" si="395"/>
        <v>4.3496736128545459</v>
      </c>
      <c r="AY447" s="32">
        <f t="shared" si="396"/>
        <v>1.3388190265764948</v>
      </c>
      <c r="AZ447" s="32" t="str">
        <f t="shared" si="372"/>
        <v>1+143.927508080797i</v>
      </c>
      <c r="BA447" s="32">
        <f t="shared" si="397"/>
        <v>143.93098200994768</v>
      </c>
      <c r="BB447" s="32">
        <f t="shared" si="398"/>
        <v>1.5638484964426567</v>
      </c>
      <c r="BC447" s="59" t="str">
        <f t="shared" si="399"/>
        <v>-0.0295430584256434+0.129061749635104i</v>
      </c>
      <c r="BD447" s="50">
        <f t="shared" si="400"/>
        <v>-17.562248344751442</v>
      </c>
      <c r="BE447" s="62">
        <f t="shared" si="401"/>
        <v>102.8932388893974</v>
      </c>
      <c r="BF447" s="59" t="str">
        <f t="shared" si="402"/>
        <v>-0.00922964253035361-0.0122917428255839i</v>
      </c>
      <c r="BG447" s="65">
        <f t="shared" si="403"/>
        <v>-36.265854578280923</v>
      </c>
      <c r="BH447" s="62">
        <f t="shared" si="404"/>
        <v>-126.90220867321912</v>
      </c>
      <c r="BI447" s="59" t="str">
        <f t="shared" si="409"/>
        <v>0.0477143041414748-0.0240808422575736i</v>
      </c>
      <c r="BJ447" s="65">
        <f t="shared" si="405"/>
        <v>-25.441594189943523</v>
      </c>
      <c r="BK447" s="62">
        <f t="shared" si="410"/>
        <v>-26.7795353655391</v>
      </c>
      <c r="BL447" s="50">
        <f t="shared" si="406"/>
        <v>-36.265854578280923</v>
      </c>
      <c r="BM447" s="62">
        <f t="shared" si="407"/>
        <v>-126.90220867321912</v>
      </c>
    </row>
    <row r="448" spans="14:65" x14ac:dyDescent="0.3">
      <c r="N448" s="11">
        <v>30</v>
      </c>
      <c r="O448" s="51">
        <f t="shared" si="408"/>
        <v>199526.23149688813</v>
      </c>
      <c r="P448" s="49" t="str">
        <f t="shared" si="360"/>
        <v>27.9103246607183</v>
      </c>
      <c r="Q448" s="18" t="str">
        <f t="shared" si="361"/>
        <v>1+615.825154566424i</v>
      </c>
      <c r="R448" s="18">
        <f t="shared" si="373"/>
        <v>615.8259664846554</v>
      </c>
      <c r="S448" s="18">
        <f t="shared" si="374"/>
        <v>1.5691724906887603</v>
      </c>
      <c r="T448" s="18" t="str">
        <f t="shared" si="362"/>
        <v>1+0.551610525900791i</v>
      </c>
      <c r="U448" s="18">
        <f t="shared" si="375"/>
        <v>1.1420482355332227</v>
      </c>
      <c r="V448" s="18">
        <f t="shared" si="376"/>
        <v>0.50407885818933662</v>
      </c>
      <c r="W448" s="32" t="str">
        <f t="shared" si="363"/>
        <v>1-7.27432511709796i</v>
      </c>
      <c r="X448" s="18">
        <f t="shared" si="377"/>
        <v>7.3427383113687394</v>
      </c>
      <c r="Y448" s="18">
        <f t="shared" si="378"/>
        <v>-1.4341828066115319</v>
      </c>
      <c r="Z448" s="32" t="str">
        <f t="shared" si="364"/>
        <v>0.1774645236498+3.32647360015068i</v>
      </c>
      <c r="AA448" s="18">
        <f t="shared" si="379"/>
        <v>3.3312040270229133</v>
      </c>
      <c r="AB448" s="18">
        <f t="shared" si="380"/>
        <v>1.5174977080649159</v>
      </c>
      <c r="AC448" s="67" t="str">
        <f t="shared" si="381"/>
        <v>-0.0731155341040181+0.0875824257633699i</v>
      </c>
      <c r="AD448" s="65">
        <f t="shared" si="382"/>
        <v>-18.85503687653771</v>
      </c>
      <c r="AE448" s="62">
        <f t="shared" si="383"/>
        <v>129.85579410956194</v>
      </c>
      <c r="AF448" s="50" t="str">
        <f t="shared" si="365"/>
        <v>79.1527877025864</v>
      </c>
      <c r="AG448" s="50" t="str">
        <f t="shared" si="366"/>
        <v>1+611.014736382413i</v>
      </c>
      <c r="AH448" s="50">
        <f t="shared" si="384"/>
        <v>611.01555469273433</v>
      </c>
      <c r="AI448" s="50">
        <f t="shared" si="385"/>
        <v>1.5691597065178171</v>
      </c>
      <c r="AJ448" s="50" t="str">
        <f t="shared" si="367"/>
        <v>1+0.551610525900791i</v>
      </c>
      <c r="AK448" s="50">
        <f t="shared" si="386"/>
        <v>1.1420482355332227</v>
      </c>
      <c r="AL448" s="50">
        <f t="shared" si="387"/>
        <v>0.50407885818933662</v>
      </c>
      <c r="AM448" s="50" t="str">
        <f t="shared" si="368"/>
        <v>1-2.54498343836188i</v>
      </c>
      <c r="AN448" s="50">
        <f t="shared" si="388"/>
        <v>2.7343995138853168</v>
      </c>
      <c r="AO448" s="50">
        <f t="shared" si="389"/>
        <v>-1.1963997128876505</v>
      </c>
      <c r="AP448" s="59" t="str">
        <f t="shared" si="390"/>
        <v>-0.25771751608206-0.311822802109023i</v>
      </c>
      <c r="AQ448" s="50">
        <f t="shared" si="391"/>
        <v>-7.8607927189578399</v>
      </c>
      <c r="AR448" s="62">
        <f t="shared" si="392"/>
        <v>-129.57329160856122</v>
      </c>
      <c r="AS448" s="32" t="str">
        <f t="shared" si="369"/>
        <v>-0.0000166666666666667</v>
      </c>
      <c r="AT448" s="32" t="str">
        <f t="shared" si="370"/>
        <v>0.00426244497286974i</v>
      </c>
      <c r="AU448" s="32">
        <f t="shared" si="393"/>
        <v>4.2624449728697403E-3</v>
      </c>
      <c r="AV448" s="32">
        <f t="shared" si="394"/>
        <v>1.5707963267948966</v>
      </c>
      <c r="AW448" s="32" t="str">
        <f t="shared" si="371"/>
        <v>1+4.33176501222091i</v>
      </c>
      <c r="AX448" s="32">
        <f t="shared" si="395"/>
        <v>4.4456932104117604</v>
      </c>
      <c r="AY448" s="32">
        <f t="shared" si="396"/>
        <v>1.3439181543487588</v>
      </c>
      <c r="AZ448" s="32" t="str">
        <f t="shared" si="372"/>
        <v>1+147.280010415511i</v>
      </c>
      <c r="BA448" s="32">
        <f t="shared" si="397"/>
        <v>147.28340527022394</v>
      </c>
      <c r="BB448" s="32">
        <f t="shared" si="398"/>
        <v>1.5640066434527267</v>
      </c>
      <c r="BC448" s="59" t="str">
        <f t="shared" si="399"/>
        <v>-0.0282806778226042+0.12641536961808i</v>
      </c>
      <c r="BD448" s="50">
        <f t="shared" si="400"/>
        <v>-17.751914170818111</v>
      </c>
      <c r="BE448" s="62">
        <f t="shared" si="401"/>
        <v>102.61014154506844</v>
      </c>
      <c r="BF448" s="59" t="str">
        <f t="shared" si="402"/>
        <v>-0.00900400786110109-0.0117198176345188i</v>
      </c>
      <c r="BG448" s="65">
        <f t="shared" si="403"/>
        <v>-36.606951047355821</v>
      </c>
      <c r="BH448" s="62">
        <f t="shared" si="404"/>
        <v>-127.53406434536961</v>
      </c>
      <c r="BI448" s="59" t="str">
        <f t="shared" si="409"/>
        <v>0.0467076208255161-0.0237608948483801i</v>
      </c>
      <c r="BJ448" s="65">
        <f t="shared" si="405"/>
        <v>-25.612706889775957</v>
      </c>
      <c r="BK448" s="62">
        <f t="shared" si="410"/>
        <v>-26.963150063492748</v>
      </c>
      <c r="BL448" s="50">
        <f t="shared" si="406"/>
        <v>-36.606951047355821</v>
      </c>
      <c r="BM448" s="62">
        <f t="shared" si="407"/>
        <v>-127.53406434536961</v>
      </c>
    </row>
    <row r="449" spans="14:65" x14ac:dyDescent="0.3">
      <c r="N449" s="11">
        <v>31</v>
      </c>
      <c r="O449" s="51">
        <f t="shared" si="408"/>
        <v>204173.79446695308</v>
      </c>
      <c r="P449" s="49" t="str">
        <f t="shared" si="360"/>
        <v>27.9103246607183</v>
      </c>
      <c r="Q449" s="18" t="str">
        <f t="shared" si="361"/>
        <v>1+630.169565138032i</v>
      </c>
      <c r="R449" s="18">
        <f t="shared" si="373"/>
        <v>630.17035857477163</v>
      </c>
      <c r="S449" s="18">
        <f t="shared" si="374"/>
        <v>1.5692094536484729</v>
      </c>
      <c r="T449" s="18" t="str">
        <f t="shared" si="362"/>
        <v>1+0.564459185622579i</v>
      </c>
      <c r="U449" s="18">
        <f t="shared" si="375"/>
        <v>1.1483092668065102</v>
      </c>
      <c r="V449" s="18">
        <f t="shared" si="376"/>
        <v>0.51387649776659439</v>
      </c>
      <c r="W449" s="32" t="str">
        <f t="shared" si="363"/>
        <v>1-7.4437659158982i</v>
      </c>
      <c r="X449" s="18">
        <f t="shared" si="377"/>
        <v>7.5106358592790103</v>
      </c>
      <c r="Y449" s="18">
        <f t="shared" si="378"/>
        <v>-1.4372552501902609</v>
      </c>
      <c r="Z449" s="32" t="str">
        <f t="shared" si="364"/>
        <v>0.138699620929065+3.40395712404111i</v>
      </c>
      <c r="AA449" s="18">
        <f t="shared" si="379"/>
        <v>3.4067817199163333</v>
      </c>
      <c r="AB449" s="18">
        <f t="shared" si="380"/>
        <v>1.5300722718203692</v>
      </c>
      <c r="AC449" s="67" t="str">
        <f t="shared" si="381"/>
        <v>-0.0713475492161868+0.0864944828185932i</v>
      </c>
      <c r="AD449" s="65">
        <f t="shared" si="382"/>
        <v>-19.00603630422308</v>
      </c>
      <c r="AE449" s="62">
        <f t="shared" si="383"/>
        <v>129.5185322026804</v>
      </c>
      <c r="AF449" s="50" t="str">
        <f t="shared" si="365"/>
        <v>79.1527877025864</v>
      </c>
      <c r="AG449" s="50" t="str">
        <f t="shared" si="366"/>
        <v>1+625.247097920394i</v>
      </c>
      <c r="AH449" s="50">
        <f t="shared" si="384"/>
        <v>625.24789760372232</v>
      </c>
      <c r="AI449" s="50">
        <f t="shared" si="385"/>
        <v>1.5691969604792937</v>
      </c>
      <c r="AJ449" s="50" t="str">
        <f t="shared" si="367"/>
        <v>1+0.564459185622579i</v>
      </c>
      <c r="AK449" s="50">
        <f t="shared" si="386"/>
        <v>1.1483092668065102</v>
      </c>
      <c r="AL449" s="50">
        <f t="shared" si="387"/>
        <v>0.51387649776659439</v>
      </c>
      <c r="AM449" s="50" t="str">
        <f t="shared" si="368"/>
        <v>1-2.60426371794628i</v>
      </c>
      <c r="AN449" s="50">
        <f t="shared" si="388"/>
        <v>2.7896575977369307</v>
      </c>
      <c r="AO449" s="50">
        <f t="shared" si="389"/>
        <v>-1.2041711573076772</v>
      </c>
      <c r="AP449" s="59" t="str">
        <f t="shared" si="390"/>
        <v>-0.257727089291027-0.313100467106387i</v>
      </c>
      <c r="AQ449" s="50">
        <f t="shared" si="391"/>
        <v>-7.8395250845330633</v>
      </c>
      <c r="AR449" s="62">
        <f t="shared" si="392"/>
        <v>-129.45933367234466</v>
      </c>
      <c r="AS449" s="32" t="str">
        <f t="shared" si="369"/>
        <v>-0.0000166666666666667</v>
      </c>
      <c r="AT449" s="32" t="str">
        <f t="shared" si="370"/>
        <v>0.00436173007071994i</v>
      </c>
      <c r="AU449" s="32">
        <f t="shared" si="393"/>
        <v>4.3617300707199397E-3</v>
      </c>
      <c r="AV449" s="32">
        <f t="shared" si="394"/>
        <v>1.5707963267948966</v>
      </c>
      <c r="AW449" s="32" t="str">
        <f t="shared" si="371"/>
        <v>1+4.4326647812126i</v>
      </c>
      <c r="AX449" s="32">
        <f t="shared" si="395"/>
        <v>4.5440639368964151</v>
      </c>
      <c r="AY449" s="32">
        <f t="shared" si="396"/>
        <v>1.3489128387846148</v>
      </c>
      <c r="AZ449" s="32" t="str">
        <f t="shared" si="372"/>
        <v>1+150.710602561228i</v>
      </c>
      <c r="BA449" s="32">
        <f t="shared" si="397"/>
        <v>150.71392014133409</v>
      </c>
      <c r="BB449" s="32">
        <f t="shared" si="398"/>
        <v>1.5641611909255317</v>
      </c>
      <c r="BC449" s="59" t="str">
        <f t="shared" si="399"/>
        <v>-0.0270694808243896+0.12381104802756i</v>
      </c>
      <c r="BD449" s="50">
        <f t="shared" si="400"/>
        <v>-17.942022060882742</v>
      </c>
      <c r="BE449" s="62">
        <f t="shared" si="401"/>
        <v>102.3328221248203</v>
      </c>
      <c r="BF449" s="59" t="str">
        <f t="shared" si="402"/>
        <v>-0.00877763145099704-0.0111749755867274i</v>
      </c>
      <c r="BG449" s="65">
        <f t="shared" si="403"/>
        <v>-36.94805836510583</v>
      </c>
      <c r="BH449" s="62">
        <f t="shared" si="404"/>
        <v>-128.14864567249933</v>
      </c>
      <c r="BI449" s="59" t="str">
        <f t="shared" si="409"/>
        <v>0.0457418354718496-0.0234339939397708i</v>
      </c>
      <c r="BJ449" s="65">
        <f t="shared" si="405"/>
        <v>-25.781547145415797</v>
      </c>
      <c r="BK449" s="62">
        <f t="shared" si="410"/>
        <v>-27.126511547524323</v>
      </c>
      <c r="BL449" s="50">
        <f t="shared" si="406"/>
        <v>-36.94805836510583</v>
      </c>
      <c r="BM449" s="62">
        <f t="shared" si="407"/>
        <v>-128.14864567249933</v>
      </c>
    </row>
    <row r="450" spans="14:65" x14ac:dyDescent="0.3">
      <c r="N450" s="11">
        <v>32</v>
      </c>
      <c r="O450" s="51">
        <f t="shared" si="408"/>
        <v>208929.61308540447</v>
      </c>
      <c r="P450" s="49" t="str">
        <f t="shared" si="360"/>
        <v>27.9103246607183</v>
      </c>
      <c r="Q450" s="18" t="str">
        <f t="shared" si="361"/>
        <v>1+644.848099954362i</v>
      </c>
      <c r="R450" s="18">
        <f t="shared" si="373"/>
        <v>644.84887533029848</v>
      </c>
      <c r="S450" s="18">
        <f t="shared" si="374"/>
        <v>1.5692455752326908</v>
      </c>
      <c r="T450" s="18" t="str">
        <f t="shared" si="362"/>
        <v>1+0.57760712907609i</v>
      </c>
      <c r="U450" s="18">
        <f t="shared" si="375"/>
        <v>1.1548289897467603</v>
      </c>
      <c r="V450" s="18">
        <f t="shared" si="376"/>
        <v>0.52379139908648786</v>
      </c>
      <c r="W450" s="32" t="str">
        <f t="shared" si="363"/>
        <v>1-7.617153497917i</v>
      </c>
      <c r="X450" s="18">
        <f t="shared" si="377"/>
        <v>7.6825143937925162</v>
      </c>
      <c r="Y450" s="18">
        <f t="shared" si="378"/>
        <v>-1.4402602092172532</v>
      </c>
      <c r="Z450" s="32" t="str">
        <f t="shared" si="364"/>
        <v>0.098107784627751+3.48324547105544i</v>
      </c>
      <c r="AA450" s="18">
        <f t="shared" si="379"/>
        <v>3.4846268306710835</v>
      </c>
      <c r="AB450" s="18">
        <f t="shared" si="380"/>
        <v>1.5426381465182737</v>
      </c>
      <c r="AC450" s="67" t="str">
        <f t="shared" si="381"/>
        <v>-0.0696367206216774+0.0854061778967963i</v>
      </c>
      <c r="AD450" s="65">
        <f t="shared" si="382"/>
        <v>-19.156565490820274</v>
      </c>
      <c r="AE450" s="62">
        <f t="shared" si="383"/>
        <v>129.19240153233753</v>
      </c>
      <c r="AF450" s="50" t="str">
        <f t="shared" si="365"/>
        <v>79.1527877025864</v>
      </c>
      <c r="AG450" s="50" t="str">
        <f t="shared" si="366"/>
        <v>1+639.810973745821i</v>
      </c>
      <c r="AH450" s="50">
        <f t="shared" si="384"/>
        <v>639.81175522615683</v>
      </c>
      <c r="AI450" s="50">
        <f t="shared" si="385"/>
        <v>1.5692333664413665</v>
      </c>
      <c r="AJ450" s="50" t="str">
        <f t="shared" si="367"/>
        <v>1+0.57760712907609i</v>
      </c>
      <c r="AK450" s="50">
        <f t="shared" si="386"/>
        <v>1.1548289897467603</v>
      </c>
      <c r="AL450" s="50">
        <f t="shared" si="387"/>
        <v>0.52379139908648786</v>
      </c>
      <c r="AM450" s="50" t="str">
        <f t="shared" si="368"/>
        <v>1-2.66492481262547i</v>
      </c>
      <c r="AN450" s="50">
        <f t="shared" si="388"/>
        <v>2.8463703653858712</v>
      </c>
      <c r="AO450" s="50">
        <f t="shared" si="389"/>
        <v>-1.2118107843496302</v>
      </c>
      <c r="AP450" s="59" t="str">
        <f t="shared" si="390"/>
        <v>-0.257736231636772-0.3145441407372i</v>
      </c>
      <c r="AQ450" s="50">
        <f t="shared" si="391"/>
        <v>-7.8155382692233601</v>
      </c>
      <c r="AR450" s="62">
        <f t="shared" si="392"/>
        <v>-129.33105596695995</v>
      </c>
      <c r="AS450" s="32" t="str">
        <f t="shared" si="369"/>
        <v>-0.0000166666666666667</v>
      </c>
      <c r="AT450" s="32" t="str">
        <f t="shared" si="370"/>
        <v>0.00446332781558796i</v>
      </c>
      <c r="AU450" s="32">
        <f t="shared" si="393"/>
        <v>4.4633278155879596E-3</v>
      </c>
      <c r="AV450" s="32">
        <f t="shared" si="394"/>
        <v>1.5707963267948966</v>
      </c>
      <c r="AW450" s="32" t="str">
        <f t="shared" si="371"/>
        <v>1+4.53591480774458i</v>
      </c>
      <c r="AX450" s="32">
        <f t="shared" si="395"/>
        <v>4.6448383333671099</v>
      </c>
      <c r="AY450" s="32">
        <f t="shared" si="396"/>
        <v>1.3538047308695793</v>
      </c>
      <c r="AZ450" s="32" t="str">
        <f t="shared" si="372"/>
        <v>1+154.221103463316i</v>
      </c>
      <c r="BA450" s="32">
        <f t="shared" si="397"/>
        <v>154.22434552768516</v>
      </c>
      <c r="BB450" s="32">
        <f t="shared" si="398"/>
        <v>1.56431222077464</v>
      </c>
      <c r="BC450" s="59" t="str">
        <f t="shared" si="399"/>
        <v>-0.0259076241440144+0.12124891055232i</v>
      </c>
      <c r="BD450" s="50">
        <f t="shared" si="400"/>
        <v>-18.132554050844764</v>
      </c>
      <c r="BE450" s="62">
        <f t="shared" si="401"/>
        <v>102.06119072745274</v>
      </c>
      <c r="BF450" s="59" t="str">
        <f t="shared" si="402"/>
        <v>-0.00855128403993603-0.0106560476663417i</v>
      </c>
      <c r="BG450" s="65">
        <f t="shared" si="403"/>
        <v>-37.289119541665031</v>
      </c>
      <c r="BH450" s="62">
        <f t="shared" si="404"/>
        <v>-128.74640774020966</v>
      </c>
      <c r="BI450" s="59" t="str">
        <f t="shared" si="409"/>
        <v>0.0448154678025412-0.0231011459208976i</v>
      </c>
      <c r="BJ450" s="65">
        <f t="shared" si="405"/>
        <v>-25.948092320068135</v>
      </c>
      <c r="BK450" s="62">
        <f t="shared" si="410"/>
        <v>-27.269865239507158</v>
      </c>
      <c r="BL450" s="50">
        <f t="shared" si="406"/>
        <v>-37.289119541665031</v>
      </c>
      <c r="BM450" s="62">
        <f t="shared" si="407"/>
        <v>-128.74640774020966</v>
      </c>
    </row>
    <row r="451" spans="14:65" x14ac:dyDescent="0.3">
      <c r="N451" s="11">
        <v>33</v>
      </c>
      <c r="O451" s="51">
        <f t="shared" si="408"/>
        <v>213796.20895022334</v>
      </c>
      <c r="P451" s="49" t="str">
        <f t="shared" si="360"/>
        <v>27.9103246607183</v>
      </c>
      <c r="Q451" s="18" t="str">
        <f t="shared" si="361"/>
        <v>1+659.868541768856i</v>
      </c>
      <c r="R451" s="18">
        <f t="shared" si="373"/>
        <v>659.86929949510181</v>
      </c>
      <c r="S451" s="18">
        <f t="shared" si="374"/>
        <v>1.5692808745931786</v>
      </c>
      <c r="T451" s="18" t="str">
        <f t="shared" si="362"/>
        <v>1+0.591061327474966i</v>
      </c>
      <c r="U451" s="18">
        <f t="shared" si="375"/>
        <v>1.1616167581592773</v>
      </c>
      <c r="V451" s="18">
        <f t="shared" si="376"/>
        <v>0.53382102101907514</v>
      </c>
      <c r="W451" s="32" t="str">
        <f t="shared" si="363"/>
        <v>1-7.79457979554528i</v>
      </c>
      <c r="X451" s="18">
        <f t="shared" si="377"/>
        <v>7.8584651293444505</v>
      </c>
      <c r="Y451" s="18">
        <f t="shared" si="378"/>
        <v>-1.443199059773737</v>
      </c>
      <c r="Z451" s="32" t="str">
        <f t="shared" si="364"/>
        <v>0.055602914018851+3.5643806809247i</v>
      </c>
      <c r="AA451" s="18">
        <f t="shared" si="379"/>
        <v>3.5648143461611879</v>
      </c>
      <c r="AB451" s="18">
        <f t="shared" si="380"/>
        <v>1.5551979916626388</v>
      </c>
      <c r="AC451" s="67" t="str">
        <f t="shared" si="381"/>
        <v>-0.0679811994957859+0.0843191888514783i</v>
      </c>
      <c r="AD451" s="65">
        <f t="shared" si="382"/>
        <v>-19.306587052300006</v>
      </c>
      <c r="AE451" s="62">
        <f t="shared" si="383"/>
        <v>128.87702418319489</v>
      </c>
      <c r="AF451" s="50" t="str">
        <f t="shared" si="365"/>
        <v>79.1527877025864</v>
      </c>
      <c r="AG451" s="50" t="str">
        <f t="shared" si="366"/>
        <v>1+654.714085818423i</v>
      </c>
      <c r="AH451" s="50">
        <f t="shared" si="384"/>
        <v>654.71484951011564</v>
      </c>
      <c r="AI451" s="50">
        <f t="shared" si="385"/>
        <v>1.5692689437065721</v>
      </c>
      <c r="AJ451" s="50" t="str">
        <f t="shared" si="367"/>
        <v>1+0.591061327474966i</v>
      </c>
      <c r="AK451" s="50">
        <f t="shared" si="386"/>
        <v>1.1616167581592773</v>
      </c>
      <c r="AL451" s="50">
        <f t="shared" si="387"/>
        <v>0.53382102101907514</v>
      </c>
      <c r="AM451" s="50" t="str">
        <f t="shared" si="368"/>
        <v>1-2.72699888571474i</v>
      </c>
      <c r="AN451" s="50">
        <f t="shared" si="388"/>
        <v>2.9045693179350072</v>
      </c>
      <c r="AO451" s="50">
        <f t="shared" si="389"/>
        <v>-1.2193190766096644</v>
      </c>
      <c r="AP451" s="59" t="str">
        <f t="shared" si="390"/>
        <v>-0.257744962511141-0.316154588548342i</v>
      </c>
      <c r="AQ451" s="50">
        <f t="shared" si="391"/>
        <v>-7.7888272399947489</v>
      </c>
      <c r="AR451" s="62">
        <f t="shared" si="392"/>
        <v>-129.18863284510442</v>
      </c>
      <c r="AS451" s="32" t="str">
        <f t="shared" si="369"/>
        <v>-0.0000166666666666667</v>
      </c>
      <c r="AT451" s="32" t="str">
        <f t="shared" si="370"/>
        <v>0.00456729207594292i</v>
      </c>
      <c r="AU451" s="32">
        <f t="shared" si="393"/>
        <v>4.5672920759429201E-3</v>
      </c>
      <c r="AV451" s="32">
        <f t="shared" si="394"/>
        <v>1.5707963267948966</v>
      </c>
      <c r="AW451" s="32" t="str">
        <f t="shared" si="371"/>
        <v>1+4.64156983634752i</v>
      </c>
      <c r="AX451" s="32">
        <f t="shared" si="395"/>
        <v>4.7480701917401289</v>
      </c>
      <c r="AY451" s="32">
        <f t="shared" si="396"/>
        <v>1.3585954873960742</v>
      </c>
      <c r="AZ451" s="32" t="str">
        <f t="shared" si="372"/>
        <v>1+157.813374435816i</v>
      </c>
      <c r="BA451" s="32">
        <f t="shared" si="397"/>
        <v>157.81654270328909</v>
      </c>
      <c r="BB451" s="32">
        <f t="shared" si="398"/>
        <v>1.5644598130505007</v>
      </c>
      <c r="BC451" s="59" t="str">
        <f t="shared" si="399"/>
        <v>-0.0247933112263042+0.118729020815192i</v>
      </c>
      <c r="BD451" s="50">
        <f t="shared" si="400"/>
        <v>-18.323492826963157</v>
      </c>
      <c r="BE451" s="62">
        <f t="shared" si="401"/>
        <v>101.7951570123054</v>
      </c>
      <c r="BF451" s="59" t="str">
        <f t="shared" si="402"/>
        <v>-0.00832565569163078-0.0101618931415211i</v>
      </c>
      <c r="BG451" s="65">
        <f t="shared" si="403"/>
        <v>-37.630079879263164</v>
      </c>
      <c r="BH451" s="62">
        <f t="shared" si="404"/>
        <v>-129.32781880449969</v>
      </c>
      <c r="BI451" s="59" t="str">
        <f t="shared" si="409"/>
        <v>0.0439270757971254-0.0227632879094929i</v>
      </c>
      <c r="BJ451" s="65">
        <f t="shared" si="405"/>
        <v>-26.112320066957906</v>
      </c>
      <c r="BK451" s="62">
        <f t="shared" si="410"/>
        <v>-27.39347583279898</v>
      </c>
      <c r="BL451" s="50">
        <f t="shared" si="406"/>
        <v>-37.630079879263164</v>
      </c>
      <c r="BM451" s="62">
        <f t="shared" si="407"/>
        <v>-129.32781880449969</v>
      </c>
    </row>
    <row r="452" spans="14:65" x14ac:dyDescent="0.3">
      <c r="N452" s="11">
        <v>34</v>
      </c>
      <c r="O452" s="51">
        <f t="shared" si="408"/>
        <v>218776.16239495538</v>
      </c>
      <c r="P452" s="49" t="str">
        <f t="shared" si="360"/>
        <v>27.9103246607183</v>
      </c>
      <c r="Q452" s="18" t="str">
        <f t="shared" si="361"/>
        <v>1+675.238854618591i</v>
      </c>
      <c r="R452" s="18">
        <f t="shared" si="373"/>
        <v>675.23959509690087</v>
      </c>
      <c r="S452" s="18">
        <f t="shared" si="374"/>
        <v>1.5693153704457725</v>
      </c>
      <c r="T452" s="18" t="str">
        <f t="shared" si="362"/>
        <v>1+0.604828914413293i</v>
      </c>
      <c r="U452" s="18">
        <f t="shared" si="375"/>
        <v>1.1686821705281392</v>
      </c>
      <c r="V452" s="18">
        <f t="shared" si="376"/>
        <v>0.5439626095232919</v>
      </c>
      <c r="W452" s="32" t="str">
        <f t="shared" si="363"/>
        <v>1-7.97613888255464i</v>
      </c>
      <c r="X452" s="18">
        <f t="shared" si="377"/>
        <v>8.0385814341710802</v>
      </c>
      <c r="Y452" s="18">
        <f t="shared" si="378"/>
        <v>-1.4460731569101806</v>
      </c>
      <c r="Z452" s="32" t="str">
        <f t="shared" si="364"/>
        <v>0.01109485057306+3.64740577261115i</v>
      </c>
      <c r="AA452" s="18">
        <f t="shared" si="379"/>
        <v>3.6474226469914859</v>
      </c>
      <c r="AB452" s="18">
        <f t="shared" si="380"/>
        <v>1.567754489103856</v>
      </c>
      <c r="AC452" s="67" t="str">
        <f t="shared" si="381"/>
        <v>-0.0663791385543256+0.0832350742525732i</v>
      </c>
      <c r="AD452" s="65">
        <f t="shared" si="382"/>
        <v>-19.456065371532098</v>
      </c>
      <c r="AE452" s="62">
        <f t="shared" si="383"/>
        <v>128.57200999060322</v>
      </c>
      <c r="AF452" s="50" t="str">
        <f t="shared" si="365"/>
        <v>79.1527877025864</v>
      </c>
      <c r="AG452" s="50" t="str">
        <f t="shared" si="366"/>
        <v>1+669.964335965493i</v>
      </c>
      <c r="AH452" s="50">
        <f t="shared" si="384"/>
        <v>669.96508227345987</v>
      </c>
      <c r="AI452" s="50">
        <f t="shared" si="385"/>
        <v>1.5693037111380872</v>
      </c>
      <c r="AJ452" s="50" t="str">
        <f t="shared" si="367"/>
        <v>1+0.604828914413293i</v>
      </c>
      <c r="AK452" s="50">
        <f t="shared" si="386"/>
        <v>1.1686821705281392</v>
      </c>
      <c r="AL452" s="50">
        <f t="shared" si="387"/>
        <v>0.5439626095232919</v>
      </c>
      <c r="AM452" s="50" t="str">
        <f t="shared" si="368"/>
        <v>1-2.79051884970932i</v>
      </c>
      <c r="AN452" s="50">
        <f t="shared" si="388"/>
        <v>2.9642866680844193</v>
      </c>
      <c r="AO452" s="50">
        <f t="shared" si="389"/>
        <v>-1.2266966278864757</v>
      </c>
      <c r="AP452" s="59" t="str">
        <f t="shared" si="390"/>
        <v>-0.257753300433225-0.317932664506434i</v>
      </c>
      <c r="AQ452" s="50">
        <f t="shared" si="391"/>
        <v>-7.7593866834168583</v>
      </c>
      <c r="AR452" s="62">
        <f t="shared" si="392"/>
        <v>-129.03225720464741</v>
      </c>
      <c r="AS452" s="32" t="str">
        <f t="shared" si="369"/>
        <v>-0.0000166666666666667</v>
      </c>
      <c r="AT452" s="32" t="str">
        <f t="shared" si="370"/>
        <v>0.0046736779750118i</v>
      </c>
      <c r="AU452" s="32">
        <f t="shared" si="393"/>
        <v>4.6736779750117998E-3</v>
      </c>
      <c r="AV452" s="32">
        <f t="shared" si="394"/>
        <v>1.5707963267948966</v>
      </c>
      <c r="AW452" s="32" t="str">
        <f t="shared" si="371"/>
        <v>1+4.74968588671615i</v>
      </c>
      <c r="AX452" s="32">
        <f t="shared" si="395"/>
        <v>4.8538145846818841</v>
      </c>
      <c r="AY452" s="32">
        <f t="shared" si="396"/>
        <v>1.3632867684477341</v>
      </c>
      <c r="AZ452" s="32" t="str">
        <f t="shared" si="372"/>
        <v>1+161.489320148349i</v>
      </c>
      <c r="BA452" s="32">
        <f t="shared" si="397"/>
        <v>161.49241629864838</v>
      </c>
      <c r="BB452" s="32">
        <f t="shared" si="398"/>
        <v>1.5646040459827568</v>
      </c>
      <c r="BC452" s="59" t="str">
        <f t="shared" si="399"/>
        <v>-0.0237247928244829+0.116251384467541i</v>
      </c>
      <c r="BD452" s="50">
        <f t="shared" si="400"/>
        <v>-18.514821709063959</v>
      </c>
      <c r="BE452" s="62">
        <f t="shared" si="401"/>
        <v>101.53463034582066</v>
      </c>
      <c r="BF452" s="59" t="str">
        <f t="shared" si="402"/>
        <v>-0.00810136130805119-0.00969140164907583i</v>
      </c>
      <c r="BG452" s="65">
        <f t="shared" si="403"/>
        <v>-37.970887080596057</v>
      </c>
      <c r="BH452" s="62">
        <f t="shared" si="404"/>
        <v>-129.89335966357609</v>
      </c>
      <c r="BI452" s="59" t="str">
        <f t="shared" si="409"/>
        <v>0.0430752560689321-0.0224212914288895i</v>
      </c>
      <c r="BJ452" s="65">
        <f t="shared" si="405"/>
        <v>-26.274208392480823</v>
      </c>
      <c r="BK452" s="62">
        <f t="shared" si="410"/>
        <v>-27.497626858826798</v>
      </c>
      <c r="BL452" s="50">
        <f t="shared" si="406"/>
        <v>-37.970887080596057</v>
      </c>
      <c r="BM452" s="62">
        <f t="shared" si="407"/>
        <v>-129.89335966357609</v>
      </c>
    </row>
    <row r="453" spans="14:65" x14ac:dyDescent="0.3">
      <c r="N453" s="11">
        <v>35</v>
      </c>
      <c r="O453" s="51">
        <f t="shared" si="408"/>
        <v>223872.11385683404</v>
      </c>
      <c r="P453" s="49" t="str">
        <f t="shared" si="360"/>
        <v>27.9103246607183</v>
      </c>
      <c r="Q453" s="18" t="str">
        <f t="shared" si="361"/>
        <v>1+690.967188046889i</v>
      </c>
      <c r="R453" s="18">
        <f t="shared" si="373"/>
        <v>690.96791166987259</v>
      </c>
      <c r="S453" s="18">
        <f t="shared" si="374"/>
        <v>1.5693490810803017</v>
      </c>
      <c r="T453" s="18" t="str">
        <f t="shared" si="362"/>
        <v>1+0.618917189647901i</v>
      </c>
      <c r="U453" s="18">
        <f t="shared" si="375"/>
        <v>1.176035070753273</v>
      </c>
      <c r="V453" s="18">
        <f t="shared" si="376"/>
        <v>0.55421319665589486</v>
      </c>
      <c r="W453" s="32" t="str">
        <f t="shared" si="363"/>
        <v>1-8.16192702397623i</v>
      </c>
      <c r="X453" s="18">
        <f t="shared" si="377"/>
        <v>8.2229588801546036</v>
      </c>
      <c r="Y453" s="18">
        <f t="shared" si="378"/>
        <v>-1.4488838344793393</v>
      </c>
      <c r="Z453" s="32" t="str">
        <f t="shared" si="364"/>
        <v>-0.0355108132794999+3.73236476711737i</v>
      </c>
      <c r="AA453" s="18">
        <f t="shared" si="379"/>
        <v>3.7325336934418787</v>
      </c>
      <c r="AB453" s="18">
        <f t="shared" si="380"/>
        <v>1.580310333075817</v>
      </c>
      <c r="AC453" s="67" t="str">
        <f t="shared" si="381"/>
        <v>-0.0648286966811874+0.0821552771301272i</v>
      </c>
      <c r="AD453" s="65">
        <f t="shared" si="382"/>
        <v>-19.604966722680214</v>
      </c>
      <c r="AE453" s="62">
        <f t="shared" si="383"/>
        <v>128.27695706364614</v>
      </c>
      <c r="AF453" s="50" t="str">
        <f t="shared" si="365"/>
        <v>79.1527877025864</v>
      </c>
      <c r="AG453" s="50" t="str">
        <f t="shared" si="366"/>
        <v>1+685.569810071519i</v>
      </c>
      <c r="AH453" s="50">
        <f t="shared" si="384"/>
        <v>685.57053939146078</v>
      </c>
      <c r="AI453" s="50">
        <f t="shared" si="385"/>
        <v>1.5693376871697273</v>
      </c>
      <c r="AJ453" s="50" t="str">
        <f t="shared" si="367"/>
        <v>1+0.618917189647901i</v>
      </c>
      <c r="AK453" s="50">
        <f t="shared" si="386"/>
        <v>1.176035070753273</v>
      </c>
      <c r="AL453" s="50">
        <f t="shared" si="387"/>
        <v>0.55421319665589486</v>
      </c>
      <c r="AM453" s="50" t="str">
        <f t="shared" si="368"/>
        <v>1-2.8555183837349i</v>
      </c>
      <c r="AN453" s="50">
        <f t="shared" si="388"/>
        <v>3.0255553605657215</v>
      </c>
      <c r="AO453" s="50">
        <f t="shared" si="389"/>
        <v>-1.2339441365062562</v>
      </c>
      <c r="AP453" s="59" t="str">
        <f t="shared" si="390"/>
        <v>-0.257761263088632-0.319879311451027i</v>
      </c>
      <c r="AQ453" s="50">
        <f t="shared" si="391"/>
        <v>-7.7272110925088109</v>
      </c>
      <c r="AR453" s="62">
        <f t="shared" si="392"/>
        <v>-128.86214016353372</v>
      </c>
      <c r="AS453" s="32" t="str">
        <f t="shared" si="369"/>
        <v>-0.0000166666666666667</v>
      </c>
      <c r="AT453" s="32" t="str">
        <f t="shared" si="370"/>
        <v>0.00478254192000648i</v>
      </c>
      <c r="AU453" s="32">
        <f t="shared" si="393"/>
        <v>4.7825419200064802E-3</v>
      </c>
      <c r="AV453" s="32">
        <f t="shared" si="394"/>
        <v>1.5707963267948966</v>
      </c>
      <c r="AW453" s="32" t="str">
        <f t="shared" si="371"/>
        <v>1+4.86032028341145i</v>
      </c>
      <c r="AX453" s="32">
        <f t="shared" si="395"/>
        <v>4.9621278961087603</v>
      </c>
      <c r="AY453" s="32">
        <f t="shared" si="396"/>
        <v>1.3678802350501795</v>
      </c>
      <c r="AZ453" s="32" t="str">
        <f t="shared" si="372"/>
        <v>1+165.250889635989i</v>
      </c>
      <c r="BA453" s="32">
        <f t="shared" si="397"/>
        <v>165.25391531060865</v>
      </c>
      <c r="BB453" s="32">
        <f t="shared" si="398"/>
        <v>1.5647449960216004</v>
      </c>
      <c r="BC453" s="59" t="str">
        <f t="shared" si="399"/>
        <v>-0.0227003673736714+0.113815953128758i</v>
      </c>
      <c r="BD453" s="50">
        <f t="shared" si="400"/>
        <v>-18.706524633577093</v>
      </c>
      <c r="BE453" s="62">
        <f t="shared" si="401"/>
        <v>101.27951993851417</v>
      </c>
      <c r="BF453" s="59" t="str">
        <f t="shared" si="402"/>
        <v>-0.00787894594010342-0.00924349487540417i</v>
      </c>
      <c r="BG453" s="65">
        <f t="shared" si="403"/>
        <v>-38.311491356257299</v>
      </c>
      <c r="BH453" s="62">
        <f t="shared" si="404"/>
        <v>-130.44352299783969</v>
      </c>
      <c r="BI453" s="59" t="str">
        <f t="shared" si="409"/>
        <v>0.042258644085783-0.0220759659529298i</v>
      </c>
      <c r="BJ453" s="65">
        <f t="shared" si="405"/>
        <v>-26.433735726085903</v>
      </c>
      <c r="BK453" s="62">
        <f t="shared" si="410"/>
        <v>-27.582620225019518</v>
      </c>
      <c r="BL453" s="50">
        <f t="shared" si="406"/>
        <v>-38.311491356257299</v>
      </c>
      <c r="BM453" s="62">
        <f t="shared" si="407"/>
        <v>-130.44352299783969</v>
      </c>
    </row>
    <row r="454" spans="14:65" x14ac:dyDescent="0.3">
      <c r="N454" s="11">
        <v>36</v>
      </c>
      <c r="O454" s="51">
        <f t="shared" si="408"/>
        <v>229086.76527677779</v>
      </c>
      <c r="P454" s="49" t="str">
        <f t="shared" si="360"/>
        <v>27.9103246607183</v>
      </c>
      <c r="Q454" s="18" t="str">
        <f t="shared" si="361"/>
        <v>1+707.061881424319i</v>
      </c>
      <c r="R454" s="18">
        <f t="shared" si="373"/>
        <v>707.06258857564922</v>
      </c>
      <c r="S454" s="18">
        <f t="shared" si="374"/>
        <v>1.5693820243702841</v>
      </c>
      <c r="T454" s="18" t="str">
        <f t="shared" si="362"/>
        <v>1+0.633333622968795i</v>
      </c>
      <c r="U454" s="18">
        <f t="shared" si="375"/>
        <v>1.1836855486077287</v>
      </c>
      <c r="V454" s="18">
        <f t="shared" si="376"/>
        <v>0.56456960038648329</v>
      </c>
      <c r="W454" s="32" t="str">
        <f t="shared" si="363"/>
        <v>1-8.35204272714178i</v>
      </c>
      <c r="X454" s="18">
        <f t="shared" si="377"/>
        <v>8.4116952938157432</v>
      </c>
      <c r="Y454" s="18">
        <f t="shared" si="378"/>
        <v>-1.4516324050118725</v>
      </c>
      <c r="Z454" s="32" t="str">
        <f t="shared" si="364"/>
        <v>-0.0843129344003699+3.81930271082679i</v>
      </c>
      <c r="AA454" s="18">
        <f t="shared" si="379"/>
        <v>3.8202332216549379</v>
      </c>
      <c r="AB454" s="18">
        <f t="shared" si="380"/>
        <v>1.5928682202277</v>
      </c>
      <c r="AC454" s="67" t="str">
        <f t="shared" si="381"/>
        <v>-0.0633280431955924+0.0810811287851174i</v>
      </c>
      <c r="AD454" s="65">
        <f t="shared" si="382"/>
        <v>-19.753259394403287</v>
      </c>
      <c r="AE454" s="62">
        <f t="shared" si="383"/>
        <v>127.99145235225058</v>
      </c>
      <c r="AF454" s="50" t="str">
        <f t="shared" si="365"/>
        <v>79.1527877025864</v>
      </c>
      <c r="AG454" s="50" t="str">
        <f t="shared" si="366"/>
        <v>1+701.538782365432i</v>
      </c>
      <c r="AH454" s="50">
        <f t="shared" si="384"/>
        <v>701.5394950840423</v>
      </c>
      <c r="AI454" s="50">
        <f t="shared" si="385"/>
        <v>1.5693708898157208</v>
      </c>
      <c r="AJ454" s="50" t="str">
        <f t="shared" si="367"/>
        <v>1+0.633333622968795i</v>
      </c>
      <c r="AK454" s="50">
        <f t="shared" si="386"/>
        <v>1.1836855486077287</v>
      </c>
      <c r="AL454" s="50">
        <f t="shared" si="387"/>
        <v>0.56456960038648329</v>
      </c>
      <c r="AM454" s="50" t="str">
        <f t="shared" si="368"/>
        <v>1-2.92203195140479i</v>
      </c>
      <c r="AN454" s="50">
        <f t="shared" si="388"/>
        <v>3.0884090928875478</v>
      </c>
      <c r="AO454" s="50">
        <f t="shared" si="389"/>
        <v>-1.2410623987615206</v>
      </c>
      <c r="AP454" s="59" t="str">
        <f t="shared" si="390"/>
        <v>-0.257768867367003-0.321995561594888i</v>
      </c>
      <c r="AQ454" s="50">
        <f t="shared" si="391"/>
        <v>-7.692294859829004</v>
      </c>
      <c r="AR454" s="62">
        <f t="shared" si="392"/>
        <v>-128.67851069501549</v>
      </c>
      <c r="AS454" s="32" t="str">
        <f t="shared" si="369"/>
        <v>-0.0000166666666666667</v>
      </c>
      <c r="AT454" s="32" t="str">
        <f t="shared" si="370"/>
        <v>0.00489394163203159i</v>
      </c>
      <c r="AU454" s="32">
        <f t="shared" si="393"/>
        <v>4.89394163203159E-3</v>
      </c>
      <c r="AV454" s="32">
        <f t="shared" si="394"/>
        <v>1.5707963267948966</v>
      </c>
      <c r="AW454" s="32" t="str">
        <f t="shared" si="371"/>
        <v>1+4.97353168625494i</v>
      </c>
      <c r="AX454" s="32">
        <f t="shared" si="395"/>
        <v>5.0730678523140122</v>
      </c>
      <c r="AY454" s="32">
        <f t="shared" si="396"/>
        <v>1.372377546981828</v>
      </c>
      <c r="AZ454" s="32" t="str">
        <f t="shared" si="372"/>
        <v>1+169.100077332668i</v>
      </c>
      <c r="BA454" s="32">
        <f t="shared" si="397"/>
        <v>169.10303413574312</v>
      </c>
      <c r="BB454" s="32">
        <f t="shared" si="398"/>
        <v>1.5648827378781929</v>
      </c>
      <c r="BC454" s="59" t="str">
        <f t="shared" si="399"/>
        <v>-0.0217183811795149+0.111422628168465i</v>
      </c>
      <c r="BD454" s="50">
        <f t="shared" si="400"/>
        <v>-18.898586136471412</v>
      </c>
      <c r="BE454" s="62">
        <f t="shared" si="401"/>
        <v>101.02973497272197</v>
      </c>
      <c r="BF454" s="59" t="str">
        <f t="shared" si="402"/>
        <v>-0.0076588898826289-0.0088171278710395i</v>
      </c>
      <c r="BG454" s="65">
        <f t="shared" si="403"/>
        <v>-38.651845530874695</v>
      </c>
      <c r="BH454" s="62">
        <f t="shared" si="404"/>
        <v>-130.97881267502743</v>
      </c>
      <c r="BI454" s="59" t="str">
        <f t="shared" si="409"/>
        <v>0.0414759142491717-0.0217280623172102i</v>
      </c>
      <c r="BJ454" s="65">
        <f t="shared" si="405"/>
        <v>-26.590880996300413</v>
      </c>
      <c r="BK454" s="62">
        <f t="shared" si="410"/>
        <v>-27.648775722293504</v>
      </c>
      <c r="BL454" s="50">
        <f t="shared" si="406"/>
        <v>-38.651845530874695</v>
      </c>
      <c r="BM454" s="62">
        <f t="shared" si="407"/>
        <v>-130.97881267502743</v>
      </c>
    </row>
    <row r="455" spans="14:65" x14ac:dyDescent="0.3">
      <c r="N455" s="11">
        <v>37</v>
      </c>
      <c r="O455" s="51">
        <f t="shared" si="408"/>
        <v>234422.88153199267</v>
      </c>
      <c r="P455" s="49" t="str">
        <f t="shared" si="360"/>
        <v>27.9103246607183</v>
      </c>
      <c r="Q455" s="18" t="str">
        <f t="shared" si="361"/>
        <v>1+723.531468370352i</v>
      </c>
      <c r="R455" s="18">
        <f t="shared" si="373"/>
        <v>723.5321594249682</v>
      </c>
      <c r="S455" s="18">
        <f t="shared" si="374"/>
        <v>1.569414217782402</v>
      </c>
      <c r="T455" s="18" t="str">
        <f t="shared" si="362"/>
        <v>1+0.64808585815975i</v>
      </c>
      <c r="U455" s="18">
        <f t="shared" si="375"/>
        <v>1.1916439399194121</v>
      </c>
      <c r="V455" s="18">
        <f t="shared" si="376"/>
        <v>0.57502842526242381</v>
      </c>
      <c r="W455" s="32" t="str">
        <f t="shared" si="363"/>
        <v>1-8.54658679391363i</v>
      </c>
      <c r="X455" s="18">
        <f t="shared" si="377"/>
        <v>8.6048908084820503</v>
      </c>
      <c r="Y455" s="18">
        <f t="shared" si="378"/>
        <v>-1.4543201596314193</v>
      </c>
      <c r="Z455" s="32" t="str">
        <f t="shared" si="364"/>
        <v>-0.13541502863147+3.90826569938794i</v>
      </c>
      <c r="AA455" s="18">
        <f t="shared" si="379"/>
        <v>3.9106109506049775</v>
      </c>
      <c r="AB455" s="18">
        <f t="shared" si="380"/>
        <v>1.6054308396547496</v>
      </c>
      <c r="AC455" s="67" t="str">
        <f t="shared" si="381"/>
        <v>-0.0618753617754586+0.0800138526418458i</v>
      </c>
      <c r="AD455" s="65">
        <f t="shared" si="382"/>
        <v>-19.9009138113679</v>
      </c>
      <c r="AE455" s="62">
        <f t="shared" si="383"/>
        <v>127.71507226079999</v>
      </c>
      <c r="AF455" s="50" t="str">
        <f t="shared" si="365"/>
        <v>79.1527877025864</v>
      </c>
      <c r="AG455" s="50" t="str">
        <f t="shared" si="366"/>
        <v>1+717.879719807721i</v>
      </c>
      <c r="AH455" s="50">
        <f t="shared" si="384"/>
        <v>717.88041630289104</v>
      </c>
      <c r="AI455" s="50">
        <f t="shared" si="385"/>
        <v>1.5694033366802564</v>
      </c>
      <c r="AJ455" s="50" t="str">
        <f t="shared" si="367"/>
        <v>1+0.64808585815975i</v>
      </c>
      <c r="AK455" s="50">
        <f t="shared" si="386"/>
        <v>1.1916439399194121</v>
      </c>
      <c r="AL455" s="50">
        <f t="shared" si="387"/>
        <v>0.57502842526242381</v>
      </c>
      <c r="AM455" s="50" t="str">
        <f t="shared" si="368"/>
        <v>1-2.99009481909298i</v>
      </c>
      <c r="AN455" s="50">
        <f t="shared" si="388"/>
        <v>3.1528823363973926</v>
      </c>
      <c r="AO455" s="50">
        <f t="shared" si="389"/>
        <v>-1.2480523024836583</v>
      </c>
      <c r="AP455" s="59" t="str">
        <f t="shared" si="390"/>
        <v>-0.257776129397828-0.324282537071654i</v>
      </c>
      <c r="AQ455" s="50">
        <f t="shared" si="391"/>
        <v>-7.6546323760953596</v>
      </c>
      <c r="AR455" s="62">
        <f t="shared" si="392"/>
        <v>-128.4816152218354</v>
      </c>
      <c r="AS455" s="32" t="str">
        <f t="shared" si="369"/>
        <v>-0.0000166666666666667</v>
      </c>
      <c r="AT455" s="32" t="str">
        <f t="shared" si="370"/>
        <v>0.00500793617668896i</v>
      </c>
      <c r="AU455" s="32">
        <f t="shared" si="393"/>
        <v>5.0079361766889596E-3</v>
      </c>
      <c r="AV455" s="32">
        <f t="shared" si="394"/>
        <v>1.5707963267948966</v>
      </c>
      <c r="AW455" s="32" t="str">
        <f t="shared" si="371"/>
        <v>1+5.08938012143097i</v>
      </c>
      <c r="AX455" s="32">
        <f t="shared" si="395"/>
        <v>5.1866935537408336</v>
      </c>
      <c r="AY455" s="32">
        <f t="shared" si="396"/>
        <v>1.3767803607382076</v>
      </c>
      <c r="AZ455" s="32" t="str">
        <f t="shared" si="372"/>
        <v>1+173.038924128653i</v>
      </c>
      <c r="BA455" s="32">
        <f t="shared" si="397"/>
        <v>173.04181362781</v>
      </c>
      <c r="BB455" s="32">
        <f t="shared" si="398"/>
        <v>1.5650173445641711</v>
      </c>
      <c r="BC455" s="59" t="str">
        <f t="shared" si="399"/>
        <v>-0.0207772284392229+0.109071264330297i</v>
      </c>
      <c r="BD455" s="50">
        <f t="shared" si="400"/>
        <v>-19.090991336150481</v>
      </c>
      <c r="BE455" s="62">
        <f t="shared" si="401"/>
        <v>100.78518472150009</v>
      </c>
      <c r="BF455" s="59" t="str">
        <f t="shared" si="402"/>
        <v>-0.00744161354521593-0.00841129003438575i</v>
      </c>
      <c r="BG455" s="65">
        <f t="shared" si="403"/>
        <v>-38.991905147518381</v>
      </c>
      <c r="BH455" s="62">
        <f t="shared" si="404"/>
        <v>-131.4997430176999</v>
      </c>
      <c r="BI455" s="59" t="str">
        <f t="shared" si="409"/>
        <v>0.0407257798453191-0.0213782759960028i</v>
      </c>
      <c r="BJ455" s="65">
        <f t="shared" si="405"/>
        <v>-26.745623712245834</v>
      </c>
      <c r="BK455" s="62">
        <f t="shared" si="410"/>
        <v>-27.696430500335282</v>
      </c>
      <c r="BL455" s="50">
        <f t="shared" si="406"/>
        <v>-38.991905147518381</v>
      </c>
      <c r="BM455" s="62">
        <f t="shared" si="407"/>
        <v>-131.4997430176999</v>
      </c>
    </row>
    <row r="456" spans="14:65" x14ac:dyDescent="0.3">
      <c r="N456" s="11">
        <v>38</v>
      </c>
      <c r="O456" s="51">
        <f t="shared" si="408"/>
        <v>239883.29190194907</v>
      </c>
      <c r="P456" s="49" t="str">
        <f t="shared" si="360"/>
        <v>27.9103246607183</v>
      </c>
      <c r="Q456" s="18" t="str">
        <f t="shared" si="361"/>
        <v>1+740.384681277983i</v>
      </c>
      <c r="R456" s="18">
        <f t="shared" si="373"/>
        <v>740.38535660229024</v>
      </c>
      <c r="S456" s="18">
        <f t="shared" si="374"/>
        <v>1.5694456783857613</v>
      </c>
      <c r="T456" s="18" t="str">
        <f t="shared" si="362"/>
        <v>1+0.663181717051129i</v>
      </c>
      <c r="U456" s="18">
        <f t="shared" si="375"/>
        <v>1.1999208264843493</v>
      </c>
      <c r="V456" s="18">
        <f t="shared" si="376"/>
        <v>0.58558606396301438</v>
      </c>
      <c r="W456" s="32" t="str">
        <f t="shared" si="363"/>
        <v>1-8.74566237413103i</v>
      </c>
      <c r="X456" s="18">
        <f t="shared" si="377"/>
        <v>8.802647917660412</v>
      </c>
      <c r="Y456" s="18">
        <f t="shared" si="378"/>
        <v>-1.4569483680061817</v>
      </c>
      <c r="Z456" s="32" t="str">
        <f t="shared" si="364"/>
        <v>-0.18892549036603+3.99930090215491i</v>
      </c>
      <c r="AA456" s="18">
        <f t="shared" si="379"/>
        <v>4.0037608004084264</v>
      </c>
      <c r="AB456" s="18">
        <f t="shared" si="380"/>
        <v>1.6180008629322555</v>
      </c>
      <c r="AC456" s="67" t="str">
        <f t="shared" si="381"/>
        <v>-0.0604688540542748+0.0789545681191431i</v>
      </c>
      <c r="AD456" s="65">
        <f t="shared" si="382"/>
        <v>-20.047902653515678</v>
      </c>
      <c r="AE456" s="62">
        <f t="shared" si="383"/>
        <v>127.44738331043732</v>
      </c>
      <c r="AF456" s="50" t="str">
        <f t="shared" si="365"/>
        <v>79.1527877025864</v>
      </c>
      <c r="AG456" s="50" t="str">
        <f t="shared" si="366"/>
        <v>1+734.60128657971i</v>
      </c>
      <c r="AH456" s="50">
        <f t="shared" si="384"/>
        <v>734.60196722072908</v>
      </c>
      <c r="AI456" s="50">
        <f t="shared" si="385"/>
        <v>1.5694350449668184</v>
      </c>
      <c r="AJ456" s="50" t="str">
        <f t="shared" si="367"/>
        <v>1+0.663181717051129i</v>
      </c>
      <c r="AK456" s="50">
        <f t="shared" si="386"/>
        <v>1.1999208264843493</v>
      </c>
      <c r="AL456" s="50">
        <f t="shared" si="387"/>
        <v>0.58558606396301438</v>
      </c>
      <c r="AM456" s="50" t="str">
        <f t="shared" si="368"/>
        <v>1-3.05974307463283i</v>
      </c>
      <c r="AN456" s="50">
        <f t="shared" si="388"/>
        <v>3.2190103576663995</v>
      </c>
      <c r="AO456" s="50">
        <f t="shared" si="389"/>
        <v>-1.2549148207665151</v>
      </c>
      <c r="AP456" s="59" t="str">
        <f t="shared" si="390"/>
        <v>-0.257783064584666-0.326741450531139i</v>
      </c>
      <c r="AQ456" s="50">
        <f t="shared" si="391"/>
        <v>-7.6142181335708381</v>
      </c>
      <c r="AR456" s="62">
        <f t="shared" si="392"/>
        <v>-128.27171716810227</v>
      </c>
      <c r="AS456" s="32" t="str">
        <f t="shared" si="369"/>
        <v>-0.0000166666666666667</v>
      </c>
      <c r="AT456" s="32" t="str">
        <f t="shared" si="370"/>
        <v>0.00512458599539507i</v>
      </c>
      <c r="AU456" s="32">
        <f t="shared" si="393"/>
        <v>5.1245859953950703E-3</v>
      </c>
      <c r="AV456" s="32">
        <f t="shared" si="394"/>
        <v>1.5707963267948966</v>
      </c>
      <c r="AW456" s="32" t="str">
        <f t="shared" si="371"/>
        <v>1+5.20792701331327i</v>
      </c>
      <c r="AX456" s="32">
        <f t="shared" si="395"/>
        <v>5.3030655074209747</v>
      </c>
      <c r="AY456" s="32">
        <f t="shared" si="396"/>
        <v>1.3810903276432021</v>
      </c>
      <c r="AZ456" s="32" t="str">
        <f t="shared" si="372"/>
        <v>1+177.069518452651i</v>
      </c>
      <c r="BA456" s="32">
        <f t="shared" si="397"/>
        <v>177.07234217983822</v>
      </c>
      <c r="BB456" s="32">
        <f t="shared" si="398"/>
        <v>1.565148887430259</v>
      </c>
      <c r="BC456" s="59" t="str">
        <f t="shared" si="399"/>
        <v>-0.019875351111349+0.106761673197125i</v>
      </c>
      <c r="BD456" s="50">
        <f t="shared" si="400"/>
        <v>-19.283725916367832</v>
      </c>
      <c r="BE456" s="62">
        <f t="shared" si="401"/>
        <v>100.5457786590546</v>
      </c>
      <c r="BF456" s="59" t="str">
        <f t="shared" si="402"/>
        <v>-0.00722748209332647-0.00802500579836002i</v>
      </c>
      <c r="BG456" s="65">
        <f t="shared" si="403"/>
        <v>-39.331628569883506</v>
      </c>
      <c r="BH456" s="62">
        <f t="shared" si="404"/>
        <v>-132.00683803050808</v>
      </c>
      <c r="BI456" s="59" t="str">
        <f t="shared" si="409"/>
        <v>0.0400069928807398-0.0210272502450036i</v>
      </c>
      <c r="BJ456" s="65">
        <f t="shared" si="405"/>
        <v>-26.897944049938673</v>
      </c>
      <c r="BK456" s="62">
        <f t="shared" si="410"/>
        <v>-27.725938509047662</v>
      </c>
      <c r="BL456" s="50">
        <f t="shared" si="406"/>
        <v>-39.331628569883506</v>
      </c>
      <c r="BM456" s="62">
        <f t="shared" si="407"/>
        <v>-132.00683803050808</v>
      </c>
    </row>
    <row r="457" spans="14:65" x14ac:dyDescent="0.3">
      <c r="N457" s="11">
        <v>39</v>
      </c>
      <c r="O457" s="51">
        <f t="shared" si="408"/>
        <v>245470.89156850305</v>
      </c>
      <c r="P457" s="49" t="str">
        <f t="shared" si="360"/>
        <v>27.9103246607183</v>
      </c>
      <c r="Q457" s="18" t="str">
        <f t="shared" si="361"/>
        <v>1+757.630455943778i</v>
      </c>
      <c r="R457" s="18">
        <f t="shared" si="373"/>
        <v>757.63111589584071</v>
      </c>
      <c r="S457" s="18">
        <f t="shared" si="374"/>
        <v>1.5694764228609415</v>
      </c>
      <c r="T457" s="18" t="str">
        <f t="shared" si="362"/>
        <v>1+0.678629203667136i</v>
      </c>
      <c r="U457" s="18">
        <f t="shared" si="375"/>
        <v>1.2085270357215394</v>
      </c>
      <c r="V457" s="18">
        <f t="shared" si="376"/>
        <v>0.59623869977706767</v>
      </c>
      <c r="W457" s="32" t="str">
        <f t="shared" si="363"/>
        <v>1-8.94937502030173i</v>
      </c>
      <c r="X457" s="18">
        <f t="shared" si="377"/>
        <v>9.0050715296437591</v>
      </c>
      <c r="Y457" s="18">
        <f t="shared" si="378"/>
        <v>-1.4595182783342535</v>
      </c>
      <c r="Z457" s="32" t="str">
        <f t="shared" si="364"/>
        <v>-0.24495782246768+4.09245658719721i</v>
      </c>
      <c r="AA457" s="18">
        <f t="shared" si="379"/>
        <v>4.0997811225578795</v>
      </c>
      <c r="AB457" s="18">
        <f t="shared" si="380"/>
        <v>1.6305809341572459</v>
      </c>
      <c r="AC457" s="67" t="str">
        <f t="shared" si="381"/>
        <v>-0.0591067429095495+0.0779042945004119i</v>
      </c>
      <c r="AD457" s="65">
        <f t="shared" si="382"/>
        <v>-20.194200972467542</v>
      </c>
      <c r="AE457" s="62">
        <f t="shared" si="383"/>
        <v>127.18794285190985</v>
      </c>
      <c r="AF457" s="50" t="str">
        <f t="shared" si="365"/>
        <v>79.1527877025864</v>
      </c>
      <c r="AG457" s="50" t="str">
        <f t="shared" si="366"/>
        <v>1+751.712348677441i</v>
      </c>
      <c r="AH457" s="50">
        <f t="shared" si="384"/>
        <v>751.71301382519289</v>
      </c>
      <c r="AI457" s="50">
        <f t="shared" si="385"/>
        <v>1.5694660314873043</v>
      </c>
      <c r="AJ457" s="50" t="str">
        <f t="shared" si="367"/>
        <v>1+0.678629203667136i</v>
      </c>
      <c r="AK457" s="50">
        <f t="shared" si="386"/>
        <v>1.2085270357215394</v>
      </c>
      <c r="AL457" s="50">
        <f t="shared" si="387"/>
        <v>0.59623869977706767</v>
      </c>
      <c r="AM457" s="50" t="str">
        <f t="shared" si="368"/>
        <v>1-3.13101364645133i</v>
      </c>
      <c r="AN457" s="50">
        <f t="shared" si="388"/>
        <v>3.286829240204677</v>
      </c>
      <c r="AO457" s="50">
        <f t="shared" si="389"/>
        <v>-1.2616510058558554</v>
      </c>
      <c r="AP457" s="59" t="str">
        <f t="shared" si="390"/>
        <v>-0.257789687637808-0.329373605782599i</v>
      </c>
      <c r="AQ457" s="50">
        <f t="shared" si="391"/>
        <v>-7.5710468334031535</v>
      </c>
      <c r="AR457" s="62">
        <f t="shared" si="392"/>
        <v>-128.04909646775076</v>
      </c>
      <c r="AS457" s="32" t="str">
        <f t="shared" si="369"/>
        <v>-0.0000166666666666667</v>
      </c>
      <c r="AT457" s="32" t="str">
        <f t="shared" si="370"/>
        <v>0.00524395293742787i</v>
      </c>
      <c r="AU457" s="32">
        <f t="shared" si="393"/>
        <v>5.2439529374278702E-3</v>
      </c>
      <c r="AV457" s="32">
        <f t="shared" si="394"/>
        <v>1.5707963267948966</v>
      </c>
      <c r="AW457" s="32" t="str">
        <f t="shared" si="371"/>
        <v>1+5.32923521703309i</v>
      </c>
      <c r="AX457" s="32">
        <f t="shared" si="395"/>
        <v>5.4222456600993025</v>
      </c>
      <c r="AY457" s="32">
        <f t="shared" si="396"/>
        <v>1.3853090921007167</v>
      </c>
      <c r="AZ457" s="32" t="str">
        <f t="shared" si="372"/>
        <v>1+181.193997379125i</v>
      </c>
      <c r="BA457" s="32">
        <f t="shared" si="397"/>
        <v>181.19675683142444</v>
      </c>
      <c r="BB457" s="32">
        <f t="shared" si="398"/>
        <v>1.5652774362040056</v>
      </c>
      <c r="BC457" s="59" t="str">
        <f t="shared" si="399"/>
        <v>-0.0190112386496892+0.104493626498534i</v>
      </c>
      <c r="BD457" s="50">
        <f t="shared" si="400"/>
        <v>-19.476776109211468</v>
      </c>
      <c r="BE457" s="62">
        <f t="shared" si="401"/>
        <v>100.31142656307658</v>
      </c>
      <c r="BF457" s="59" t="str">
        <f t="shared" si="402"/>
        <v>-0.00701680985689857-0.00765733505171834i</v>
      </c>
      <c r="BG457" s="65">
        <f t="shared" si="403"/>
        <v>-39.670977081679005</v>
      </c>
      <c r="BH457" s="62">
        <f t="shared" si="404"/>
        <v>-132.50063058501357</v>
      </c>
      <c r="BI457" s="59" t="str">
        <f t="shared" si="409"/>
        <v>0.0393183438142335-0.0206755791107572i</v>
      </c>
      <c r="BJ457" s="65">
        <f t="shared" si="405"/>
        <v>-27.047822942614623</v>
      </c>
      <c r="BK457" s="62">
        <f t="shared" si="410"/>
        <v>-27.737669904674132</v>
      </c>
      <c r="BL457" s="50">
        <f t="shared" si="406"/>
        <v>-39.670977081679005</v>
      </c>
      <c r="BM457" s="62">
        <f t="shared" si="407"/>
        <v>-132.50063058501357</v>
      </c>
    </row>
    <row r="458" spans="14:65" x14ac:dyDescent="0.3">
      <c r="N458" s="11">
        <v>40</v>
      </c>
      <c r="O458" s="51">
        <f t="shared" si="408"/>
        <v>251188.64315095844</v>
      </c>
      <c r="P458" s="49" t="str">
        <f t="shared" si="360"/>
        <v>27.9103246607183</v>
      </c>
      <c r="Q458" s="18" t="str">
        <f t="shared" si="361"/>
        <v>1+775.277936305744i</v>
      </c>
      <c r="R458" s="18">
        <f t="shared" si="373"/>
        <v>775.27858123547651</v>
      </c>
      <c r="S458" s="18">
        <f t="shared" si="374"/>
        <v>1.5695064675088373</v>
      </c>
      <c r="T458" s="18" t="str">
        <f t="shared" si="362"/>
        <v>1+0.694436508469652i</v>
      </c>
      <c r="U458" s="18">
        <f t="shared" si="375"/>
        <v>1.2174736400824131</v>
      </c>
      <c r="V458" s="18">
        <f t="shared" si="376"/>
        <v>0.60698231003205538</v>
      </c>
      <c r="W458" s="32" t="str">
        <f t="shared" si="363"/>
        <v>1-9.15783274356722i</v>
      </c>
      <c r="X458" s="18">
        <f t="shared" si="377"/>
        <v>9.2122690233813689</v>
      </c>
      <c r="Y458" s="18">
        <f t="shared" si="378"/>
        <v>-1.4620311173600584</v>
      </c>
      <c r="Z458" s="32" t="str">
        <f t="shared" si="364"/>
        <v>-0.3036308770252+4.18778214689213i</v>
      </c>
      <c r="AA458" s="18">
        <f t="shared" si="379"/>
        <v>4.1987749426840626</v>
      </c>
      <c r="AB458" s="18">
        <f t="shared" si="380"/>
        <v>1.6431736600028117</v>
      </c>
      <c r="AC458" s="67" t="str">
        <f t="shared" si="381"/>
        <v>-0.057787275461338+0.0768639547851933i</v>
      </c>
      <c r="AD458" s="65">
        <f t="shared" si="382"/>
        <v>-20.339786304389605</v>
      </c>
      <c r="AE458" s="62">
        <f t="shared" si="383"/>
        <v>126.93629983044212</v>
      </c>
      <c r="AF458" s="50" t="str">
        <f t="shared" si="365"/>
        <v>79.1527877025864</v>
      </c>
      <c r="AG458" s="50" t="str">
        <f t="shared" si="366"/>
        <v>1+769.221978612536i</v>
      </c>
      <c r="AH458" s="50">
        <f t="shared" si="384"/>
        <v>769.22262861968954</v>
      </c>
      <c r="AI458" s="50">
        <f t="shared" si="385"/>
        <v>1.5694963126709398</v>
      </c>
      <c r="AJ458" s="50" t="str">
        <f t="shared" si="367"/>
        <v>1+0.694436508469652i</v>
      </c>
      <c r="AK458" s="50">
        <f t="shared" si="386"/>
        <v>1.2174736400824131</v>
      </c>
      <c r="AL458" s="50">
        <f t="shared" si="387"/>
        <v>0.60698231003205538</v>
      </c>
      <c r="AM458" s="50" t="str">
        <f t="shared" si="368"/>
        <v>1-3.20394432314907i</v>
      </c>
      <c r="AN458" s="50">
        <f t="shared" si="388"/>
        <v>3.3563759065157099</v>
      </c>
      <c r="AO458" s="50">
        <f t="shared" si="389"/>
        <v>-1.268261983217229</v>
      </c>
      <c r="AP458" s="59" t="str">
        <f t="shared" si="390"/>
        <v>-0.257796012605488-0.332180398486324i</v>
      </c>
      <c r="AQ458" s="50">
        <f t="shared" si="391"/>
        <v>-7.525113496064848</v>
      </c>
      <c r="AR458" s="62">
        <f t="shared" si="392"/>
        <v>-127.81404902869076</v>
      </c>
      <c r="AS458" s="32" t="str">
        <f t="shared" si="369"/>
        <v>-0.0000166666666666667</v>
      </c>
      <c r="AT458" s="32" t="str">
        <f t="shared" si="370"/>
        <v>0.00536610029272003i</v>
      </c>
      <c r="AU458" s="32">
        <f t="shared" si="393"/>
        <v>5.36610029272003E-3</v>
      </c>
      <c r="AV458" s="32">
        <f t="shared" si="394"/>
        <v>1.5707963267948966</v>
      </c>
      <c r="AW458" s="32" t="str">
        <f t="shared" si="371"/>
        <v>1+5.45336905180579i</v>
      </c>
      <c r="AX458" s="32">
        <f t="shared" si="395"/>
        <v>5.5442974320641545</v>
      </c>
      <c r="AY458" s="32">
        <f t="shared" si="396"/>
        <v>1.38943828998025</v>
      </c>
      <c r="AZ458" s="32" t="str">
        <f t="shared" si="372"/>
        <v>1+185.414547761397i</v>
      </c>
      <c r="BA458" s="32">
        <f t="shared" si="397"/>
        <v>185.41724440181764</v>
      </c>
      <c r="BB458" s="32">
        <f t="shared" si="398"/>
        <v>1.5654030590266685</v>
      </c>
      <c r="BC458" s="59" t="str">
        <f t="shared" si="399"/>
        <v>-0.0181834276157284+0.102266859262125i</v>
      </c>
      <c r="BD458" s="50">
        <f t="shared" si="400"/>
        <v>-19.670128678204549</v>
      </c>
      <c r="BE458" s="62">
        <f t="shared" si="401"/>
        <v>100.08203860935402</v>
      </c>
      <c r="BF458" s="59" t="str">
        <f t="shared" si="402"/>
        <v>-0.0068098645058863-0.00730737332484149i</v>
      </c>
      <c r="BG458" s="65">
        <f t="shared" si="403"/>
        <v>-40.009914982594161</v>
      </c>
      <c r="BH458" s="62">
        <f t="shared" si="404"/>
        <v>-132.98166156020383</v>
      </c>
      <c r="BI458" s="59" t="str">
        <f t="shared" si="409"/>
        <v>0.0386586611964728-0.0203238103082226i</v>
      </c>
      <c r="BJ458" s="65">
        <f t="shared" si="405"/>
        <v>-27.195242174269396</v>
      </c>
      <c r="BK458" s="62">
        <f t="shared" si="410"/>
        <v>-27.732010419336795</v>
      </c>
      <c r="BL458" s="50">
        <f t="shared" si="406"/>
        <v>-40.009914982594161</v>
      </c>
      <c r="BM458" s="62">
        <f t="shared" si="407"/>
        <v>-132.98166156020383</v>
      </c>
    </row>
    <row r="459" spans="14:65" x14ac:dyDescent="0.3">
      <c r="N459" s="11">
        <v>41</v>
      </c>
      <c r="O459" s="51">
        <f t="shared" si="408"/>
        <v>257039.57827688678</v>
      </c>
      <c r="P459" s="49" t="str">
        <f t="shared" si="360"/>
        <v>27.9103246607183</v>
      </c>
      <c r="Q459" s="18" t="str">
        <f t="shared" si="361"/>
        <v>1+793.33647929155i</v>
      </c>
      <c r="R459" s="18">
        <f t="shared" si="373"/>
        <v>793.33710954090111</v>
      </c>
      <c r="S459" s="18">
        <f t="shared" si="374"/>
        <v>1.5695358282593017</v>
      </c>
      <c r="T459" s="18" t="str">
        <f t="shared" si="362"/>
        <v>1+0.710612012700908i</v>
      </c>
      <c r="U459" s="18">
        <f t="shared" si="375"/>
        <v>1.2267719562310004</v>
      </c>
      <c r="V459" s="18">
        <f t="shared" si="376"/>
        <v>0.61781267049632582</v>
      </c>
      <c r="W459" s="32" t="str">
        <f t="shared" si="363"/>
        <v>1-9.37114607097155i</v>
      </c>
      <c r="X459" s="18">
        <f t="shared" si="377"/>
        <v>9.4243503056436477</v>
      </c>
      <c r="Y459" s="18">
        <f t="shared" si="378"/>
        <v>-1.4644880904194331</v>
      </c>
      <c r="Z459" s="32" t="str">
        <f t="shared" si="364"/>
        <v>-0.36506910745371+4.28532812411316i</v>
      </c>
      <c r="AA459" s="18">
        <f t="shared" si="379"/>
        <v>4.3008502164725835</v>
      </c>
      <c r="AB459" s="18">
        <f t="shared" si="380"/>
        <v>1.6557815997908387</v>
      </c>
      <c r="AC459" s="67" t="str">
        <f t="shared" si="381"/>
        <v>-0.0565087257994925+0.0758343795074896i</v>
      </c>
      <c r="AD459" s="65">
        <f t="shared" si="382"/>
        <v>-20.484638778594892</v>
      </c>
      <c r="AE459" s="62">
        <f t="shared" si="383"/>
        <v>126.69199560367659</v>
      </c>
      <c r="AF459" s="50" t="str">
        <f t="shared" si="365"/>
        <v>79.1527877025864</v>
      </c>
      <c r="AG459" s="50" t="str">
        <f t="shared" si="366"/>
        <v>1+787.139460222542i</v>
      </c>
      <c r="AH459" s="50">
        <f t="shared" si="384"/>
        <v>787.14009543373845</v>
      </c>
      <c r="AI459" s="50">
        <f t="shared" si="385"/>
        <v>1.5695259045729866</v>
      </c>
      <c r="AJ459" s="50" t="str">
        <f t="shared" si="367"/>
        <v>1+0.710612012700908i</v>
      </c>
      <c r="AK459" s="50">
        <f t="shared" si="386"/>
        <v>1.2267719562310004</v>
      </c>
      <c r="AL459" s="50">
        <f t="shared" si="387"/>
        <v>0.61781267049632582</v>
      </c>
      <c r="AM459" s="50" t="str">
        <f t="shared" si="368"/>
        <v>1-3.27857377353614i</v>
      </c>
      <c r="AN459" s="50">
        <f t="shared" si="388"/>
        <v>3.4276881404992205</v>
      </c>
      <c r="AO459" s="50">
        <f t="shared" si="389"/>
        <v>-1.274748945792586</v>
      </c>
      <c r="AP459" s="59" t="str">
        <f t="shared" si="390"/>
        <v>-0.257802052903669-0.335163316893907i</v>
      </c>
      <c r="AQ459" s="50">
        <f t="shared" si="391"/>
        <v>-7.4764135740064983</v>
      </c>
      <c r="AR459" s="62">
        <f t="shared" si="392"/>
        <v>-127.56688615200497</v>
      </c>
      <c r="AS459" s="32" t="str">
        <f t="shared" si="369"/>
        <v>-0.0000166666666666667</v>
      </c>
      <c r="AT459" s="32" t="str">
        <f t="shared" si="370"/>
        <v>0.00549109282541611i</v>
      </c>
      <c r="AU459" s="32">
        <f t="shared" si="393"/>
        <v>5.49109282541611E-3</v>
      </c>
      <c r="AV459" s="32">
        <f t="shared" si="394"/>
        <v>1.5707963267948966</v>
      </c>
      <c r="AW459" s="32" t="str">
        <f t="shared" si="371"/>
        <v>1+5.58039433503359i</v>
      </c>
      <c r="AX459" s="32">
        <f t="shared" si="395"/>
        <v>5.6692857517040878</v>
      </c>
      <c r="AY459" s="32">
        <f t="shared" si="396"/>
        <v>1.393479547129971</v>
      </c>
      <c r="AZ459" s="32" t="str">
        <f t="shared" si="372"/>
        <v>1+189.733407391142i</v>
      </c>
      <c r="BA459" s="32">
        <f t="shared" si="397"/>
        <v>189.73604264939505</v>
      </c>
      <c r="BB459" s="32">
        <f t="shared" si="398"/>
        <v>1.5655258224892625</v>
      </c>
      <c r="BC459" s="59" t="str">
        <f t="shared" si="399"/>
        <v>-0.0173905011831445+0.1000810728109i</v>
      </c>
      <c r="BD459" s="50">
        <f t="shared" si="400"/>
        <v>-19.863770901563026</v>
      </c>
      <c r="BE459" s="62">
        <f t="shared" si="401"/>
        <v>99.857525459033013</v>
      </c>
      <c r="BF459" s="59" t="str">
        <f t="shared" si="402"/>
        <v>-0.00660687099418443-0.00697425176773822i</v>
      </c>
      <c r="BG459" s="65">
        <f t="shared" si="403"/>
        <v>-40.348409680157921</v>
      </c>
      <c r="BH459" s="62">
        <f t="shared" si="404"/>
        <v>-133.45047893729037</v>
      </c>
      <c r="BI459" s="59" t="str">
        <f t="shared" si="409"/>
        <v>0.0380268112276402-0.0199724479684615i</v>
      </c>
      <c r="BJ459" s="65">
        <f t="shared" si="405"/>
        <v>-27.340184475569522</v>
      </c>
      <c r="BK459" s="62">
        <f t="shared" si="410"/>
        <v>-27.709360692972005</v>
      </c>
      <c r="BL459" s="50">
        <f t="shared" si="406"/>
        <v>-40.348409680157921</v>
      </c>
      <c r="BM459" s="62">
        <f t="shared" si="407"/>
        <v>-133.45047893729037</v>
      </c>
    </row>
    <row r="460" spans="14:65" x14ac:dyDescent="0.3">
      <c r="N460" s="11">
        <v>42</v>
      </c>
      <c r="O460" s="51">
        <f t="shared" si="408"/>
        <v>263026.79918953858</v>
      </c>
      <c r="P460" s="49" t="str">
        <f t="shared" si="360"/>
        <v>27.9103246607183</v>
      </c>
      <c r="Q460" s="18" t="str">
        <f t="shared" si="361"/>
        <v>1+811.815659779728i</v>
      </c>
      <c r="R460" s="18">
        <f t="shared" si="373"/>
        <v>811.81627568286353</v>
      </c>
      <c r="S460" s="18">
        <f t="shared" si="374"/>
        <v>1.5695645206795905</v>
      </c>
      <c r="T460" s="18" t="str">
        <f t="shared" si="362"/>
        <v>1+0.72716429282736i</v>
      </c>
      <c r="U460" s="18">
        <f t="shared" si="375"/>
        <v>1.2364335440140382</v>
      </c>
      <c r="V460" s="18">
        <f t="shared" si="376"/>
        <v>0.62872536076864183</v>
      </c>
      <c r="W460" s="32" t="str">
        <f t="shared" si="363"/>
        <v>1-9.5894281040645i</v>
      </c>
      <c r="X460" s="18">
        <f t="shared" si="377"/>
        <v>9.641427869513004</v>
      </c>
      <c r="Y460" s="18">
        <f t="shared" si="378"/>
        <v>-1.4668903815110319</v>
      </c>
      <c r="Z460" s="32" t="str">
        <f t="shared" si="364"/>
        <v>-0.42940283247714+4.38514623902862i</v>
      </c>
      <c r="AA460" s="18">
        <f t="shared" si="379"/>
        <v>4.4061200993851992</v>
      </c>
      <c r="AB460" s="18">
        <f t="shared" si="380"/>
        <v>1.6684072555899618</v>
      </c>
      <c r="AC460" s="67" t="str">
        <f t="shared" si="381"/>
        <v>-0.0552693974582442+0.0748163105084976i</v>
      </c>
      <c r="AD460" s="65">
        <f t="shared" si="382"/>
        <v>-20.628741221109106</v>
      </c>
      <c r="AE460" s="62">
        <f t="shared" si="383"/>
        <v>126.45456481324213</v>
      </c>
      <c r="AF460" s="50" t="str">
        <f t="shared" si="365"/>
        <v>79.1527877025864</v>
      </c>
      <c r="AG460" s="50" t="str">
        <f t="shared" si="366"/>
        <v>1+805.474293593381i</v>
      </c>
      <c r="AH460" s="50">
        <f t="shared" si="384"/>
        <v>805.47491434541655</v>
      </c>
      <c r="AI460" s="50">
        <f t="shared" si="385"/>
        <v>1.5695548228832554</v>
      </c>
      <c r="AJ460" s="50" t="str">
        <f t="shared" si="367"/>
        <v>1+0.72716429282736i</v>
      </c>
      <c r="AK460" s="50">
        <f t="shared" si="386"/>
        <v>1.2364335440140382</v>
      </c>
      <c r="AL460" s="50">
        <f t="shared" si="387"/>
        <v>0.62872536076864183</v>
      </c>
      <c r="AM460" s="50" t="str">
        <f t="shared" si="368"/>
        <v>1-3.354941567135i</v>
      </c>
      <c r="AN460" s="50">
        <f t="shared" si="388"/>
        <v>3.5008046102132369</v>
      </c>
      <c r="AO460" s="50">
        <f t="shared" si="389"/>
        <v>-1.281113148454003</v>
      </c>
      <c r="AP460" s="59" t="str">
        <f t="shared" si="390"/>
        <v>-0.257807821344508-0.338323942637586i</v>
      </c>
      <c r="AQ460" s="50">
        <f t="shared" si="391"/>
        <v>-7.4249430656061399</v>
      </c>
      <c r="AR460" s="62">
        <f t="shared" si="392"/>
        <v>-127.30793390586204</v>
      </c>
      <c r="AS460" s="32" t="str">
        <f t="shared" si="369"/>
        <v>-0.0000166666666666667</v>
      </c>
      <c r="AT460" s="32" t="str">
        <f t="shared" si="370"/>
        <v>0.00561899680821143i</v>
      </c>
      <c r="AU460" s="32">
        <f t="shared" si="393"/>
        <v>5.6189968082114303E-3</v>
      </c>
      <c r="AV460" s="32">
        <f t="shared" si="394"/>
        <v>1.5707963267948966</v>
      </c>
      <c r="AW460" s="32" t="str">
        <f t="shared" si="371"/>
        <v>1+5.71037841720308i</v>
      </c>
      <c r="AX460" s="32">
        <f t="shared" si="395"/>
        <v>5.7972770908124405</v>
      </c>
      <c r="AY460" s="32">
        <f t="shared" si="396"/>
        <v>1.3974344780110124</v>
      </c>
      <c r="AZ460" s="32" t="str">
        <f t="shared" si="372"/>
        <v>1+194.152866184905i</v>
      </c>
      <c r="BA460" s="32">
        <f t="shared" si="397"/>
        <v>194.15544145816165</v>
      </c>
      <c r="BB460" s="32">
        <f t="shared" si="398"/>
        <v>1.5656457916677906</v>
      </c>
      <c r="BC460" s="59" t="str">
        <f t="shared" si="399"/>
        <v>-0.0166310885469541+0.0979359376095677i</v>
      </c>
      <c r="BD460" s="50">
        <f t="shared" si="400"/>
        <v>-20.057690555646825</v>
      </c>
      <c r="BE460" s="62">
        <f t="shared" si="401"/>
        <v>99.637798338884735</v>
      </c>
      <c r="BF460" s="59" t="str">
        <f t="shared" si="402"/>
        <v>-0.00640801527507341-0.00665713694601224i</v>
      </c>
      <c r="BG460" s="65">
        <f t="shared" si="403"/>
        <v>-40.686431776755931</v>
      </c>
      <c r="BH460" s="62">
        <f t="shared" si="404"/>
        <v>-133.90763684787314</v>
      </c>
      <c r="BI460" s="59" t="str">
        <f t="shared" si="409"/>
        <v>0.0374216972428554-0.019621955258894i</v>
      </c>
      <c r="BJ460" s="65">
        <f t="shared" si="405"/>
        <v>-27.482633621252969</v>
      </c>
      <c r="BK460" s="62">
        <f t="shared" si="410"/>
        <v>-27.670135566977297</v>
      </c>
      <c r="BL460" s="50">
        <f t="shared" si="406"/>
        <v>-40.686431776755931</v>
      </c>
      <c r="BM460" s="62">
        <f t="shared" si="407"/>
        <v>-133.90763684787314</v>
      </c>
    </row>
    <row r="461" spans="14:65" x14ac:dyDescent="0.3">
      <c r="N461" s="11">
        <v>43</v>
      </c>
      <c r="O461" s="51">
        <f t="shared" si="408"/>
        <v>269153.48039269145</v>
      </c>
      <c r="P461" s="49" t="str">
        <f t="shared" si="360"/>
        <v>27.9103246607183</v>
      </c>
      <c r="Q461" s="18" t="str">
        <f t="shared" si="361"/>
        <v>1+830.725275676374i</v>
      </c>
      <c r="R461" s="18">
        <f t="shared" si="373"/>
        <v>830.72587755985273</v>
      </c>
      <c r="S461" s="18">
        <f t="shared" si="374"/>
        <v>1.5695925599826162</v>
      </c>
      <c r="T461" s="18" t="str">
        <f t="shared" si="362"/>
        <v>1+0.744102125087029i</v>
      </c>
      <c r="U461" s="18">
        <f t="shared" si="375"/>
        <v>1.2464702052432028</v>
      </c>
      <c r="V461" s="18">
        <f t="shared" si="376"/>
        <v>0.63971577066128116</v>
      </c>
      <c r="W461" s="32" t="str">
        <f t="shared" si="363"/>
        <v>1-9.81279457886933i</v>
      </c>
      <c r="X461" s="18">
        <f t="shared" si="377"/>
        <v>9.8636168542318838</v>
      </c>
      <c r="Y461" s="18">
        <f t="shared" si="378"/>
        <v>-1.4692391533918523</v>
      </c>
      <c r="Z461" s="32" t="str">
        <f t="shared" si="364"/>
        <v>-0.49676851255163+4.4872894165243i</v>
      </c>
      <c r="AA461" s="18">
        <f t="shared" si="379"/>
        <v>4.5147032308573456</v>
      </c>
      <c r="AB461" s="18">
        <f t="shared" si="380"/>
        <v>1.6810530623467943</v>
      </c>
      <c r="AC461" s="67" t="str">
        <f t="shared" si="381"/>
        <v>-0.0540676256564627+0.0738104046536889i</v>
      </c>
      <c r="AD461" s="65">
        <f t="shared" si="382"/>
        <v>-20.772079252391073</v>
      </c>
      <c r="AE461" s="62">
        <f t="shared" si="383"/>
        <v>126.22353630997083</v>
      </c>
      <c r="AF461" s="50" t="str">
        <f t="shared" si="365"/>
        <v>79.1527877025864</v>
      </c>
      <c r="AG461" s="50" t="str">
        <f t="shared" si="366"/>
        <v>1+824.236200096399i</v>
      </c>
      <c r="AH461" s="50">
        <f t="shared" si="384"/>
        <v>824.23680671840361</v>
      </c>
      <c r="AI461" s="50">
        <f t="shared" si="385"/>
        <v>1.5695830829344237</v>
      </c>
      <c r="AJ461" s="50" t="str">
        <f t="shared" si="367"/>
        <v>1+0.744102125087029i</v>
      </c>
      <c r="AK461" s="50">
        <f t="shared" si="386"/>
        <v>1.2464702052432028</v>
      </c>
      <c r="AL461" s="50">
        <f t="shared" si="387"/>
        <v>0.63971577066128116</v>
      </c>
      <c r="AM461" s="50" t="str">
        <f t="shared" si="368"/>
        <v>1-3.43308819516066i</v>
      </c>
      <c r="AN461" s="50">
        <f t="shared" si="388"/>
        <v>3.5757648910060458</v>
      </c>
      <c r="AO461" s="50">
        <f t="shared" si="389"/>
        <v>-1.287355902660924</v>
      </c>
      <c r="AP461" s="59" t="str">
        <f t="shared" si="390"/>
        <v>-0.257813330163523-0.341663951569084i</v>
      </c>
      <c r="AQ461" s="50">
        <f t="shared" si="391"/>
        <v>-7.3706986294782322</v>
      </c>
      <c r="AR461" s="62">
        <f t="shared" si="392"/>
        <v>-127.03753245414973</v>
      </c>
      <c r="AS461" s="32" t="str">
        <f t="shared" si="369"/>
        <v>-0.0000166666666666667</v>
      </c>
      <c r="AT461" s="32" t="str">
        <f t="shared" si="370"/>
        <v>0.00574988005749067i</v>
      </c>
      <c r="AU461" s="32">
        <f t="shared" si="393"/>
        <v>5.74988005749067E-3</v>
      </c>
      <c r="AV461" s="32">
        <f t="shared" si="394"/>
        <v>1.5707963267948966</v>
      </c>
      <c r="AW461" s="32" t="str">
        <f t="shared" si="371"/>
        <v>1+5.84339021759519i</v>
      </c>
      <c r="AX461" s="32">
        <f t="shared" si="395"/>
        <v>5.9283395006601269</v>
      </c>
      <c r="AY461" s="32">
        <f t="shared" si="396"/>
        <v>1.4013046844467767</v>
      </c>
      <c r="AZ461" s="32" t="str">
        <f t="shared" si="372"/>
        <v>1+198.675267398237i</v>
      </c>
      <c r="BA461" s="32">
        <f t="shared" si="397"/>
        <v>198.67778405186868</v>
      </c>
      <c r="BB461" s="32">
        <f t="shared" si="398"/>
        <v>1.5657630301576779</v>
      </c>
      <c r="BC461" s="59" t="str">
        <f t="shared" si="399"/>
        <v>-0.0159038642490192+0.0958310959630922i</v>
      </c>
      <c r="BD461" s="50">
        <f t="shared" si="400"/>
        <v>-20.251875898636822</v>
      </c>
      <c r="BE461" s="62">
        <f t="shared" si="401"/>
        <v>99.422769114938063</v>
      </c>
      <c r="BF461" s="59" t="str">
        <f t="shared" si="402"/>
        <v>-0.00621344779273516-0.00635523047855847i</v>
      </c>
      <c r="BG461" s="65">
        <f t="shared" si="403"/>
        <v>-41.023955151027884</v>
      </c>
      <c r="BH461" s="62">
        <f t="shared" si="404"/>
        <v>-134.35369457509108</v>
      </c>
      <c r="BI461" s="59" t="str">
        <f t="shared" si="409"/>
        <v>0.0368422591344544-0.0192727568789268i</v>
      </c>
      <c r="BJ461" s="65">
        <f t="shared" si="405"/>
        <v>-27.622574528115052</v>
      </c>
      <c r="BK461" s="62">
        <f t="shared" si="410"/>
        <v>-27.614763339211731</v>
      </c>
      <c r="BL461" s="50">
        <f t="shared" si="406"/>
        <v>-41.023955151027884</v>
      </c>
      <c r="BM461" s="62">
        <f t="shared" si="407"/>
        <v>-134.35369457509108</v>
      </c>
    </row>
    <row r="462" spans="14:65" x14ac:dyDescent="0.3">
      <c r="N462" s="11">
        <v>44</v>
      </c>
      <c r="O462" s="51">
        <f t="shared" si="408"/>
        <v>275422.87033381703</v>
      </c>
      <c r="P462" s="49" t="str">
        <f t="shared" si="360"/>
        <v>27.9103246607183</v>
      </c>
      <c r="Q462" s="18" t="str">
        <f t="shared" si="361"/>
        <v>1+850.075353110133i</v>
      </c>
      <c r="R462" s="18">
        <f t="shared" si="373"/>
        <v>850.07594129308086</v>
      </c>
      <c r="S462" s="18">
        <f t="shared" si="374"/>
        <v>1.5696199610350112</v>
      </c>
      <c r="T462" s="18" t="str">
        <f t="shared" si="362"/>
        <v>1+0.761434490142776i</v>
      </c>
      <c r="U462" s="18">
        <f t="shared" si="375"/>
        <v>1.2568939823147334</v>
      </c>
      <c r="V462" s="18">
        <f t="shared" si="376"/>
        <v>0.65077910757465096</v>
      </c>
      <c r="W462" s="32" t="str">
        <f t="shared" si="363"/>
        <v>1-10.0413639272476i</v>
      </c>
      <c r="X462" s="18">
        <f t="shared" si="377"/>
        <v>10.091035106441231</v>
      </c>
      <c r="Y462" s="18">
        <f t="shared" si="378"/>
        <v>-1.4715355476948342</v>
      </c>
      <c r="Z462" s="32" t="str">
        <f t="shared" si="364"/>
        <v>-0.56730903931651+4.59181181426492i</v>
      </c>
      <c r="AA462" s="18">
        <f t="shared" si="379"/>
        <v>4.6267240336671387</v>
      </c>
      <c r="AB462" s="18">
        <f t="shared" si="380"/>
        <v>1.6937213780601936</v>
      </c>
      <c r="AC462" s="67" t="str">
        <f t="shared" si="381"/>
        <v>-0.0529017793215033+0.0728172374863067i</v>
      </c>
      <c r="AD462" s="65">
        <f t="shared" si="382"/>
        <v>-20.914641378369755</v>
      </c>
      <c r="AE462" s="62">
        <f t="shared" si="383"/>
        <v>125.99843413220599</v>
      </c>
      <c r="AF462" s="50" t="str">
        <f t="shared" si="365"/>
        <v>79.1527877025864</v>
      </c>
      <c r="AG462" s="50" t="str">
        <f t="shared" si="366"/>
        <v>1+843.435127542765i</v>
      </c>
      <c r="AH462" s="50">
        <f t="shared" si="384"/>
        <v>843.43572035637681</v>
      </c>
      <c r="AI462" s="50">
        <f t="shared" si="385"/>
        <v>1.5696106997101642</v>
      </c>
      <c r="AJ462" s="50" t="str">
        <f t="shared" si="367"/>
        <v>1+0.761434490142776i</v>
      </c>
      <c r="AK462" s="50">
        <f t="shared" si="386"/>
        <v>1.2568939823147334</v>
      </c>
      <c r="AL462" s="50">
        <f t="shared" si="387"/>
        <v>0.65077910757465096</v>
      </c>
      <c r="AM462" s="50" t="str">
        <f t="shared" si="368"/>
        <v>1-3.51305509198969i</v>
      </c>
      <c r="AN462" s="50">
        <f t="shared" si="388"/>
        <v>3.6526094890303682</v>
      </c>
      <c r="AO462" s="50">
        <f t="shared" si="389"/>
        <v>-1.2934785713256809</v>
      </c>
      <c r="AP462" s="59" t="str">
        <f t="shared" si="390"/>
        <v>-0.257818591045555-0.345185114648384i</v>
      </c>
      <c r="AQ462" s="50">
        <f t="shared" si="391"/>
        <v>-7.3136776981920448</v>
      </c>
      <c r="AR462" s="62">
        <f t="shared" si="392"/>
        <v>-126.7560353402237</v>
      </c>
      <c r="AS462" s="32" t="str">
        <f t="shared" si="369"/>
        <v>-0.0000166666666666667</v>
      </c>
      <c r="AT462" s="32" t="str">
        <f t="shared" si="370"/>
        <v>0.00588381196928507i</v>
      </c>
      <c r="AU462" s="32">
        <f t="shared" si="393"/>
        <v>5.8838119692850698E-3</v>
      </c>
      <c r="AV462" s="32">
        <f t="shared" si="394"/>
        <v>1.5707963267948966</v>
      </c>
      <c r="AW462" s="32" t="str">
        <f t="shared" si="371"/>
        <v>1+5.97950026082708i</v>
      </c>
      <c r="AX462" s="32">
        <f t="shared" si="395"/>
        <v>6.0625426488587371</v>
      </c>
      <c r="AY462" s="32">
        <f t="shared" si="396"/>
        <v>1.4050917544812442</v>
      </c>
      <c r="AZ462" s="32" t="str">
        <f t="shared" si="372"/>
        <v>1+203.303008868121i</v>
      </c>
      <c r="BA462" s="32">
        <f t="shared" si="397"/>
        <v>203.30546823642322</v>
      </c>
      <c r="BB462" s="32">
        <f t="shared" si="398"/>
        <v>1.565877600107425</v>
      </c>
      <c r="BC462" s="59" t="str">
        <f t="shared" si="399"/>
        <v>-0.0152075474307705+0.0937661645712272i</v>
      </c>
      <c r="BD462" s="50">
        <f t="shared" si="400"/>
        <v>-20.446315654464655</v>
      </c>
      <c r="BE462" s="62">
        <f t="shared" si="401"/>
        <v>99.212350359822125</v>
      </c>
      <c r="BF462" s="59" t="str">
        <f t="shared" si="402"/>
        <v>-0.00602328675555925-0.00606776853882151i</v>
      </c>
      <c r="BG462" s="65">
        <f t="shared" si="403"/>
        <v>-41.360957032834413</v>
      </c>
      <c r="BH462" s="62">
        <f t="shared" si="404"/>
        <v>-134.78921550797187</v>
      </c>
      <c r="BI462" s="59" t="str">
        <f t="shared" si="409"/>
        <v>0.036287472719518-0.0189252414340882i</v>
      </c>
      <c r="BJ462" s="65">
        <f t="shared" si="405"/>
        <v>-27.7599933526567</v>
      </c>
      <c r="BK462" s="62">
        <f t="shared" si="410"/>
        <v>-27.543684980401611</v>
      </c>
      <c r="BL462" s="50">
        <f t="shared" si="406"/>
        <v>-41.360957032834413</v>
      </c>
      <c r="BM462" s="62">
        <f t="shared" si="407"/>
        <v>-134.78921550797187</v>
      </c>
    </row>
    <row r="463" spans="14:65" x14ac:dyDescent="0.3">
      <c r="N463" s="11">
        <v>45</v>
      </c>
      <c r="O463" s="51">
        <f t="shared" si="408"/>
        <v>281838.29312644573</v>
      </c>
      <c r="P463" s="49" t="str">
        <f t="shared" si="360"/>
        <v>27.9103246607183</v>
      </c>
      <c r="Q463" s="18" t="str">
        <f t="shared" si="361"/>
        <v>1+869.876151748187i</v>
      </c>
      <c r="R463" s="18">
        <f t="shared" si="373"/>
        <v>869.87672654246535</v>
      </c>
      <c r="S463" s="18">
        <f t="shared" si="374"/>
        <v>1.5696467383650121</v>
      </c>
      <c r="T463" s="18" t="str">
        <f t="shared" si="362"/>
        <v>1+0.779170577843971i</v>
      </c>
      <c r="U463" s="18">
        <f t="shared" si="375"/>
        <v>1.2677171566945473</v>
      </c>
      <c r="V463" s="18">
        <f t="shared" si="376"/>
        <v>0.66191040485251618</v>
      </c>
      <c r="W463" s="32" t="str">
        <f t="shared" si="363"/>
        <v>1-10.2752573396932i</v>
      </c>
      <c r="X463" s="18">
        <f t="shared" si="377"/>
        <v>10.323803242842192</v>
      </c>
      <c r="Y463" s="18">
        <f t="shared" si="378"/>
        <v>-1.473780685066594</v>
      </c>
      <c r="Z463" s="32" t="str">
        <f t="shared" si="364"/>
        <v>-0.64117403868654+4.69876885140927i</v>
      </c>
      <c r="AA463" s="18">
        <f t="shared" si="379"/>
        <v>4.7423130291936229</v>
      </c>
      <c r="AB463" s="18">
        <f t="shared" si="380"/>
        <v>1.7064144740100036</v>
      </c>
      <c r="AC463" s="67" t="str">
        <f t="shared" si="381"/>
        <v>-0.0517702629139631+0.0718373068113355i</v>
      </c>
      <c r="AD463" s="65">
        <f t="shared" si="382"/>
        <v>-21.056419073940035</v>
      </c>
      <c r="AE463" s="62">
        <f t="shared" si="383"/>
        <v>125.77877853602973</v>
      </c>
      <c r="AF463" s="50" t="str">
        <f t="shared" si="365"/>
        <v>79.1527877025864</v>
      </c>
      <c r="AG463" s="50" t="str">
        <f t="shared" si="366"/>
        <v>1+863.081255457935i</v>
      </c>
      <c r="AH463" s="50">
        <f t="shared" si="384"/>
        <v>863.08183477747059</v>
      </c>
      <c r="AI463" s="50">
        <f t="shared" si="385"/>
        <v>1.569637687853088</v>
      </c>
      <c r="AJ463" s="50" t="str">
        <f t="shared" si="367"/>
        <v>1+0.779170577843971i</v>
      </c>
      <c r="AK463" s="50">
        <f t="shared" si="386"/>
        <v>1.2677171566945473</v>
      </c>
      <c r="AL463" s="50">
        <f t="shared" si="387"/>
        <v>0.66191040485251618</v>
      </c>
      <c r="AM463" s="50" t="str">
        <f t="shared" si="368"/>
        <v>1-3.59488465712927i</v>
      </c>
      <c r="AN463" s="50">
        <f t="shared" si="388"/>
        <v>3.7313798651522236</v>
      </c>
      <c r="AO463" s="50">
        <f t="shared" si="389"/>
        <v>-1.2994825638904257</v>
      </c>
      <c r="AP463" s="59" t="str">
        <f t="shared" si="390"/>
        <v>-0.257823615149542-0.348889298882925i</v>
      </c>
      <c r="AQ463" s="50">
        <f t="shared" si="391"/>
        <v>-7.2538785904460346</v>
      </c>
      <c r="AR463" s="62">
        <f t="shared" si="392"/>
        <v>-126.46380872657079</v>
      </c>
      <c r="AS463" s="32" t="str">
        <f t="shared" si="369"/>
        <v>-0.0000166666666666667</v>
      </c>
      <c r="AT463" s="32" t="str">
        <f t="shared" si="370"/>
        <v>0.00602086355606703i</v>
      </c>
      <c r="AU463" s="32">
        <f t="shared" si="393"/>
        <v>6.0208635560670297E-3</v>
      </c>
      <c r="AV463" s="32">
        <f t="shared" si="394"/>
        <v>1.5707963267948966</v>
      </c>
      <c r="AW463" s="32" t="str">
        <f t="shared" si="371"/>
        <v>1+6.1187807142453i</v>
      </c>
      <c r="AX463" s="32">
        <f t="shared" si="395"/>
        <v>6.1999578570358223</v>
      </c>
      <c r="AY463" s="32">
        <f t="shared" si="396"/>
        <v>1.4087972613404127</v>
      </c>
      <c r="AZ463" s="32" t="str">
        <f t="shared" si="372"/>
        <v>1+208.03854428434i</v>
      </c>
      <c r="BA463" s="32">
        <f t="shared" si="397"/>
        <v>208.04094767123919</v>
      </c>
      <c r="BB463" s="32">
        <f t="shared" si="398"/>
        <v>1.5659895622514974</v>
      </c>
      <c r="BC463" s="59" t="str">
        <f t="shared" si="399"/>
        <v>-0.0145409010231815+0.0917407369430847i</v>
      </c>
      <c r="BD463" s="50">
        <f t="shared" si="400"/>
        <v>-20.640998997020951</v>
      </c>
      <c r="BE463" s="62">
        <f t="shared" si="401"/>
        <v>99.006455414155567</v>
      </c>
      <c r="BF463" s="59" t="str">
        <f t="shared" si="402"/>
        <v>-0.00583762119790238-0.00579402123957977i</v>
      </c>
      <c r="BG463" s="65">
        <f t="shared" si="403"/>
        <v>-41.697418070960985</v>
      </c>
      <c r="BH463" s="62">
        <f t="shared" si="404"/>
        <v>-135.21476604981473</v>
      </c>
      <c r="BI463" s="59" t="str">
        <f t="shared" si="409"/>
        <v>0.035756349060404-0.0185797636920454i</v>
      </c>
      <c r="BJ463" s="65">
        <f t="shared" si="405"/>
        <v>-27.89487758746699</v>
      </c>
      <c r="BK463" s="62">
        <f t="shared" si="410"/>
        <v>-27.457353312415162</v>
      </c>
      <c r="BL463" s="50">
        <f t="shared" si="406"/>
        <v>-41.697418070960985</v>
      </c>
      <c r="BM463" s="62">
        <f t="shared" si="407"/>
        <v>-135.21476604981473</v>
      </c>
    </row>
    <row r="464" spans="14:65" x14ac:dyDescent="0.3">
      <c r="N464" s="11">
        <v>46</v>
      </c>
      <c r="O464" s="51">
        <f t="shared" si="408"/>
        <v>288403.1503126609</v>
      </c>
      <c r="P464" s="49" t="str">
        <f t="shared" si="360"/>
        <v>27.9103246607183</v>
      </c>
      <c r="Q464" s="18" t="str">
        <f t="shared" si="361"/>
        <v>1+890.138170236069i</v>
      </c>
      <c r="R464" s="18">
        <f t="shared" si="373"/>
        <v>890.13873194644032</v>
      </c>
      <c r="S464" s="18">
        <f t="shared" si="374"/>
        <v>1.5696729061701598</v>
      </c>
      <c r="T464" s="18" t="str">
        <f t="shared" si="362"/>
        <v>1+0.797319792099082i</v>
      </c>
      <c r="U464" s="18">
        <f t="shared" si="375"/>
        <v>1.2789522472996884</v>
      </c>
      <c r="V464" s="18">
        <f t="shared" si="376"/>
        <v>0.67310453109785162</v>
      </c>
      <c r="W464" s="32" t="str">
        <f t="shared" si="363"/>
        <v>1-10.5145988295894i</v>
      </c>
      <c r="X464" s="18">
        <f t="shared" si="377"/>
        <v>10.562044714315631</v>
      </c>
      <c r="Y464" s="18">
        <f t="shared" si="378"/>
        <v>-1.4759756653234886</v>
      </c>
      <c r="Z464" s="32" t="str">
        <f t="shared" si="364"/>
        <v>-0.71852018822867+4.80821723799419i</v>
      </c>
      <c r="AA464" s="18">
        <f t="shared" si="379"/>
        <v>4.8616071693048832</v>
      </c>
      <c r="AB464" s="18">
        <f t="shared" si="380"/>
        <v>1.719134525053891</v>
      </c>
      <c r="AC464" s="67" t="str">
        <f t="shared" si="381"/>
        <v>-0.0506715180699303+0.0708710362058385i</v>
      </c>
      <c r="AD464" s="65">
        <f t="shared" si="382"/>
        <v>-21.19740685804981</v>
      </c>
      <c r="AE464" s="62">
        <f t="shared" si="383"/>
        <v>125.56408707558975</v>
      </c>
      <c r="AF464" s="50" t="str">
        <f t="shared" si="365"/>
        <v>79.1527877025864</v>
      </c>
      <c r="AG464" s="50" t="str">
        <f t="shared" si="366"/>
        <v>1+883.185000478981i</v>
      </c>
      <c r="AH464" s="50">
        <f t="shared" si="384"/>
        <v>883.18556661160278</v>
      </c>
      <c r="AI464" s="50">
        <f t="shared" si="385"/>
        <v>1.5696640616725086</v>
      </c>
      <c r="AJ464" s="50" t="str">
        <f t="shared" si="367"/>
        <v>1+0.797319792099082i</v>
      </c>
      <c r="AK464" s="50">
        <f t="shared" si="386"/>
        <v>1.2789522472996884</v>
      </c>
      <c r="AL464" s="50">
        <f t="shared" si="387"/>
        <v>0.67310453109785162</v>
      </c>
      <c r="AM464" s="50" t="str">
        <f t="shared" si="368"/>
        <v>1-3.67862027769799i</v>
      </c>
      <c r="AN464" s="50">
        <f t="shared" si="388"/>
        <v>3.8121184592678694</v>
      </c>
      <c r="AO464" s="50">
        <f t="shared" si="389"/>
        <v>-1.3053693316172008</v>
      </c>
      <c r="AP464" s="59" t="str">
        <f t="shared" si="390"/>
        <v>-0.257828413132194-0.352778468317704i</v>
      </c>
      <c r="AQ464" s="50">
        <f t="shared" si="391"/>
        <v>-7.191300620749411</v>
      </c>
      <c r="AR464" s="62">
        <f t="shared" si="392"/>
        <v>-126.16123059163685</v>
      </c>
      <c r="AS464" s="32" t="str">
        <f t="shared" si="369"/>
        <v>-0.0000166666666666667</v>
      </c>
      <c r="AT464" s="32" t="str">
        <f t="shared" si="370"/>
        <v>0.00616110748440198i</v>
      </c>
      <c r="AU464" s="32">
        <f t="shared" si="393"/>
        <v>6.1611074844019802E-3</v>
      </c>
      <c r="AV464" s="32">
        <f t="shared" si="394"/>
        <v>1.5707963267948966</v>
      </c>
      <c r="AW464" s="32" t="str">
        <f t="shared" si="371"/>
        <v>1+6.26130542618984i</v>
      </c>
      <c r="AX464" s="32">
        <f t="shared" si="395"/>
        <v>6.340658139344395</v>
      </c>
      <c r="AY464" s="32">
        <f t="shared" si="396"/>
        <v>1.4124227624911641</v>
      </c>
      <c r="AZ464" s="32" t="str">
        <f t="shared" si="372"/>
        <v>1+212.884384490455i</v>
      </c>
      <c r="BA464" s="32">
        <f t="shared" si="397"/>
        <v>212.88673317019988</v>
      </c>
      <c r="BB464" s="32">
        <f t="shared" si="398"/>
        <v>1.5660989759424717</v>
      </c>
      <c r="BC464" s="59" t="str">
        <f t="shared" si="399"/>
        <v>-0.0139027308832498+0.0897543856760727i</v>
      </c>
      <c r="BD464" s="50">
        <f t="shared" si="400"/>
        <v>-20.835915534661975</v>
      </c>
      <c r="BE464" s="62">
        <f t="shared" si="401"/>
        <v>98.804998442311458</v>
      </c>
      <c r="BF464" s="59" t="str">
        <f t="shared" si="402"/>
        <v>-0.00565651383770977-0.00553329191942744i</v>
      </c>
      <c r="BG464" s="65">
        <f t="shared" si="403"/>
        <v>-42.033322392711781</v>
      </c>
      <c r="BH464" s="62">
        <f t="shared" si="404"/>
        <v>-135.63091448209875</v>
      </c>
      <c r="BI464" s="59" t="str">
        <f t="shared" si="409"/>
        <v>0.0352479337454336-0.0182366467240906i</v>
      </c>
      <c r="BJ464" s="65">
        <f t="shared" si="405"/>
        <v>-28.027216155411399</v>
      </c>
      <c r="BK464" s="62">
        <f t="shared" si="410"/>
        <v>-27.356232149325354</v>
      </c>
      <c r="BL464" s="50">
        <f t="shared" si="406"/>
        <v>-42.033322392711781</v>
      </c>
      <c r="BM464" s="62">
        <f t="shared" si="407"/>
        <v>-135.63091448209875</v>
      </c>
    </row>
    <row r="465" spans="14:65" x14ac:dyDescent="0.3">
      <c r="N465" s="11">
        <v>47</v>
      </c>
      <c r="O465" s="51">
        <f t="shared" si="408"/>
        <v>295120.92266663886</v>
      </c>
      <c r="P465" s="49" t="str">
        <f t="shared" si="360"/>
        <v>27.9103246607183</v>
      </c>
      <c r="Q465" s="18" t="str">
        <f t="shared" si="361"/>
        <v>1+910.872151764182i</v>
      </c>
      <c r="R465" s="18">
        <f t="shared" si="373"/>
        <v>910.87270068847226</v>
      </c>
      <c r="S465" s="18">
        <f t="shared" si="374"/>
        <v>1.5696984783248276</v>
      </c>
      <c r="T465" s="18" t="str">
        <f t="shared" si="362"/>
        <v>1+0.815891755861737i</v>
      </c>
      <c r="U465" s="18">
        <f t="shared" si="375"/>
        <v>1.2906120088094439</v>
      </c>
      <c r="V465" s="18">
        <f t="shared" si="376"/>
        <v>0.68435620042003509</v>
      </c>
      <c r="W465" s="32" t="str">
        <f t="shared" si="363"/>
        <v>1-10.7595152989623i</v>
      </c>
      <c r="X465" s="18">
        <f t="shared" si="377"/>
        <v>10.805885871533338</v>
      </c>
      <c r="Y465" s="18">
        <f t="shared" si="378"/>
        <v>-1.4781215676243051</v>
      </c>
      <c r="Z465" s="32" t="str">
        <f t="shared" si="364"/>
        <v>-0.79951154949604+4.92021500500298i</v>
      </c>
      <c r="AA465" s="18">
        <f t="shared" si="379"/>
        <v>4.9847501856396006</v>
      </c>
      <c r="AB465" s="18">
        <f t="shared" si="380"/>
        <v>1.7318836000079643</v>
      </c>
      <c r="AC465" s="67" t="str">
        <f t="shared" si="381"/>
        <v>-0.0496040250764542+0.0699187784532175i</v>
      </c>
      <c r="AD465" s="65">
        <f t="shared" si="382"/>
        <v>-21.337602359514353</v>
      </c>
      <c r="AE465" s="62">
        <f t="shared" si="383"/>
        <v>125.35387573104349</v>
      </c>
      <c r="AF465" s="50" t="str">
        <f t="shared" si="365"/>
        <v>79.1527877025864</v>
      </c>
      <c r="AG465" s="50" t="str">
        <f t="shared" si="366"/>
        <v>1+903.757021877614i</v>
      </c>
      <c r="AH465" s="50">
        <f t="shared" si="384"/>
        <v>903.75757512349196</v>
      </c>
      <c r="AI465" s="50">
        <f t="shared" si="385"/>
        <v>1.5696898351520272</v>
      </c>
      <c r="AJ465" s="50" t="str">
        <f t="shared" si="367"/>
        <v>1+0.815891755861737i</v>
      </c>
      <c r="AK465" s="50">
        <f t="shared" si="386"/>
        <v>1.2906120088094439</v>
      </c>
      <c r="AL465" s="50">
        <f t="shared" si="387"/>
        <v>0.68435620042003509</v>
      </c>
      <c r="AM465" s="50" t="str">
        <f t="shared" si="368"/>
        <v>1-3.76430635143023i</v>
      </c>
      <c r="AN465" s="50">
        <f t="shared" si="388"/>
        <v>3.8948687150426489</v>
      </c>
      <c r="AO465" s="50">
        <f t="shared" si="389"/>
        <v>-1.311140363091569</v>
      </c>
      <c r="AP465" s="59" t="str">
        <f t="shared" si="390"/>
        <v>-0.257832995170596-0.356854685076817i</v>
      </c>
      <c r="AQ465" s="50">
        <f t="shared" si="391"/>
        <v>-7.1259442056771194</v>
      </c>
      <c r="AR465" s="62">
        <f t="shared" si="392"/>
        <v>-125.84868988551712</v>
      </c>
      <c r="AS465" s="32" t="str">
        <f t="shared" si="369"/>
        <v>-0.0000166666666666667</v>
      </c>
      <c r="AT465" s="32" t="str">
        <f t="shared" si="370"/>
        <v>0.00630461811347705i</v>
      </c>
      <c r="AU465" s="32">
        <f t="shared" si="393"/>
        <v>6.3046181134770504E-3</v>
      </c>
      <c r="AV465" s="32">
        <f t="shared" si="394"/>
        <v>1.5707963267948966</v>
      </c>
      <c r="AW465" s="32" t="str">
        <f t="shared" si="371"/>
        <v>1+6.40714996514952i</v>
      </c>
      <c r="AX465" s="32">
        <f t="shared" si="395"/>
        <v>6.4847182418294382</v>
      </c>
      <c r="AY465" s="32">
        <f t="shared" si="396"/>
        <v>1.4159697987920568</v>
      </c>
      <c r="AZ465" s="32" t="str">
        <f t="shared" si="372"/>
        <v>1+217.843098815084i</v>
      </c>
      <c r="BA465" s="32">
        <f t="shared" si="397"/>
        <v>217.84539403292067</v>
      </c>
      <c r="BB465" s="32">
        <f t="shared" si="398"/>
        <v>1.5662058991824506</v>
      </c>
      <c r="BC465" s="59" t="str">
        <f t="shared" si="399"/>
        <v>-0.0132918848854873+0.0878066646037312i</v>
      </c>
      <c r="BD465" s="50">
        <f t="shared" si="400"/>
        <v>-21.031055295032498</v>
      </c>
      <c r="BE465" s="62">
        <f t="shared" si="401"/>
        <v>98.607894482873277</v>
      </c>
      <c r="BF465" s="59" t="str">
        <f t="shared" si="402"/>
        <v>-0.0054800037379712-0.00528491634741734i</v>
      </c>
      <c r="BG465" s="65">
        <f t="shared" si="403"/>
        <v>-42.368657654546865</v>
      </c>
      <c r="BH465" s="62">
        <f t="shared" si="404"/>
        <v>-136.03822978608324</v>
      </c>
      <c r="BI465" s="59" t="str">
        <f t="shared" si="409"/>
        <v>0.0347613061362982-0.0178961839358321i</v>
      </c>
      <c r="BJ465" s="65">
        <f t="shared" si="405"/>
        <v>-28.15699950070961</v>
      </c>
      <c r="BK465" s="62">
        <f t="shared" si="410"/>
        <v>-27.24079540264383</v>
      </c>
      <c r="BL465" s="50">
        <f t="shared" si="406"/>
        <v>-42.368657654546865</v>
      </c>
      <c r="BM465" s="62">
        <f t="shared" si="407"/>
        <v>-136.03822978608324</v>
      </c>
    </row>
    <row r="466" spans="14:65" x14ac:dyDescent="0.3">
      <c r="N466" s="11">
        <v>48</v>
      </c>
      <c r="O466" s="51">
        <f t="shared" si="408"/>
        <v>301995.17204020242</v>
      </c>
      <c r="P466" s="49" t="str">
        <f t="shared" si="360"/>
        <v>27.9103246607183</v>
      </c>
      <c r="Q466" s="18" t="str">
        <f t="shared" si="361"/>
        <v>1+932.089089763979i</v>
      </c>
      <c r="R466" s="18">
        <f t="shared" si="373"/>
        <v>932.08962619323415</v>
      </c>
      <c r="S466" s="18">
        <f t="shared" si="374"/>
        <v>1.5697234683875763</v>
      </c>
      <c r="T466" s="18" t="str">
        <f t="shared" si="362"/>
        <v>1+0.834896316232956i</v>
      </c>
      <c r="U466" s="18">
        <f t="shared" si="375"/>
        <v>1.3027094299418271</v>
      </c>
      <c r="V466" s="18">
        <f t="shared" si="376"/>
        <v>0.69565998357484116</v>
      </c>
      <c r="W466" s="32" t="str">
        <f t="shared" si="363"/>
        <v>1-11.0101366057657i</v>
      </c>
      <c r="X466" s="18">
        <f t="shared" si="377"/>
        <v>11.055456032096634</v>
      </c>
      <c r="Y466" s="18">
        <f t="shared" si="378"/>
        <v>-1.4802194506579851</v>
      </c>
      <c r="Z466" s="32" t="str">
        <f t="shared" si="364"/>
        <v>-0.88431991602461+5.03482153513416i</v>
      </c>
      <c r="AA466" s="18">
        <f t="shared" si="379"/>
        <v>5.1118929570686893</v>
      </c>
      <c r="AB466" s="18">
        <f t="shared" si="380"/>
        <v>1.7446636521294796</v>
      </c>
      <c r="AC466" s="67" t="str">
        <f t="shared" si="381"/>
        <v>-0.0485663041950089+0.0689808189004797i</v>
      </c>
      <c r="AD466" s="65">
        <f t="shared" si="382"/>
        <v>-21.477006372706143</v>
      </c>
      <c r="AE466" s="62">
        <f t="shared" si="383"/>
        <v>125.14766008095775</v>
      </c>
      <c r="AF466" s="50" t="str">
        <f t="shared" si="365"/>
        <v>79.1527877025864</v>
      </c>
      <c r="AG466" s="50" t="str">
        <f t="shared" si="366"/>
        <v>1+924.808227211887i</v>
      </c>
      <c r="AH466" s="50">
        <f t="shared" si="384"/>
        <v>924.80876786435863</v>
      </c>
      <c r="AI466" s="50">
        <f t="shared" si="385"/>
        <v>1.5697150219569469</v>
      </c>
      <c r="AJ466" s="50" t="str">
        <f t="shared" si="367"/>
        <v>1+0.834896316232956i</v>
      </c>
      <c r="AK466" s="50">
        <f t="shared" si="386"/>
        <v>1.3027094299418271</v>
      </c>
      <c r="AL466" s="50">
        <f t="shared" si="387"/>
        <v>0.69565998357484116</v>
      </c>
      <c r="AM466" s="50" t="str">
        <f t="shared" si="368"/>
        <v>1-3.85198831021649i</v>
      </c>
      <c r="AN466" s="50">
        <f t="shared" si="388"/>
        <v>3.9796751050864052</v>
      </c>
      <c r="AO466" s="50">
        <f t="shared" si="389"/>
        <v>-1.3167971799390936</v>
      </c>
      <c r="AP466" s="59" t="str">
        <f t="shared" si="390"/>
        <v>-0.257837370983793-0.361120110456992i</v>
      </c>
      <c r="AQ466" s="50">
        <f t="shared" si="391"/>
        <v>-7.0578109657887147</v>
      </c>
      <c r="AR466" s="62">
        <f t="shared" si="392"/>
        <v>-125.52658564667881</v>
      </c>
      <c r="AS466" s="32" t="str">
        <f t="shared" si="369"/>
        <v>-0.0000166666666666667</v>
      </c>
      <c r="AT466" s="32" t="str">
        <f t="shared" si="370"/>
        <v>0.00645147153452738i</v>
      </c>
      <c r="AU466" s="32">
        <f t="shared" si="393"/>
        <v>6.4514715345273801E-3</v>
      </c>
      <c r="AV466" s="32">
        <f t="shared" si="394"/>
        <v>1.5707963267948966</v>
      </c>
      <c r="AW466" s="32" t="str">
        <f t="shared" si="371"/>
        <v>1+6.55639165982938i</v>
      </c>
      <c r="AX466" s="32">
        <f t="shared" si="395"/>
        <v>6.6322146826742774</v>
      </c>
      <c r="AY466" s="32">
        <f t="shared" si="396"/>
        <v>1.4194398937307127</v>
      </c>
      <c r="AZ466" s="32" t="str">
        <f t="shared" si="372"/>
        <v>1+222.917316434199i</v>
      </c>
      <c r="BA466" s="32">
        <f t="shared" si="397"/>
        <v>222.91955940703096</v>
      </c>
      <c r="BB466" s="32">
        <f t="shared" si="398"/>
        <v>1.5663103886537659</v>
      </c>
      <c r="BC466" s="59" t="str">
        <f t="shared" si="399"/>
        <v>-0.0127072519762121+0.0858971108171443i</v>
      </c>
      <c r="BD466" s="50">
        <f t="shared" si="400"/>
        <v>-21.226408710219772</v>
      </c>
      <c r="BE466" s="62">
        <f t="shared" si="401"/>
        <v>98.41505949408851</v>
      </c>
      <c r="BF466" s="59" t="str">
        <f t="shared" si="402"/>
        <v>-0.00530810878039252-0.00504826186071167i</v>
      </c>
      <c r="BG466" s="65">
        <f t="shared" si="403"/>
        <v>-42.703415082925922</v>
      </c>
      <c r="BH466" s="62">
        <f t="shared" si="404"/>
        <v>-136.43728042495371</v>
      </c>
      <c r="BI466" s="59" t="str">
        <f t="shared" si="409"/>
        <v>0.0342955785881988-0.0175586409909415i</v>
      </c>
      <c r="BJ466" s="65">
        <f t="shared" si="405"/>
        <v>-28.28421967600848</v>
      </c>
      <c r="BK466" s="62">
        <f t="shared" si="410"/>
        <v>-27.111526152590308</v>
      </c>
      <c r="BL466" s="50">
        <f t="shared" si="406"/>
        <v>-42.703415082925922</v>
      </c>
      <c r="BM466" s="62">
        <f t="shared" si="407"/>
        <v>-136.43728042495371</v>
      </c>
    </row>
    <row r="467" spans="14:65" x14ac:dyDescent="0.3">
      <c r="N467" s="11">
        <v>49</v>
      </c>
      <c r="O467" s="51">
        <f t="shared" si="408"/>
        <v>309029.54325135931</v>
      </c>
      <c r="P467" s="49" t="str">
        <f t="shared" ref="P467:P530" si="411">COMPLEX(Adc,0)</f>
        <v>27.9103246607183</v>
      </c>
      <c r="Q467" s="18" t="str">
        <f t="shared" ref="Q467:Q530" si="412">IMSUM(COMPLEX(1,0),IMDIV(COMPLEX(0,2*PI()*O467),COMPLEX(wp_lf,0)))</f>
        <v>1+953.800233736826i</v>
      </c>
      <c r="R467" s="18">
        <f t="shared" si="373"/>
        <v>953.80075795546736</v>
      </c>
      <c r="S467" s="18">
        <f t="shared" si="374"/>
        <v>1.569747889608343</v>
      </c>
      <c r="T467" s="18" t="str">
        <f t="shared" ref="T467:T530" si="413">IMSUM(COMPLEX(1,0),IMDIV(COMPLEX(0,2*PI()*O467),COMPLEX(wz_esr,0)))</f>
        <v>1+0.854343549682199i</v>
      </c>
      <c r="U467" s="18">
        <f t="shared" si="375"/>
        <v>1.3152577317330547</v>
      </c>
      <c r="V467" s="18">
        <f t="shared" si="376"/>
        <v>0.70701031994941421</v>
      </c>
      <c r="W467" s="32" t="str">
        <f t="shared" ref="W467:W530" si="414">IMSUB(COMPLEX(1,0),IMDIV(COMPLEX(0,2*PI()*O467),COMPLEX(wz_rhp,0)))</f>
        <v>1-11.2665956327338i</v>
      </c>
      <c r="X467" s="18">
        <f t="shared" si="377"/>
        <v>11.310887549239286</v>
      </c>
      <c r="Y467" s="18">
        <f t="shared" si="378"/>
        <v>-1.4822703528449073</v>
      </c>
      <c r="Z467" s="32" t="str">
        <f t="shared" ref="Z467:Z530" si="415">IMSUM(COMPLEX(1,0),IMDIV(COMPLEX(0,2*PI()*O467),COMPLEX(Q*(wsl/2),0)),IMDIV(IMPOWER(COMPLEX(0,2*PI()*O467),2),IMPOWER(COMPLEX(wsl/2,0),2)))</f>
        <v>-0.97312517773025+5.15209759428701i</v>
      </c>
      <c r="AA467" s="18">
        <f t="shared" si="379"/>
        <v>5.2431938961467495</v>
      </c>
      <c r="AB467" s="18">
        <f t="shared" si="380"/>
        <v>1.7574765097223617</v>
      </c>
      <c r="AC467" s="67" t="str">
        <f t="shared" si="381"/>
        <v>-0.0475569168466552+0.0680573787389444i</v>
      </c>
      <c r="AD467" s="65">
        <f t="shared" si="382"/>
        <v>-21.615622902295904</v>
      </c>
      <c r="AE467" s="62">
        <f t="shared" si="383"/>
        <v>124.94495651531507</v>
      </c>
      <c r="AF467" s="50" t="str">
        <f t="shared" ref="AF467:AF530" si="416">COMPLEX($B$72,0)</f>
        <v>79.1527877025864</v>
      </c>
      <c r="AG467" s="50" t="str">
        <f t="shared" ref="AG467:AG530" si="417">IMSUM(COMPLEX(1,0),IMDIV(COMPLEX(0,2*PI()*O467),COMPLEX(wp_lf_DCM,0)))</f>
        <v>1+946.349778109511i</v>
      </c>
      <c r="AH467" s="50">
        <f t="shared" si="384"/>
        <v>946.35030645523682</v>
      </c>
      <c r="AI467" s="50">
        <f t="shared" si="385"/>
        <v>1.569739635441517</v>
      </c>
      <c r="AJ467" s="50" t="str">
        <f t="shared" ref="AJ467:AJ530" si="418">IMSUM(COMPLEX(1,0),IMDIV(COMPLEX(0,2*PI()*O467),COMPLEX(wz1_dcm,0)))</f>
        <v>1+0.854343549682199i</v>
      </c>
      <c r="AK467" s="50">
        <f t="shared" si="386"/>
        <v>1.3152577317330547</v>
      </c>
      <c r="AL467" s="50">
        <f t="shared" si="387"/>
        <v>0.70701031994941421</v>
      </c>
      <c r="AM467" s="50" t="str">
        <f t="shared" ref="AM467:AM530" si="419">IMSUB(COMPLEX(1,0),IMDIV(COMPLEX(0,2*PI()*O467),COMPLEX(wz2_dcm,0)))</f>
        <v>1-3.94171264419191i</v>
      </c>
      <c r="AN467" s="50">
        <f t="shared" si="388"/>
        <v>4.0665831565802737</v>
      </c>
      <c r="AO467" s="50">
        <f t="shared" si="389"/>
        <v>-1.3223413327529014</v>
      </c>
      <c r="AP467" s="59" t="str">
        <f t="shared" si="390"/>
        <v>-0.257841549853403-0.365577006073696i</v>
      </c>
      <c r="AQ467" s="50">
        <f t="shared" si="391"/>
        <v>-6.9869038223356377</v>
      </c>
      <c r="AR467" s="62">
        <f t="shared" si="392"/>
        <v>-125.19532608235366</v>
      </c>
      <c r="AS467" s="32" t="str">
        <f t="shared" ref="AS467:AS530" si="420">COMPLEX(Adc_ea,0)</f>
        <v>-0.0000166666666666667</v>
      </c>
      <c r="AT467" s="32" t="str">
        <f t="shared" ref="AT467:AT530" si="421">COMPLEX(0,2*PI()*O467*wp0_ea)</f>
        <v>0.00660174561118062i</v>
      </c>
      <c r="AU467" s="32">
        <f t="shared" si="393"/>
        <v>6.60174561118062E-3</v>
      </c>
      <c r="AV467" s="32">
        <f t="shared" si="394"/>
        <v>1.5707963267948966</v>
      </c>
      <c r="AW467" s="32" t="str">
        <f t="shared" ref="AW467:AW530" si="422">IMSUM(COMPLEX(1,0),IMDIV(COMPLEX(0,2*PI()*O467),COMPLEX(wp1_ea,0)))</f>
        <v>1+6.70910964015138i</v>
      </c>
      <c r="AX467" s="32">
        <f t="shared" si="395"/>
        <v>6.7832257933502529</v>
      </c>
      <c r="AY467" s="32">
        <f t="shared" si="396"/>
        <v>1.4228345527426778</v>
      </c>
      <c r="AZ467" s="32" t="str">
        <f t="shared" ref="AZ467:AZ530" si="423">IMSUM(COMPLEX(1,0),IMDIV(COMPLEX(0,2*PI()*O467),COMPLEX(wz_ea,0)))</f>
        <v>1+228.109727765147i</v>
      </c>
      <c r="BA467" s="32">
        <f t="shared" si="397"/>
        <v>228.11191968218029</v>
      </c>
      <c r="BB467" s="32">
        <f t="shared" si="398"/>
        <v>1.566412499748987</v>
      </c>
      <c r="BC467" s="59" t="str">
        <f t="shared" si="399"/>
        <v>-0.0121477611977628+0.0840252465647133i</v>
      </c>
      <c r="BD467" s="50">
        <f t="shared" si="400"/>
        <v>-21.421966602250361</v>
      </c>
      <c r="BE467" s="62">
        <f t="shared" si="401"/>
        <v>98.226410394614476</v>
      </c>
      <c r="BF467" s="59" t="str">
        <f t="shared" si="402"/>
        <v>-0.00514082795993285-0.00482272644856417i</v>
      </c>
      <c r="BG467" s="65">
        <f t="shared" si="403"/>
        <v>-43.037589504546261</v>
      </c>
      <c r="BH467" s="62">
        <f t="shared" si="404"/>
        <v>-136.82863309007044</v>
      </c>
      <c r="BI467" s="59" t="str">
        <f t="shared" si="409"/>
        <v>0.0338498956482122-0.0172242576318837i</v>
      </c>
      <c r="BJ467" s="65">
        <f t="shared" si="405"/>
        <v>-28.408870424585992</v>
      </c>
      <c r="BK467" s="62">
        <f t="shared" si="410"/>
        <v>-26.968915687739234</v>
      </c>
      <c r="BL467" s="50">
        <f t="shared" si="406"/>
        <v>-43.037589504546261</v>
      </c>
      <c r="BM467" s="62">
        <f t="shared" si="407"/>
        <v>-136.82863309007044</v>
      </c>
    </row>
    <row r="468" spans="14:65" x14ac:dyDescent="0.3">
      <c r="N468" s="11">
        <v>50</v>
      </c>
      <c r="O468" s="51">
        <f t="shared" si="408"/>
        <v>316227.7660168382</v>
      </c>
      <c r="P468" s="49" t="str">
        <f t="shared" si="411"/>
        <v>27.9103246607183</v>
      </c>
      <c r="Q468" s="18" t="str">
        <f t="shared" si="412"/>
        <v>1+976.017095218638i</v>
      </c>
      <c r="R468" s="18">
        <f t="shared" ref="R468:R531" si="424">IMABS(Q468)</f>
        <v>976.01760750461256</v>
      </c>
      <c r="S468" s="18">
        <f t="shared" ref="S468:S531" si="425">IMARGUMENT(Q468)</f>
        <v>1.5697717549354662</v>
      </c>
      <c r="T468" s="18" t="str">
        <f t="shared" si="413"/>
        <v>1+0.874243767390058i</v>
      </c>
      <c r="U468" s="18">
        <f t="shared" ref="U468:U531" si="426">IMABS(T468)</f>
        <v>1.3282703658594368</v>
      </c>
      <c r="V468" s="18">
        <f t="shared" ref="V468:V531" si="427">IMARGUMENT(T468)</f>
        <v>0.71840153033550502</v>
      </c>
      <c r="W468" s="32" t="str">
        <f t="shared" si="414"/>
        <v>1-11.5290283578374i</v>
      </c>
      <c r="X468" s="18">
        <f t="shared" ref="X468:X531" si="428">IMABS(W468)</f>
        <v>11.572315882130894</v>
      </c>
      <c r="Y468" s="18">
        <f t="shared" ref="Y468:Y531" si="429">IMARGUMENT(W468)</f>
        <v>-1.4842752925503286</v>
      </c>
      <c r="Z468" s="32" t="str">
        <f t="shared" si="415"/>
        <v>-1.06611570247934+5.27210536378042i</v>
      </c>
      <c r="AA468" s="18">
        <f t="shared" ref="AA468:AA531" si="430">IMABS(Z468)</f>
        <v>5.3788193553860211</v>
      </c>
      <c r="AB468" s="18">
        <f t="shared" ref="AB468:AB531" si="431">IMARGUMENT(Z468)</f>
        <v>1.770323866889068</v>
      </c>
      <c r="AC468" s="67" t="str">
        <f t="shared" ref="AC468:AC531" si="432">(IMDIV(IMPRODUCT(P468,T468,W468),IMPRODUCT(Q468,Z468)))</f>
        <v>-0.0465744666714979+0.0671486182100173i</v>
      </c>
      <c r="AD468" s="65">
        <f t="shared" ref="AD468:AD531" si="433">20*LOG(IMABS(AC468))</f>
        <v>-21.753459196257815</v>
      </c>
      <c r="AE468" s="62">
        <f t="shared" ref="AE468:AE531" si="434">(180/PI())*IMARGUMENT(AC468)</f>
        <v>124.7452834846145</v>
      </c>
      <c r="AF468" s="50" t="str">
        <f t="shared" si="416"/>
        <v>79.1527877025864</v>
      </c>
      <c r="AG468" s="50" t="str">
        <f t="shared" si="417"/>
        <v>1+968.393096185908i</v>
      </c>
      <c r="AH468" s="50">
        <f t="shared" ref="AH468:AH531" si="435">IMABS(AG468)</f>
        <v>968.39361250502327</v>
      </c>
      <c r="AI468" s="50">
        <f t="shared" ref="AI468:AI531" si="436">IMARGUMENT(AG468)</f>
        <v>1.5697636886560133</v>
      </c>
      <c r="AJ468" s="50" t="str">
        <f t="shared" si="418"/>
        <v>1+0.874243767390058i</v>
      </c>
      <c r="AK468" s="50">
        <f t="shared" ref="AK468:AK531" si="437">IMABS(AJ468)</f>
        <v>1.3282703658594368</v>
      </c>
      <c r="AL468" s="50">
        <f t="shared" ref="AL468:AL531" si="438">IMARGUMENT(AJ468)</f>
        <v>0.71840153033550502</v>
      </c>
      <c r="AM468" s="50" t="str">
        <f t="shared" si="419"/>
        <v>1-4.03352692638602i</v>
      </c>
      <c r="AN468" s="50">
        <f t="shared" ref="AN468:AN531" si="439">IMABS(AM468)</f>
        <v>4.1556394773706078</v>
      </c>
      <c r="AO468" s="50">
        <f t="shared" ref="AO468:AO531" si="440">IMARGUMENT(AM468)</f>
        <v>-1.3277743972296987</v>
      </c>
      <c r="AP468" s="59" t="str">
        <f t="shared" ref="AP468:AP531" si="441">(IMDIV(IMPRODUCT(AF468,AJ468,AM468),IMPRODUCT(AG468)))</f>
        <v>-0.257845540643309-0.370227735060414i</v>
      </c>
      <c r="AQ468" s="50">
        <f t="shared" ref="AQ468:AQ531" si="442">20*LOG(IMABS(AP468))</f>
        <v>-6.9132270879254856</v>
      </c>
      <c r="AR468" s="62">
        <f t="shared" ref="AR468:AR531" si="443">(180/PI())*IMARGUMENT(AP468)</f>
        <v>-124.85532761570229</v>
      </c>
      <c r="AS468" s="32" t="str">
        <f t="shared" si="420"/>
        <v>-0.0000166666666666667</v>
      </c>
      <c r="AT468" s="32" t="str">
        <f t="shared" si="421"/>
        <v>0.00675552002074135i</v>
      </c>
      <c r="AU468" s="32">
        <f t="shared" ref="AU468:AU531" si="444">IMABS(AT468)</f>
        <v>6.7555200207413497E-3</v>
      </c>
      <c r="AV468" s="32">
        <f t="shared" ref="AV468:AV531" si="445">IMARGUMENT(AT468)</f>
        <v>1.5707963267948966</v>
      </c>
      <c r="AW468" s="32" t="str">
        <f t="shared" si="422"/>
        <v>1+6.86538487921015i</v>
      </c>
      <c r="AX468" s="32">
        <f t="shared" ref="AX468:AX531" si="446">IMABS(AW468)</f>
        <v>6.9378317606934923</v>
      </c>
      <c r="AY468" s="32">
        <f t="shared" ref="AY468:AY531" si="447">IMARGUMENT(AW468)</f>
        <v>1.426155262606827</v>
      </c>
      <c r="AZ468" s="32" t="str">
        <f t="shared" si="423"/>
        <v>1+233.423085893145i</v>
      </c>
      <c r="BA468" s="32">
        <f t="shared" ref="BA468:BA531" si="448">IMABS(AZ468)</f>
        <v>233.42522791651837</v>
      </c>
      <c r="BB468" s="32">
        <f t="shared" ref="BB468:BB531" si="449">IMARGUMENT(AZ468)</f>
        <v>1.5665122866002457</v>
      </c>
      <c r="BC468" s="59" t="str">
        <f t="shared" ref="BC468:BC531" si="450">IMPRODUCT(AS468,IMDIV(AZ468,IMPRODUCT(AT468,AW468)))</f>
        <v>-0.0116123806891192+0.082190581035127i</v>
      </c>
      <c r="BD468" s="50">
        <f t="shared" ref="BD468:BD531" si="451">20*LOG(IMABS(BC468))</f>
        <v>-21.617720168940057</v>
      </c>
      <c r="BE468" s="62">
        <f t="shared" ref="BE468:BE531" si="452">(180/PI())*IMARGUMENT(BC468)</f>
        <v>98.041865099839313</v>
      </c>
      <c r="BF468" s="59" t="str">
        <f t="shared" ref="BF468:BF531" si="453">IMPRODUCT(AC468,BC468)</f>
        <v>-0.0049781435090051-0.00460773779453461i</v>
      </c>
      <c r="BG468" s="65">
        <f t="shared" ref="BG468:BG531" si="454">20*LOG(IMABS(BF468))</f>
        <v>-43.371179365197875</v>
      </c>
      <c r="BH468" s="62">
        <f t="shared" ref="BH468:BH531" si="455">(180/PI())*IMARGUMENT(BF468)</f>
        <v>-137.2128514155462</v>
      </c>
      <c r="BI468" s="59" t="str">
        <f t="shared" si="409"/>
        <v>0.0334234332368763-0.0168932494015981i</v>
      </c>
      <c r="BJ468" s="65">
        <f t="shared" ref="BJ468:BJ531" si="456">20*LOG(IMABS(BI468))</f>
        <v>-28.530947256865552</v>
      </c>
      <c r="BK468" s="62">
        <f t="shared" si="410"/>
        <v>-26.813462515862987</v>
      </c>
      <c r="BL468" s="50">
        <f t="shared" ref="BL468:BL531" si="457">IF($B$31=0,BJ468,BG468)</f>
        <v>-43.371179365197875</v>
      </c>
      <c r="BM468" s="62">
        <f t="shared" ref="BM468:BM531" si="458">IF($B$31=0,BK468,BH468)</f>
        <v>-137.2128514155462</v>
      </c>
    </row>
    <row r="469" spans="14:65" x14ac:dyDescent="0.3">
      <c r="N469" s="11">
        <v>51</v>
      </c>
      <c r="O469" s="51">
        <f t="shared" si="408"/>
        <v>323593.65692962846</v>
      </c>
      <c r="P469" s="49" t="str">
        <f t="shared" si="411"/>
        <v>27.9103246607183</v>
      </c>
      <c r="Q469" s="18" t="str">
        <f t="shared" si="412"/>
        <v>1+998.751453883449i</v>
      </c>
      <c r="R469" s="18">
        <f t="shared" si="424"/>
        <v>998.75195450837703</v>
      </c>
      <c r="S469" s="18">
        <f t="shared" si="425"/>
        <v>1.5697950770225486</v>
      </c>
      <c r="T469" s="18" t="str">
        <f t="shared" si="413"/>
        <v>1+0.894607520715371i</v>
      </c>
      <c r="U469" s="18">
        <f t="shared" si="426"/>
        <v>1.341761013042376</v>
      </c>
      <c r="V469" s="18">
        <f t="shared" si="427"/>
        <v>0.72982783042561916</v>
      </c>
      <c r="W469" s="32" t="str">
        <f t="shared" si="414"/>
        <v>1-11.7975739263811i</v>
      </c>
      <c r="X469" s="18">
        <f t="shared" si="428"/>
        <v>11.839879667818721</v>
      </c>
      <c r="Y469" s="18">
        <f t="shared" si="429"/>
        <v>-1.4862352683086923</v>
      </c>
      <c r="Z469" s="32" t="str">
        <f t="shared" si="415"/>
        <v>-1.16348873564235+5.39490847332228i</v>
      </c>
      <c r="AA469" s="18">
        <f t="shared" si="430"/>
        <v>5.5189440542092072</v>
      </c>
      <c r="AB469" s="18">
        <f t="shared" si="431"/>
        <v>1.7832072744551093</v>
      </c>
      <c r="AC469" s="67" t="str">
        <f t="shared" si="432"/>
        <v>-0.0456176004738213+0.0662546397386939i</v>
      </c>
      <c r="AD469" s="65">
        <f t="shared" si="433"/>
        <v>-21.89052576640437</v>
      </c>
      <c r="AE469" s="62">
        <f t="shared" si="434"/>
        <v>124.54816277988552</v>
      </c>
      <c r="AF469" s="50" t="str">
        <f t="shared" si="416"/>
        <v>79.1527877025864</v>
      </c>
      <c r="AG469" s="50" t="str">
        <f t="shared" si="417"/>
        <v>1+990.949869100101i</v>
      </c>
      <c r="AH469" s="50">
        <f t="shared" si="435"/>
        <v>990.95037366636438</v>
      </c>
      <c r="AI469" s="50">
        <f t="shared" si="436"/>
        <v>1.5697871943536574</v>
      </c>
      <c r="AJ469" s="50" t="str">
        <f t="shared" si="418"/>
        <v>1+0.894607520715371i</v>
      </c>
      <c r="AK469" s="50">
        <f t="shared" si="437"/>
        <v>1.341761013042376</v>
      </c>
      <c r="AL469" s="50">
        <f t="shared" si="438"/>
        <v>0.72982783042561916</v>
      </c>
      <c r="AM469" s="50" t="str">
        <f t="shared" si="419"/>
        <v>1-4.12747983794654i</v>
      </c>
      <c r="AN469" s="50">
        <f t="shared" si="439"/>
        <v>4.2468917825458172</v>
      </c>
      <c r="AO469" s="50">
        <f t="shared" si="440"/>
        <v>-1.3330979705107886</v>
      </c>
      <c r="AP469" s="59" t="str">
        <f t="shared" si="441"/>
        <v>-0.257849351818456-0.375074763321751i</v>
      </c>
      <c r="AQ469" s="50">
        <f t="shared" si="442"/>
        <v>-6.8367865503648906</v>
      </c>
      <c r="AR469" s="62">
        <f t="shared" si="443"/>
        <v>-124.50701390329337</v>
      </c>
      <c r="AS469" s="32" t="str">
        <f t="shared" si="420"/>
        <v>-0.0000166666666666667</v>
      </c>
      <c r="AT469" s="32" t="str">
        <f t="shared" si="421"/>
        <v>0.00691287629643696i</v>
      </c>
      <c r="AU469" s="32">
        <f t="shared" si="444"/>
        <v>6.9128762964369601E-3</v>
      </c>
      <c r="AV469" s="32">
        <f t="shared" si="445"/>
        <v>1.5707963267948966</v>
      </c>
      <c r="AW469" s="32" t="str">
        <f t="shared" si="422"/>
        <v>1+7.02530023620599i</v>
      </c>
      <c r="AX469" s="32">
        <f t="shared" si="446"/>
        <v>7.096114669932831</v>
      </c>
      <c r="AY469" s="32">
        <f t="shared" si="447"/>
        <v>1.4294034909125841</v>
      </c>
      <c r="AZ469" s="32" t="str">
        <f t="shared" si="423"/>
        <v>1+238.860208031004i</v>
      </c>
      <c r="BA469" s="32">
        <f t="shared" si="448"/>
        <v>238.86230129640487</v>
      </c>
      <c r="BB469" s="32">
        <f t="shared" si="449"/>
        <v>1.5666098021078976</v>
      </c>
      <c r="BC469" s="59" t="str">
        <f t="shared" si="450"/>
        <v>-0.0111001166688192+0.0803926120284032i</v>
      </c>
      <c r="BD469" s="50">
        <f t="shared" si="451"/>
        <v>-21.813660970103406</v>
      </c>
      <c r="BE469" s="62">
        <f t="shared" si="452"/>
        <v>97.861342554050026</v>
      </c>
      <c r="BF469" s="59" t="str">
        <f t="shared" si="453"/>
        <v>-0.00482002286018345-0.0044027522875087i</v>
      </c>
      <c r="BG469" s="65">
        <f t="shared" si="454"/>
        <v>-43.704186736507779</v>
      </c>
      <c r="BH469" s="62">
        <f t="shared" si="455"/>
        <v>-137.5904946660645</v>
      </c>
      <c r="BI469" s="59" t="str">
        <f t="shared" si="409"/>
        <v>0.033015397817535-0.0165658092701152i</v>
      </c>
      <c r="BJ469" s="65">
        <f t="shared" si="456"/>
        <v>-28.650447520468283</v>
      </c>
      <c r="BK469" s="62">
        <f t="shared" si="410"/>
        <v>-26.645671349243312</v>
      </c>
      <c r="BL469" s="50">
        <f t="shared" si="457"/>
        <v>-43.704186736507779</v>
      </c>
      <c r="BM469" s="62">
        <f t="shared" si="458"/>
        <v>-137.5904946660645</v>
      </c>
    </row>
    <row r="470" spans="14:65" x14ac:dyDescent="0.3">
      <c r="N470" s="11">
        <v>52</v>
      </c>
      <c r="O470" s="51">
        <f t="shared" si="408"/>
        <v>331131.12148259126</v>
      </c>
      <c r="P470" s="49" t="str">
        <f t="shared" si="411"/>
        <v>27.9103246607183</v>
      </c>
      <c r="Q470" s="18" t="str">
        <f t="shared" si="412"/>
        <v>1+1022.01536378915i</v>
      </c>
      <c r="R470" s="18">
        <f t="shared" si="424"/>
        <v>1022.0158530184689</v>
      </c>
      <c r="S470" s="18">
        <f t="shared" si="425"/>
        <v>1.5698178682351687</v>
      </c>
      <c r="T470" s="18" t="str">
        <f t="shared" si="413"/>
        <v>1+0.915445606789702i</v>
      </c>
      <c r="U470" s="18">
        <f t="shared" si="426"/>
        <v>1.3557435815782295</v>
      </c>
      <c r="V470" s="18">
        <f t="shared" si="427"/>
        <v>0.74128334495874593</v>
      </c>
      <c r="W470" s="32" t="str">
        <f t="shared" si="414"/>
        <v>1-12.07237472478i</v>
      </c>
      <c r="X470" s="18">
        <f t="shared" si="428"/>
        <v>12.11372079484693</v>
      </c>
      <c r="Y470" s="18">
        <f t="shared" si="429"/>
        <v>-1.4881512590575889</v>
      </c>
      <c r="Z470" s="32" t="str">
        <f t="shared" si="415"/>
        <v>-1.26545081847767+5.52057203474677i</v>
      </c>
      <c r="AA470" s="18">
        <f t="shared" si="430"/>
        <v>5.663751527460744</v>
      </c>
      <c r="AB470" s="18">
        <f t="shared" si="431"/>
        <v>1.7961281310953456</v>
      </c>
      <c r="AC470" s="67" t="str">
        <f t="shared" si="432"/>
        <v>-0.0446850090630665+0.065375490998329i</v>
      </c>
      <c r="AD470" s="65">
        <f t="shared" si="433"/>
        <v>-22.026836395778055</v>
      </c>
      <c r="AE470" s="62">
        <f t="shared" si="434"/>
        <v>124.35312083781427</v>
      </c>
      <c r="AF470" s="50" t="str">
        <f t="shared" si="416"/>
        <v>79.1527877025864</v>
      </c>
      <c r="AG470" s="50" t="str">
        <f t="shared" si="417"/>
        <v>1+1014.03205675167i</v>
      </c>
      <c r="AH470" s="50">
        <f t="shared" si="435"/>
        <v>1014.0325498326088</v>
      </c>
      <c r="AI470" s="50">
        <f t="shared" si="436"/>
        <v>1.5698101649973775</v>
      </c>
      <c r="AJ470" s="50" t="str">
        <f t="shared" si="418"/>
        <v>1+0.915445606789702i</v>
      </c>
      <c r="AK470" s="50">
        <f t="shared" si="437"/>
        <v>1.3557435815782295</v>
      </c>
      <c r="AL470" s="50">
        <f t="shared" si="438"/>
        <v>0.74128334495874593</v>
      </c>
      <c r="AM470" s="50" t="str">
        <f t="shared" si="419"/>
        <v>1-4.22362119395081i</v>
      </c>
      <c r="AN470" s="50">
        <f t="shared" si="439"/>
        <v>4.3403889215127327</v>
      </c>
      <c r="AO470" s="50">
        <f t="shared" si="440"/>
        <v>-1.3383136677239922</v>
      </c>
      <c r="AP470" s="59" t="str">
        <f t="shared" si="441"/>
        <v>-0.257852991462807-0.380120660841016i</v>
      </c>
      <c r="AQ470" s="50">
        <f t="shared" si="442"/>
        <v>-6.757589548964857</v>
      </c>
      <c r="AR470" s="62">
        <f t="shared" si="443"/>
        <v>-124.15081482686702</v>
      </c>
      <c r="AS470" s="32" t="str">
        <f t="shared" si="420"/>
        <v>-0.0000166666666666667</v>
      </c>
      <c r="AT470" s="32" t="str">
        <f t="shared" si="421"/>
        <v>0.00707389787064768i</v>
      </c>
      <c r="AU470" s="32">
        <f t="shared" si="444"/>
        <v>7.0738978706476798E-3</v>
      </c>
      <c r="AV470" s="32">
        <f t="shared" si="445"/>
        <v>1.5707963267948966</v>
      </c>
      <c r="AW470" s="32" t="str">
        <f t="shared" si="422"/>
        <v>1+7.18894050037794i</v>
      </c>
      <c r="AX470" s="32">
        <f t="shared" si="446"/>
        <v>7.2581585486936158</v>
      </c>
      <c r="AY470" s="32">
        <f t="shared" si="447"/>
        <v>1.432580685594435</v>
      </c>
      <c r="AZ470" s="32" t="str">
        <f t="shared" si="423"/>
        <v>1+244.42397701285i</v>
      </c>
      <c r="BA470" s="32">
        <f t="shared" si="448"/>
        <v>244.42602263011648</v>
      </c>
      <c r="BB470" s="32">
        <f t="shared" si="449"/>
        <v>1.5667050979685333</v>
      </c>
      <c r="BC470" s="59" t="str">
        <f t="shared" si="450"/>
        <v>-0.0106100124055003+0.0786308275198493i</v>
      </c>
      <c r="BD470" s="50">
        <f t="shared" si="451"/>
        <v>-22.009780914129145</v>
      </c>
      <c r="BE470" s="62">
        <f t="shared" si="452"/>
        <v>97.684762758708032</v>
      </c>
      <c r="BF470" s="59" t="str">
        <f t="shared" si="453"/>
        <v>-0.00466642045621604-0.00420725401086883i</v>
      </c>
      <c r="BG470" s="65">
        <f t="shared" si="454"/>
        <v>-44.0366173099072</v>
      </c>
      <c r="BH470" s="62">
        <f t="shared" si="455"/>
        <v>-137.96211640347767</v>
      </c>
      <c r="BI470" s="59" t="str">
        <f t="shared" si="409"/>
        <v>0.0326250255575368-0.016242109170079i</v>
      </c>
      <c r="BJ470" s="65">
        <f t="shared" si="456"/>
        <v>-28.767370463094007</v>
      </c>
      <c r="BK470" s="62">
        <f t="shared" si="410"/>
        <v>-26.466052068158984</v>
      </c>
      <c r="BL470" s="50">
        <f t="shared" si="457"/>
        <v>-44.0366173099072</v>
      </c>
      <c r="BM470" s="62">
        <f t="shared" si="458"/>
        <v>-137.96211640347767</v>
      </c>
    </row>
    <row r="471" spans="14:65" x14ac:dyDescent="0.3">
      <c r="N471" s="11">
        <v>53</v>
      </c>
      <c r="O471" s="51">
        <f t="shared" si="408"/>
        <v>338844.15613920329</v>
      </c>
      <c r="P471" s="49" t="str">
        <f t="shared" si="411"/>
        <v>27.9103246607183</v>
      </c>
      <c r="Q471" s="18" t="str">
        <f t="shared" si="412"/>
        <v>1+1045.82115976871i</v>
      </c>
      <c r="R471" s="18">
        <f t="shared" si="424"/>
        <v>1045.8216378618151</v>
      </c>
      <c r="S471" s="18">
        <f t="shared" si="425"/>
        <v>1.5698401406574338</v>
      </c>
      <c r="T471" s="18" t="str">
        <f t="shared" si="413"/>
        <v>1+0.936769074242106i</v>
      </c>
      <c r="U471" s="18">
        <f t="shared" si="426"/>
        <v>1.3702322060353174</v>
      </c>
      <c r="V471" s="18">
        <f t="shared" si="427"/>
        <v>0.75276212243493268</v>
      </c>
      <c r="W471" s="32" t="str">
        <f t="shared" si="414"/>
        <v>1-12.3535764560547i</v>
      </c>
      <c r="X471" s="18">
        <f t="shared" si="428"/>
        <v>12.393984478592388</v>
      </c>
      <c r="Y471" s="18">
        <f t="shared" si="429"/>
        <v>-1.4900242243802495</v>
      </c>
      <c r="Z471" s="32" t="str">
        <f t="shared" si="415"/>
        <v>-1.37221822623325+5.64916267653748i</v>
      </c>
      <c r="AA471" s="18">
        <f t="shared" si="430"/>
        <v>5.8134345963802527</v>
      </c>
      <c r="AB471" s="18">
        <f t="shared" si="431"/>
        <v>1.809087674694102</v>
      </c>
      <c r="AC471" s="67" t="str">
        <f t="shared" si="432"/>
        <v>-0.0437754279995291+0.0645111679109177i</v>
      </c>
      <c r="AD471" s="65">
        <f t="shared" si="433"/>
        <v>-22.162408132303391</v>
      </c>
      <c r="AE471" s="62">
        <f t="shared" si="434"/>
        <v>124.159690064587</v>
      </c>
      <c r="AF471" s="50" t="str">
        <f t="shared" si="416"/>
        <v>79.1527877025864</v>
      </c>
      <c r="AG471" s="50" t="str">
        <f t="shared" si="417"/>
        <v>1+1037.65189762202i</v>
      </c>
      <c r="AH471" s="50">
        <f t="shared" si="435"/>
        <v>1037.6523794790714</v>
      </c>
      <c r="AI471" s="50">
        <f t="shared" si="436"/>
        <v>1.5698326127664155</v>
      </c>
      <c r="AJ471" s="50" t="str">
        <f t="shared" si="418"/>
        <v>1+0.936769074242106i</v>
      </c>
      <c r="AK471" s="50">
        <f t="shared" si="437"/>
        <v>1.3702322060353174</v>
      </c>
      <c r="AL471" s="50">
        <f t="shared" si="438"/>
        <v>0.75276212243493268</v>
      </c>
      <c r="AM471" s="50" t="str">
        <f t="shared" si="419"/>
        <v>1-4.32200196981834i</v>
      </c>
      <c r="AN471" s="50">
        <f t="shared" si="439"/>
        <v>4.4361809055891319</v>
      </c>
      <c r="AO471" s="50">
        <f t="shared" si="440"/>
        <v>-1.3434231187217685</v>
      </c>
      <c r="AP471" s="59" t="str">
        <f t="shared" si="441"/>
        <v>-0.257856467296491-0.385368103042979i</v>
      </c>
      <c r="AQ471" s="50">
        <f t="shared" si="442"/>
        <v>-6.6756450426631559</v>
      </c>
      <c r="AR471" s="62">
        <f t="shared" si="443"/>
        <v>-123.78716546373856</v>
      </c>
      <c r="AS471" s="32" t="str">
        <f t="shared" si="420"/>
        <v>-0.0000166666666666667</v>
      </c>
      <c r="AT471" s="32" t="str">
        <f t="shared" si="421"/>
        <v>0.00723867011914353i</v>
      </c>
      <c r="AU471" s="32">
        <f t="shared" si="444"/>
        <v>7.2386701191435301E-3</v>
      </c>
      <c r="AV471" s="32">
        <f t="shared" si="445"/>
        <v>1.5707963267948966</v>
      </c>
      <c r="AW471" s="32" t="str">
        <f t="shared" si="422"/>
        <v>1+7.35639243596005i</v>
      </c>
      <c r="AX471" s="32">
        <f t="shared" si="446"/>
        <v>7.4240494120022014</v>
      </c>
      <c r="AY471" s="32">
        <f t="shared" si="447"/>
        <v>1.435688274529398</v>
      </c>
      <c r="AZ471" s="32" t="str">
        <f t="shared" si="423"/>
        <v>1+250.117342822642i</v>
      </c>
      <c r="BA471" s="32">
        <f t="shared" si="448"/>
        <v>250.11934187635117</v>
      </c>
      <c r="BB471" s="32">
        <f t="shared" si="449"/>
        <v>1.5667982247023522</v>
      </c>
      <c r="BC471" s="59" t="str">
        <f t="shared" si="450"/>
        <v>-0.0101411471808723+0.0769047071217692i</v>
      </c>
      <c r="BD471" s="50">
        <f t="shared" si="451"/>
        <v>-22.206072244924368</v>
      </c>
      <c r="BE471" s="62">
        <f t="shared" si="452"/>
        <v>97.512046797080814</v>
      </c>
      <c r="BF471" s="59" t="str">
        <f t="shared" si="453"/>
        <v>-0.0045172794160235-0.00402075371802846i</v>
      </c>
      <c r="BG471" s="65">
        <f t="shared" si="454"/>
        <v>-44.368480377227762</v>
      </c>
      <c r="BH471" s="62">
        <f t="shared" si="455"/>
        <v>-138.32826313833223</v>
      </c>
      <c r="BI471" s="59" t="str">
        <f t="shared" si="409"/>
        <v>0.0322515814849856-0.0159223014451183i</v>
      </c>
      <c r="BJ471" s="65">
        <f t="shared" si="456"/>
        <v>-28.881717287587513</v>
      </c>
      <c r="BK471" s="62">
        <f t="shared" si="410"/>
        <v>-26.275118666657729</v>
      </c>
      <c r="BL471" s="50">
        <f t="shared" si="457"/>
        <v>-44.368480377227762</v>
      </c>
      <c r="BM471" s="62">
        <f t="shared" si="458"/>
        <v>-138.32826313833223</v>
      </c>
    </row>
    <row r="472" spans="14:65" x14ac:dyDescent="0.3">
      <c r="N472" s="11">
        <v>54</v>
      </c>
      <c r="O472" s="51">
        <f t="shared" si="408"/>
        <v>346736.85045253241</v>
      </c>
      <c r="P472" s="49" t="str">
        <f t="shared" si="411"/>
        <v>27.9103246607183</v>
      </c>
      <c r="Q472" s="18" t="str">
        <f t="shared" si="412"/>
        <v>1+1070.18146397025i</v>
      </c>
      <c r="R472" s="18">
        <f t="shared" si="424"/>
        <v>1070.1819311806323</v>
      </c>
      <c r="S472" s="18">
        <f t="shared" si="425"/>
        <v>1.5698619060983889</v>
      </c>
      <c r="T472" s="18" t="str">
        <f t="shared" si="413"/>
        <v>1+0.958589229057276i</v>
      </c>
      <c r="U472" s="18">
        <f t="shared" si="426"/>
        <v>1.3852412461606183</v>
      </c>
      <c r="V472" s="18">
        <f t="shared" si="427"/>
        <v>0.76425815031148425</v>
      </c>
      <c r="W472" s="32" t="str">
        <f t="shared" si="414"/>
        <v>1-12.6413282170853i</v>
      </c>
      <c r="X472" s="18">
        <f t="shared" si="428"/>
        <v>12.680819338358113</v>
      </c>
      <c r="Y472" s="18">
        <f t="shared" si="429"/>
        <v>-1.49185510475552</v>
      </c>
      <c r="Z472" s="32" t="str">
        <f t="shared" si="415"/>
        <v>-1.4840174268955+5.78074857915479i</v>
      </c>
      <c r="AA472" s="18">
        <f t="shared" si="430"/>
        <v>5.968195862966434</v>
      </c>
      <c r="AB472" s="18">
        <f t="shared" si="431"/>
        <v>1.822086973973986</v>
      </c>
      <c r="AC472" s="67" t="str">
        <f t="shared" si="432"/>
        <v>-0.0428876382523617+0.0636616175876926i</v>
      </c>
      <c r="AD472" s="65">
        <f t="shared" si="433"/>
        <v>-22.297261268188567</v>
      </c>
      <c r="AE472" s="62">
        <f t="shared" si="434"/>
        <v>123.96741017151105</v>
      </c>
      <c r="AF472" s="50" t="str">
        <f t="shared" si="416"/>
        <v>79.1527877025864</v>
      </c>
      <c r="AG472" s="50" t="str">
        <f t="shared" si="417"/>
        <v>1+1061.82191526344i</v>
      </c>
      <c r="AH472" s="50">
        <f t="shared" si="435"/>
        <v>1061.8223861520908</v>
      </c>
      <c r="AI472" s="50">
        <f t="shared" si="436"/>
        <v>1.5698545495627854</v>
      </c>
      <c r="AJ472" s="50" t="str">
        <f t="shared" si="418"/>
        <v>1+0.958589229057276i</v>
      </c>
      <c r="AK472" s="50">
        <f t="shared" si="437"/>
        <v>1.3852412461606183</v>
      </c>
      <c r="AL472" s="50">
        <f t="shared" si="438"/>
        <v>0.76425815031148425</v>
      </c>
      <c r="AM472" s="50" t="str">
        <f t="shared" si="419"/>
        <v>1-4.42267432833872i</v>
      </c>
      <c r="AN472" s="50">
        <f t="shared" si="439"/>
        <v>4.5343189361299174</v>
      </c>
      <c r="AO472" s="50">
        <f t="shared" si="440"/>
        <v>-1.3484279650103796</v>
      </c>
      <c r="AP472" s="59" t="str">
        <f t="shared" si="441"/>
        <v>-0.257859786692172-0.39081987221252i</v>
      </c>
      <c r="AQ472" s="50">
        <f t="shared" si="442"/>
        <v>-6.590963669396511</v>
      </c>
      <c r="AR472" s="62">
        <f t="shared" si="443"/>
        <v>-123.41650504054455</v>
      </c>
      <c r="AS472" s="32" t="str">
        <f t="shared" si="420"/>
        <v>-0.0000166666666666667</v>
      </c>
      <c r="AT472" s="32" t="str">
        <f t="shared" si="421"/>
        <v>0.00740728040635166i</v>
      </c>
      <c r="AU472" s="32">
        <f t="shared" si="444"/>
        <v>7.4072804063516602E-3</v>
      </c>
      <c r="AV472" s="32">
        <f t="shared" si="445"/>
        <v>1.5707963267948966</v>
      </c>
      <c r="AW472" s="32" t="str">
        <f t="shared" si="422"/>
        <v>1+7.52774482818507i</v>
      </c>
      <c r="AX472" s="32">
        <f t="shared" si="446"/>
        <v>7.5938753083170312</v>
      </c>
      <c r="AY472" s="32">
        <f t="shared" si="447"/>
        <v>1.4387276651933347</v>
      </c>
      <c r="AZ472" s="32" t="str">
        <f t="shared" si="423"/>
        <v>1+255.943324158292i</v>
      </c>
      <c r="BA472" s="32">
        <f t="shared" si="448"/>
        <v>255.94527770833463</v>
      </c>
      <c r="BB472" s="32">
        <f t="shared" si="449"/>
        <v>1.5668892316799161</v>
      </c>
      <c r="BC472" s="59" t="str">
        <f t="shared" si="450"/>
        <v>-0.00969263524943757+0.07521372344767i</v>
      </c>
      <c r="BD472" s="50">
        <f t="shared" si="451"/>
        <v>-22.40252752923012</v>
      </c>
      <c r="BE472" s="62">
        <f t="shared" si="452"/>
        <v>97.343116855466405</v>
      </c>
      <c r="BF472" s="59" t="str">
        <f t="shared" si="453"/>
        <v>-0.00437253306518207-0.00384278780150353i</v>
      </c>
      <c r="BG472" s="65">
        <f t="shared" si="454"/>
        <v>-44.699788797418677</v>
      </c>
      <c r="BH472" s="62">
        <f t="shared" si="455"/>
        <v>-138.68947297302256</v>
      </c>
      <c r="BI472" s="59" t="str">
        <f t="shared" si="409"/>
        <v>0.0318943586443512-0.0156065202149524i</v>
      </c>
      <c r="BJ472" s="65">
        <f t="shared" si="456"/>
        <v>-28.993491198626632</v>
      </c>
      <c r="BK472" s="62">
        <f t="shared" si="410"/>
        <v>-26.07338818507807</v>
      </c>
      <c r="BL472" s="50">
        <f t="shared" si="457"/>
        <v>-44.699788797418677</v>
      </c>
      <c r="BM472" s="62">
        <f t="shared" si="458"/>
        <v>-138.68947297302256</v>
      </c>
    </row>
    <row r="473" spans="14:65" x14ac:dyDescent="0.3">
      <c r="N473" s="11">
        <v>55</v>
      </c>
      <c r="O473" s="51">
        <f t="shared" si="408"/>
        <v>354813.38923357555</v>
      </c>
      <c r="P473" s="49" t="str">
        <f t="shared" si="411"/>
        <v>27.9103246607183</v>
      </c>
      <c r="Q473" s="18" t="str">
        <f t="shared" si="412"/>
        <v>1+1095.10919254951i</v>
      </c>
      <c r="R473" s="18">
        <f t="shared" si="424"/>
        <v>1095.1096491248902</v>
      </c>
      <c r="S473" s="18">
        <f t="shared" si="425"/>
        <v>1.5698831760982763</v>
      </c>
      <c r="T473" s="18" t="str">
        <f t="shared" si="413"/>
        <v>1+0.980917640570117i</v>
      </c>
      <c r="U473" s="18">
        <f t="shared" si="426"/>
        <v>1.4007852860383869</v>
      </c>
      <c r="V473" s="18">
        <f t="shared" si="427"/>
        <v>0.77576537058788586</v>
      </c>
      <c r="W473" s="32" t="str">
        <f t="shared" si="414"/>
        <v>1-12.9357825776643i</v>
      </c>
      <c r="X473" s="18">
        <f t="shared" si="428"/>
        <v>12.974377476264642</v>
      </c>
      <c r="Y473" s="18">
        <f t="shared" si="429"/>
        <v>-1.4936448218143372</v>
      </c>
      <c r="Z473" s="32" t="str">
        <f t="shared" si="415"/>
        <v>-1.60108556155819+5.91539951118599i</v>
      </c>
      <c r="AA473" s="18">
        <f t="shared" si="430"/>
        <v>6.1282482286840789</v>
      </c>
      <c r="AB473" s="18">
        <f t="shared" si="431"/>
        <v>1.8351269204309753</v>
      </c>
      <c r="AC473" s="67" t="str">
        <f t="shared" si="432"/>
        <v>-0.0420204667761612+0.0628267412152207i</v>
      </c>
      <c r="AD473" s="65">
        <f t="shared" si="433"/>
        <v>-22.431419304664189</v>
      </c>
      <c r="AE473" s="62">
        <f t="shared" si="434"/>
        <v>123.77582951499753</v>
      </c>
      <c r="AF473" s="50" t="str">
        <f t="shared" si="416"/>
        <v>79.1527877025864</v>
      </c>
      <c r="AG473" s="50" t="str">
        <f t="shared" si="417"/>
        <v>1+1086.5549249392i</v>
      </c>
      <c r="AH473" s="50">
        <f t="shared" si="435"/>
        <v>1086.5553851091211</v>
      </c>
      <c r="AI473" s="50">
        <f t="shared" si="436"/>
        <v>1.5698759870175825</v>
      </c>
      <c r="AJ473" s="50" t="str">
        <f t="shared" si="418"/>
        <v>1+0.980917640570117i</v>
      </c>
      <c r="AK473" s="50">
        <f t="shared" si="437"/>
        <v>1.4007852860383869</v>
      </c>
      <c r="AL473" s="50">
        <f t="shared" si="438"/>
        <v>0.77576537058788586</v>
      </c>
      <c r="AM473" s="50" t="str">
        <f t="shared" si="419"/>
        <v>1-4.52569164732898i</v>
      </c>
      <c r="AN473" s="50">
        <f t="shared" si="439"/>
        <v>4.6348554332042866</v>
      </c>
      <c r="AO473" s="50">
        <f t="shared" si="440"/>
        <v>-1.3533298568645151</v>
      </c>
      <c r="AP473" s="59" t="str">
        <f t="shared" si="441"/>
        <v>-0.257862956690698-0.396478858969948i</v>
      </c>
      <c r="AQ473" s="50">
        <f t="shared" si="442"/>
        <v>-6.5035577962392601</v>
      </c>
      <c r="AR473" s="62">
        <f t="shared" si="443"/>
        <v>-123.03927587533434</v>
      </c>
      <c r="AS473" s="32" t="str">
        <f t="shared" si="420"/>
        <v>-0.0000166666666666667</v>
      </c>
      <c r="AT473" s="32" t="str">
        <f t="shared" si="421"/>
        <v>0.00757981813167818i</v>
      </c>
      <c r="AU473" s="32">
        <f t="shared" si="444"/>
        <v>7.57981813167818E-3</v>
      </c>
      <c r="AV473" s="32">
        <f t="shared" si="445"/>
        <v>1.5707963267948966</v>
      </c>
      <c r="AW473" s="32" t="str">
        <f t="shared" si="422"/>
        <v>1+7.70308853035943i</v>
      </c>
      <c r="AX473" s="32">
        <f t="shared" si="446"/>
        <v>7.7677263666117256</v>
      </c>
      <c r="AY473" s="32">
        <f t="shared" si="447"/>
        <v>1.4417002443721556</v>
      </c>
      <c r="AZ473" s="32" t="str">
        <f t="shared" si="423"/>
        <v>1+261.905010032221i</v>
      </c>
      <c r="BA473" s="32">
        <f t="shared" si="448"/>
        <v>261.90691911436363</v>
      </c>
      <c r="BB473" s="32">
        <f t="shared" si="449"/>
        <v>1.5669781671482959</v>
      </c>
      <c r="BC473" s="59" t="str">
        <f t="shared" si="450"/>
        <v>-0.00926362479882712+0.073557343383656i</v>
      </c>
      <c r="BD473" s="50">
        <f t="shared" si="451"/>
        <v>-22.599139644308082</v>
      </c>
      <c r="BE473" s="62">
        <f t="shared" si="452"/>
        <v>97.177896241238685</v>
      </c>
      <c r="BF473" s="59" t="str">
        <f t="shared" si="453"/>
        <v>-0.00423210633915814-0.00367291726174641i</v>
      </c>
      <c r="BG473" s="65">
        <f t="shared" si="454"/>
        <v>-45.030558948972285</v>
      </c>
      <c r="BH473" s="62">
        <f t="shared" si="455"/>
        <v>-139.04627424376375</v>
      </c>
      <c r="BI473" s="59" t="str">
        <f t="shared" si="409"/>
        <v>0.0315526772539114-0.0152948826610578i</v>
      </c>
      <c r="BJ473" s="65">
        <f t="shared" si="456"/>
        <v>-29.102697440547345</v>
      </c>
      <c r="BK473" s="62">
        <f t="shared" si="410"/>
        <v>-25.86137963409567</v>
      </c>
      <c r="BL473" s="50">
        <f t="shared" si="457"/>
        <v>-45.030558948972285</v>
      </c>
      <c r="BM473" s="62">
        <f t="shared" si="458"/>
        <v>-139.04627424376375</v>
      </c>
    </row>
    <row r="474" spans="14:65" x14ac:dyDescent="0.3">
      <c r="N474" s="11">
        <v>56</v>
      </c>
      <c r="O474" s="51">
        <f t="shared" si="408"/>
        <v>363078.05477010203</v>
      </c>
      <c r="P474" s="49" t="str">
        <f t="shared" si="411"/>
        <v>27.9103246607183</v>
      </c>
      <c r="Q474" s="18" t="str">
        <f t="shared" si="412"/>
        <v>1+1120.61756251815i</v>
      </c>
      <c r="R474" s="18">
        <f t="shared" si="424"/>
        <v>1120.6180087006096</v>
      </c>
      <c r="S474" s="18">
        <f t="shared" si="425"/>
        <v>1.5699039619346542</v>
      </c>
      <c r="T474" s="18" t="str">
        <f t="shared" si="413"/>
        <v>1+1.00376614759998i</v>
      </c>
      <c r="U474" s="18">
        <f t="shared" si="426"/>
        <v>1.4168791335423445</v>
      </c>
      <c r="V474" s="18">
        <f t="shared" si="427"/>
        <v>0.7872776956820281</v>
      </c>
      <c r="W474" s="32" t="str">
        <f t="shared" si="414"/>
        <v>1-13.2370956613913i</v>
      </c>
      <c r="X474" s="18">
        <f t="shared" si="428"/>
        <v>13.274814557982509</v>
      </c>
      <c r="Y474" s="18">
        <f t="shared" si="429"/>
        <v>-1.4953942786018057</v>
      </c>
      <c r="Z474" s="32" t="str">
        <f t="shared" si="415"/>
        <v>-1.7236709474306+6.05318686633765i</v>
      </c>
      <c r="AA474" s="18">
        <f t="shared" si="430"/>
        <v>6.2938154384934828</v>
      </c>
      <c r="AB474" s="18">
        <f t="shared" si="431"/>
        <v>1.8482082206160517</v>
      </c>
      <c r="AC474" s="67" t="str">
        <f t="shared" si="432"/>
        <v>-0.0411727870111211+0.0620063968924371i</v>
      </c>
      <c r="AD474" s="65">
        <f t="shared" si="433"/>
        <v>-22.564908901751629</v>
      </c>
      <c r="AE474" s="62">
        <f t="shared" si="434"/>
        <v>123.58450643306527</v>
      </c>
      <c r="AF474" s="50" t="str">
        <f t="shared" si="416"/>
        <v>79.1527877025864</v>
      </c>
      <c r="AG474" s="50" t="str">
        <f t="shared" si="417"/>
        <v>1+1111.86404041843i</v>
      </c>
      <c r="AH474" s="50">
        <f t="shared" si="435"/>
        <v>1111.8644901136092</v>
      </c>
      <c r="AI474" s="50">
        <f t="shared" si="436"/>
        <v>1.56989693649715</v>
      </c>
      <c r="AJ474" s="50" t="str">
        <f t="shared" si="418"/>
        <v>1+1.00376614759998i</v>
      </c>
      <c r="AK474" s="50">
        <f t="shared" si="437"/>
        <v>1.4168791335423445</v>
      </c>
      <c r="AL474" s="50">
        <f t="shared" si="438"/>
        <v>0.7872776956820281</v>
      </c>
      <c r="AM474" s="50" t="str">
        <f t="shared" si="419"/>
        <v>1-4.63110854793531i</v>
      </c>
      <c r="AN474" s="50">
        <f t="shared" si="439"/>
        <v>4.7378440648420979</v>
      </c>
      <c r="AO474" s="50">
        <f t="shared" si="440"/>
        <v>-1.3581304506214966</v>
      </c>
      <c r="AP474" s="59" t="str">
        <f t="shared" si="441"/>
        <v>-0.257865984016023-0.402348063803737i</v>
      </c>
      <c r="AQ474" s="50">
        <f t="shared" si="442"/>
        <v>-6.4134415599170946</v>
      </c>
      <c r="AR474" s="62">
        <f t="shared" si="443"/>
        <v>-122.65592231325154</v>
      </c>
      <c r="AS474" s="32" t="str">
        <f t="shared" si="420"/>
        <v>-0.0000166666666666667</v>
      </c>
      <c r="AT474" s="32" t="str">
        <f t="shared" si="421"/>
        <v>0.00775637477690889i</v>
      </c>
      <c r="AU474" s="32">
        <f t="shared" si="444"/>
        <v>7.7563747769088904E-3</v>
      </c>
      <c r="AV474" s="32">
        <f t="shared" si="445"/>
        <v>1.5707963267948966</v>
      </c>
      <c r="AW474" s="32" t="str">
        <f t="shared" si="422"/>
        <v>1+7.88251651203509i</v>
      </c>
      <c r="AX474" s="32">
        <f t="shared" si="446"/>
        <v>7.9456948445372495</v>
      </c>
      <c r="AY474" s="32">
        <f t="shared" si="447"/>
        <v>1.4446073779241868</v>
      </c>
      <c r="AZ474" s="32" t="str">
        <f t="shared" si="423"/>
        <v>1+268.005561409193i</v>
      </c>
      <c r="BA474" s="32">
        <f t="shared" si="448"/>
        <v>268.00742703562662</v>
      </c>
      <c r="BB474" s="32">
        <f t="shared" si="449"/>
        <v>1.5670650782566233</v>
      </c>
      <c r="BC474" s="59" t="str">
        <f t="shared" si="450"/>
        <v>-0.00885329691419164+0.0719350292715837i</v>
      </c>
      <c r="BD474" s="50">
        <f t="shared" si="451"/>
        <v>-22.795901765998604</v>
      </c>
      <c r="BE474" s="62">
        <f t="shared" si="452"/>
        <v>97.016309397926406</v>
      </c>
      <c r="BF474" s="59" t="str">
        <f t="shared" si="453"/>
        <v>-0.00409591706728867-0.00351072668110563i</v>
      </c>
      <c r="BG474" s="65">
        <f t="shared" si="454"/>
        <v>-45.360810667750229</v>
      </c>
      <c r="BH474" s="62">
        <f t="shared" si="455"/>
        <v>-139.39918416900832</v>
      </c>
      <c r="BI474" s="59" t="str">
        <f t="shared" si="409"/>
        <v>0.0312258838676509-0.0149874902366337i</v>
      </c>
      <c r="BJ474" s="65">
        <f t="shared" si="456"/>
        <v>-29.209343325915704</v>
      </c>
      <c r="BK474" s="62">
        <f t="shared" si="410"/>
        <v>-25.63961291532507</v>
      </c>
      <c r="BL474" s="50">
        <f t="shared" si="457"/>
        <v>-45.360810667750229</v>
      </c>
      <c r="BM474" s="62">
        <f t="shared" si="458"/>
        <v>-139.39918416900832</v>
      </c>
    </row>
    <row r="475" spans="14:65" x14ac:dyDescent="0.3">
      <c r="N475" s="11">
        <v>57</v>
      </c>
      <c r="O475" s="51">
        <f t="shared" si="408"/>
        <v>371535.2290971732</v>
      </c>
      <c r="P475" s="49" t="str">
        <f t="shared" si="411"/>
        <v>27.9103246607183</v>
      </c>
      <c r="Q475" s="18" t="str">
        <f t="shared" si="412"/>
        <v>1+1146.72009875156i</v>
      </c>
      <c r="R475" s="18">
        <f t="shared" si="424"/>
        <v>1146.7205347776708</v>
      </c>
      <c r="S475" s="18">
        <f t="shared" si="425"/>
        <v>1.5699242746283766</v>
      </c>
      <c r="T475" s="18" t="str">
        <f t="shared" si="413"/>
        <v>1+1.0271468647277i</v>
      </c>
      <c r="U475" s="18">
        <f t="shared" si="426"/>
        <v>1.4335378201219331</v>
      </c>
      <c r="V475" s="18">
        <f t="shared" si="427"/>
        <v>0.79878902449677103</v>
      </c>
      <c r="W475" s="32" t="str">
        <f t="shared" si="414"/>
        <v>1-13.5454272284517i</v>
      </c>
      <c r="X475" s="18">
        <f t="shared" si="428"/>
        <v>13.582289895348307</v>
      </c>
      <c r="Y475" s="18">
        <f t="shared" si="429"/>
        <v>-1.4971043598440326</v>
      </c>
      <c r="Z475" s="32" t="str">
        <f t="shared" si="415"/>
        <v>-1.85203360455142+6.19418370128921i</v>
      </c>
      <c r="AA475" s="18">
        <f t="shared" si="430"/>
        <v>6.4651326512071368</v>
      </c>
      <c r="AB475" s="18">
        <f t="shared" si="431"/>
        <v>1.8613313888060001</v>
      </c>
      <c r="AC475" s="67" t="str">
        <f t="shared" si="432"/>
        <v>-0.0403435193104465+0.0612004024241244i</v>
      </c>
      <c r="AD475" s="65">
        <f t="shared" si="433"/>
        <v>-22.697759812868867</v>
      </c>
      <c r="AE475" s="62">
        <f t="shared" si="434"/>
        <v>123.39301057018814</v>
      </c>
      <c r="AF475" s="50" t="str">
        <f t="shared" si="416"/>
        <v>79.1527877025864</v>
      </c>
      <c r="AG475" s="50" t="str">
        <f t="shared" si="417"/>
        <v>1+1137.76268092915i</v>
      </c>
      <c r="AH475" s="50">
        <f t="shared" si="435"/>
        <v>1137.7631203880214</v>
      </c>
      <c r="AI475" s="50">
        <f t="shared" si="436"/>
        <v>1.5699174091091059</v>
      </c>
      <c r="AJ475" s="50" t="str">
        <f t="shared" si="418"/>
        <v>1+1.0271468647277i</v>
      </c>
      <c r="AK475" s="50">
        <f t="shared" si="437"/>
        <v>1.4335378201219331</v>
      </c>
      <c r="AL475" s="50">
        <f t="shared" si="438"/>
        <v>0.79878902449677103</v>
      </c>
      <c r="AM475" s="50" t="str">
        <f t="shared" si="419"/>
        <v>1-4.7389809235937i</v>
      </c>
      <c r="AN475" s="50">
        <f t="shared" si="439"/>
        <v>4.8433397768673014</v>
      </c>
      <c r="AO475" s="50">
        <f t="shared" si="440"/>
        <v>-1.3628314061489055</v>
      </c>
      <c r="AP475" s="59" t="str">
        <f t="shared" si="441"/>
        <v>-0.257868875089478-0.4084305986615i</v>
      </c>
      <c r="AQ475" s="50">
        <f t="shared" si="442"/>
        <v>-6.3206308973973329</v>
      </c>
      <c r="AR475" s="62">
        <f t="shared" si="443"/>
        <v>-122.26688966123938</v>
      </c>
      <c r="AS475" s="32" t="str">
        <f t="shared" si="420"/>
        <v>-0.0000166666666666667</v>
      </c>
      <c r="AT475" s="32" t="str">
        <f t="shared" si="421"/>
        <v>0.00793704395471406i</v>
      </c>
      <c r="AU475" s="32">
        <f t="shared" si="444"/>
        <v>7.9370439547140608E-3</v>
      </c>
      <c r="AV475" s="32">
        <f t="shared" si="445"/>
        <v>1.5707963267948966</v>
      </c>
      <c r="AW475" s="32" t="str">
        <f t="shared" si="422"/>
        <v>1+8.06612390830284i</v>
      </c>
      <c r="AX475" s="32">
        <f t="shared" si="446"/>
        <v>8.1278751776891038</v>
      </c>
      <c r="AY475" s="32">
        <f t="shared" si="447"/>
        <v>1.4474504105901271</v>
      </c>
      <c r="AZ475" s="32" t="str">
        <f t="shared" si="423"/>
        <v>1+274.248212882296i</v>
      </c>
      <c r="BA475" s="32">
        <f t="shared" si="448"/>
        <v>274.25003604217289</v>
      </c>
      <c r="BB475" s="32">
        <f t="shared" si="449"/>
        <v>1.5671500110810637</v>
      </c>
      <c r="BC475" s="59" t="str">
        <f t="shared" si="450"/>
        <v>-0.00846086454970675+0.0703462400084627i</v>
      </c>
      <c r="BD475" s="50">
        <f t="shared" si="451"/>
        <v>-22.992807357146567</v>
      </c>
      <c r="BE475" s="62">
        <f t="shared" si="452"/>
        <v>96.858281917532722</v>
      </c>
      <c r="BF475" s="59" t="str">
        <f t="shared" si="453"/>
        <v>-0.00396387714519779-0.00335582320749678i</v>
      </c>
      <c r="BG475" s="65">
        <f t="shared" si="454"/>
        <v>-45.690567170015434</v>
      </c>
      <c r="BH475" s="62">
        <f t="shared" si="455"/>
        <v>-139.74870751227914</v>
      </c>
      <c r="BI475" s="59" t="str">
        <f t="shared" si="409"/>
        <v>0.0309133505439593-0.0146844298045261i</v>
      </c>
      <c r="BJ475" s="65">
        <f t="shared" si="456"/>
        <v>-29.313438254543904</v>
      </c>
      <c r="BK475" s="62">
        <f t="shared" si="410"/>
        <v>-25.408607743706614</v>
      </c>
      <c r="BL475" s="50">
        <f t="shared" si="457"/>
        <v>-45.690567170015434</v>
      </c>
      <c r="BM475" s="62">
        <f t="shared" si="458"/>
        <v>-139.74870751227914</v>
      </c>
    </row>
    <row r="476" spans="14:65" x14ac:dyDescent="0.3">
      <c r="N476" s="11">
        <v>58</v>
      </c>
      <c r="O476" s="51">
        <f t="shared" si="408"/>
        <v>380189.39632056188</v>
      </c>
      <c r="P476" s="49" t="str">
        <f t="shared" si="411"/>
        <v>27.9103246607183</v>
      </c>
      <c r="Q476" s="18" t="str">
        <f t="shared" si="412"/>
        <v>1+1173.43064115997i</v>
      </c>
      <c r="R476" s="18">
        <f t="shared" si="424"/>
        <v>1173.4310672609186</v>
      </c>
      <c r="S476" s="18">
        <f t="shared" si="425"/>
        <v>1.5699441249494352</v>
      </c>
      <c r="T476" s="18" t="str">
        <f t="shared" si="413"/>
        <v>1+1.05107218871901i</v>
      </c>
      <c r="U476" s="18">
        <f t="shared" si="426"/>
        <v>1.4507766009619021</v>
      </c>
      <c r="V476" s="18">
        <f t="shared" si="427"/>
        <v>0.81029325857378309</v>
      </c>
      <c r="W476" s="32" t="str">
        <f t="shared" si="414"/>
        <v>1-13.8609407603236i</v>
      </c>
      <c r="X476" s="18">
        <f t="shared" si="428"/>
        <v>13.896966530908831</v>
      </c>
      <c r="Y476" s="18">
        <f t="shared" si="429"/>
        <v>-1.4987759322189391</v>
      </c>
      <c r="Z476" s="32" t="str">
        <f t="shared" si="415"/>
        <v>-1.98644580732631+6.33846477442891i</v>
      </c>
      <c r="AA476" s="18">
        <f t="shared" si="430"/>
        <v>6.6424470372085329</v>
      </c>
      <c r="AB476" s="18">
        <f t="shared" si="431"/>
        <v>1.8744967401082822</v>
      </c>
      <c r="AC476" s="67" t="str">
        <f t="shared" si="432"/>
        <v>-0.0395316312974756+0.0604085380762614i</v>
      </c>
      <c r="AD476" s="65">
        <f t="shared" si="433"/>
        <v>-22.830004804205075</v>
      </c>
      <c r="AE476" s="62">
        <f t="shared" si="434"/>
        <v>123.20092418205222</v>
      </c>
      <c r="AF476" s="50" t="str">
        <f t="shared" si="416"/>
        <v>79.1527877025864</v>
      </c>
      <c r="AG476" s="50" t="str">
        <f t="shared" si="417"/>
        <v>1+1164.26457827336i</v>
      </c>
      <c r="AH476" s="50">
        <f t="shared" si="435"/>
        <v>1164.2650077289297</v>
      </c>
      <c r="AI476" s="50">
        <f t="shared" si="436"/>
        <v>1.5699374157082315</v>
      </c>
      <c r="AJ476" s="50" t="str">
        <f t="shared" si="418"/>
        <v>1+1.05107218871901i</v>
      </c>
      <c r="AK476" s="50">
        <f t="shared" si="437"/>
        <v>1.4507766009619021</v>
      </c>
      <c r="AL476" s="50">
        <f t="shared" si="438"/>
        <v>0.81029325857378309</v>
      </c>
      <c r="AM476" s="50" t="str">
        <f t="shared" si="419"/>
        <v>1-4.84936596966561i</v>
      </c>
      <c r="AN476" s="50">
        <f t="shared" si="439"/>
        <v>4.9513988233377928</v>
      </c>
      <c r="AO476" s="50">
        <f t="shared" si="440"/>
        <v>-1.367434384479346</v>
      </c>
      <c r="AP476" s="59" t="str">
        <f t="shared" si="441"/>
        <v>-0.257871636043391-0.414729688600112i</v>
      </c>
      <c r="AQ476" s="50">
        <f t="shared" si="442"/>
        <v>-6.2251435663547277</v>
      </c>
      <c r="AR476" s="62">
        <f t="shared" si="443"/>
        <v>-121.87262312731261</v>
      </c>
      <c r="AS476" s="32" t="str">
        <f t="shared" si="420"/>
        <v>-0.0000166666666666667</v>
      </c>
      <c r="AT476" s="32" t="str">
        <f t="shared" si="421"/>
        <v>0.00812192145828323i</v>
      </c>
      <c r="AU476" s="32">
        <f t="shared" si="444"/>
        <v>8.1219214582832298E-3</v>
      </c>
      <c r="AV476" s="32">
        <f t="shared" si="445"/>
        <v>1.5707963267948966</v>
      </c>
      <c r="AW476" s="32" t="str">
        <f t="shared" si="422"/>
        <v>1+8.25400807023454i</v>
      </c>
      <c r="AX476" s="32">
        <f t="shared" si="446"/>
        <v>8.314364030008365</v>
      </c>
      <c r="AY476" s="32">
        <f t="shared" si="447"/>
        <v>1.4502306658472437</v>
      </c>
      <c r="AZ476" s="32" t="str">
        <f t="shared" si="423"/>
        <v>1+280.636274387974i</v>
      </c>
      <c r="BA476" s="32">
        <f t="shared" si="448"/>
        <v>280.63805604793208</v>
      </c>
      <c r="BB476" s="32">
        <f t="shared" si="449"/>
        <v>1.5672330106492203</v>
      </c>
      <c r="BC476" s="59" t="str">
        <f t="shared" si="450"/>
        <v>-0.00808557150988297+0.0687904320664371i</v>
      </c>
      <c r="BD476" s="50">
        <f t="shared" si="451"/>
        <v>-23.189850156393938</v>
      </c>
      <c r="BE476" s="62">
        <f t="shared" si="452"/>
        <v>96.703740550287691</v>
      </c>
      <c r="BF476" s="59" t="str">
        <f t="shared" si="453"/>
        <v>-0.00383589360300977-0.00320783555166753i</v>
      </c>
      <c r="BG476" s="65">
        <f t="shared" si="454"/>
        <v>-46.019854960599027</v>
      </c>
      <c r="BH476" s="62">
        <f t="shared" si="455"/>
        <v>-140.09533526766009</v>
      </c>
      <c r="BI476" s="59" t="str">
        <f t="shared" si="409"/>
        <v>0.03061447402318-0.0143857747066562i</v>
      </c>
      <c r="BJ476" s="65">
        <f t="shared" si="456"/>
        <v>-29.414993722748658</v>
      </c>
      <c r="BK476" s="62">
        <f t="shared" si="410"/>
        <v>-25.168882577024931</v>
      </c>
      <c r="BL476" s="50">
        <f t="shared" si="457"/>
        <v>-46.019854960599027</v>
      </c>
      <c r="BM476" s="62">
        <f t="shared" si="458"/>
        <v>-140.09533526766009</v>
      </c>
    </row>
    <row r="477" spans="14:65" x14ac:dyDescent="0.3">
      <c r="N477" s="11">
        <v>59</v>
      </c>
      <c r="O477" s="51">
        <f t="shared" si="408"/>
        <v>389045.14499428123</v>
      </c>
      <c r="P477" s="49" t="str">
        <f t="shared" si="411"/>
        <v>27.9103246607183</v>
      </c>
      <c r="Q477" s="18" t="str">
        <f t="shared" si="412"/>
        <v>1+1200.76335202651i</v>
      </c>
      <c r="R477" s="18">
        <f t="shared" si="424"/>
        <v>1200.7637684282201</v>
      </c>
      <c r="S477" s="18">
        <f t="shared" si="425"/>
        <v>1.5699635234226708</v>
      </c>
      <c r="T477" s="18" t="str">
        <f t="shared" si="413"/>
        <v>1+1.07555480509735i</v>
      </c>
      <c r="U477" s="18">
        <f t="shared" si="426"/>
        <v>1.4686109555522178</v>
      </c>
      <c r="V477" s="18">
        <f t="shared" si="427"/>
        <v>0.82178431823023634</v>
      </c>
      <c r="W477" s="32" t="str">
        <f t="shared" si="414"/>
        <v>1-14.1838035464578i</v>
      </c>
      <c r="X477" s="18">
        <f t="shared" si="428"/>
        <v>14.21901132443845</v>
      </c>
      <c r="Y477" s="18">
        <f t="shared" si="429"/>
        <v>-1.5004098446303324</v>
      </c>
      <c r="Z477" s="32" t="str">
        <f t="shared" si="415"/>
        <v>-2.12719266205829+6.48610658549152i</v>
      </c>
      <c r="AA477" s="18">
        <f t="shared" si="430"/>
        <v>6.8260184045951044</v>
      </c>
      <c r="AB477" s="18">
        <f t="shared" si="431"/>
        <v>1.8877043840466423</v>
      </c>
      <c r="AC477" s="67" t="str">
        <f t="shared" si="432"/>
        <v>-0.0387361381537483+0.0596305492984689i</v>
      </c>
      <c r="AD477" s="65">
        <f t="shared" si="433"/>
        <v>-22.961679558919723</v>
      </c>
      <c r="AE477" s="62">
        <f t="shared" si="434"/>
        <v>123.00784341160818</v>
      </c>
      <c r="AF477" s="50" t="str">
        <f t="shared" si="416"/>
        <v>79.1527877025864</v>
      </c>
      <c r="AG477" s="50" t="str">
        <f t="shared" si="417"/>
        <v>1+1191.38378410784i</v>
      </c>
      <c r="AH477" s="50">
        <f t="shared" si="435"/>
        <v>1191.384203787811</v>
      </c>
      <c r="AI477" s="50">
        <f t="shared" si="436"/>
        <v>1.569956966902226</v>
      </c>
      <c r="AJ477" s="50" t="str">
        <f t="shared" si="418"/>
        <v>1+1.07555480509735i</v>
      </c>
      <c r="AK477" s="50">
        <f t="shared" si="437"/>
        <v>1.4686109555522178</v>
      </c>
      <c r="AL477" s="50">
        <f t="shared" si="438"/>
        <v>0.82178431823023634</v>
      </c>
      <c r="AM477" s="50" t="str">
        <f t="shared" si="419"/>
        <v>1-4.96232221376358i</v>
      </c>
      <c r="AN477" s="50">
        <f t="shared" si="439"/>
        <v>5.0620787976098782</v>
      </c>
      <c r="AO477" s="50">
        <f t="shared" si="440"/>
        <v>-1.3719410456058536</v>
      </c>
      <c r="AP477" s="59" t="str">
        <f t="shared" si="441"/>
        <v>-0.257874272734087-0.421248673495689i</v>
      </c>
      <c r="AQ477" s="50">
        <f t="shared" si="442"/>
        <v>-6.1269991554139445</v>
      </c>
      <c r="AR477" s="62">
        <f t="shared" si="443"/>
        <v>-121.4735667700097</v>
      </c>
      <c r="AS477" s="32" t="str">
        <f t="shared" si="420"/>
        <v>-0.0000166666666666667</v>
      </c>
      <c r="AT477" s="32" t="str">
        <f t="shared" si="421"/>
        <v>0.00831110531211591i</v>
      </c>
      <c r="AU477" s="32">
        <f t="shared" si="444"/>
        <v>8.3111053121159104E-3</v>
      </c>
      <c r="AV477" s="32">
        <f t="shared" si="445"/>
        <v>1.5707963267948966</v>
      </c>
      <c r="AW477" s="32" t="str">
        <f t="shared" si="422"/>
        <v>1+8.4462686164998i</v>
      </c>
      <c r="AX477" s="32">
        <f t="shared" si="446"/>
        <v>8.5052603453433129</v>
      </c>
      <c r="AY477" s="32">
        <f t="shared" si="447"/>
        <v>1.4529494458045875</v>
      </c>
      <c r="AZ477" s="32" t="str">
        <f t="shared" si="423"/>
        <v>1+287.173132960993i</v>
      </c>
      <c r="BA477" s="32">
        <f t="shared" si="448"/>
        <v>287.17487406566778</v>
      </c>
      <c r="BB477" s="32">
        <f t="shared" si="449"/>
        <v>1.5673141209639863</v>
      </c>
      <c r="BC477" s="59" t="str">
        <f t="shared" si="450"/>
        <v>-0.00772669144304697+0.0672670604375803i</v>
      </c>
      <c r="BD477" s="50">
        <f t="shared" si="451"/>
        <v>-23.387024167333447</v>
      </c>
      <c r="BE477" s="62">
        <f t="shared" si="452"/>
        <v>96.552613212018201</v>
      </c>
      <c r="BF477" s="59" t="str">
        <f t="shared" si="453"/>
        <v>-0.00371186957637697-0.00306641300131532i</v>
      </c>
      <c r="BG477" s="65">
        <f t="shared" si="454"/>
        <v>-46.348703726253163</v>
      </c>
      <c r="BH477" s="62">
        <f t="shared" si="455"/>
        <v>-140.43954337637362</v>
      </c>
      <c r="BI477" s="59" t="str">
        <f t="shared" si="409"/>
        <v>0.0303286749158015-0.0140915857684069i</v>
      </c>
      <c r="BJ477" s="65">
        <f t="shared" si="456"/>
        <v>-29.514023322747384</v>
      </c>
      <c r="BK477" s="62">
        <f t="shared" si="410"/>
        <v>-24.920953557991535</v>
      </c>
      <c r="BL477" s="50">
        <f t="shared" si="457"/>
        <v>-46.348703726253163</v>
      </c>
      <c r="BM477" s="62">
        <f t="shared" si="458"/>
        <v>-140.43954337637362</v>
      </c>
    </row>
    <row r="478" spans="14:65" x14ac:dyDescent="0.3">
      <c r="N478" s="11">
        <v>60</v>
      </c>
      <c r="O478" s="51">
        <f t="shared" si="408"/>
        <v>398107.17055349716</v>
      </c>
      <c r="P478" s="49" t="str">
        <f t="shared" si="411"/>
        <v>27.9103246607183</v>
      </c>
      <c r="Q478" s="18" t="str">
        <f t="shared" si="412"/>
        <v>1+1228.73272351627i</v>
      </c>
      <c r="R478" s="18">
        <f t="shared" si="424"/>
        <v>1228.7331304395232</v>
      </c>
      <c r="S478" s="18">
        <f t="shared" si="425"/>
        <v>1.569982480333352</v>
      </c>
      <c r="T478" s="18" t="str">
        <f t="shared" si="413"/>
        <v>1+1.10060769487001i</v>
      </c>
      <c r="U478" s="18">
        <f t="shared" si="426"/>
        <v>1.4870565887036973</v>
      </c>
      <c r="V478" s="18">
        <f t="shared" si="427"/>
        <v>0.83325615857455204</v>
      </c>
      <c r="W478" s="32" t="str">
        <f t="shared" si="414"/>
        <v>1-14.5141867729771i</v>
      </c>
      <c r="X478" s="18">
        <f t="shared" si="428"/>
        <v>14.548595041476114</v>
      </c>
      <c r="Y478" s="18">
        <f t="shared" si="429"/>
        <v>-1.5020069284845661</v>
      </c>
      <c r="Z478" s="32" t="str">
        <f t="shared" si="415"/>
        <v>-2.27457271169651+6.63718741611951i</v>
      </c>
      <c r="AA478" s="18">
        <f t="shared" si="430"/>
        <v>7.0161198548406798</v>
      </c>
      <c r="AB478" s="18">
        <f t="shared" si="431"/>
        <v>1.9009542186757267</v>
      </c>
      <c r="AC478" s="67" t="str">
        <f t="shared" si="432"/>
        <v>-0.0379561028381264+0.0588661494183886i</v>
      </c>
      <c r="AD478" s="65">
        <f t="shared" si="433"/>
        <v>-23.092822566355011</v>
      </c>
      <c r="AE478" s="62">
        <f t="shared" si="434"/>
        <v>122.8133795277419</v>
      </c>
      <c r="AF478" s="50" t="str">
        <f t="shared" si="416"/>
        <v>79.1527877025864</v>
      </c>
      <c r="AG478" s="50" t="str">
        <f t="shared" si="417"/>
        <v>1+1219.13467739447i</v>
      </c>
      <c r="AH478" s="50">
        <f t="shared" si="435"/>
        <v>1219.1350875213616</v>
      </c>
      <c r="AI478" s="50">
        <f t="shared" si="436"/>
        <v>1.5699760730573316</v>
      </c>
      <c r="AJ478" s="50" t="str">
        <f t="shared" si="418"/>
        <v>1+1.10060769487001i</v>
      </c>
      <c r="AK478" s="50">
        <f t="shared" si="437"/>
        <v>1.4870565887036973</v>
      </c>
      <c r="AL478" s="50">
        <f t="shared" si="438"/>
        <v>0.83325615857455204</v>
      </c>
      <c r="AM478" s="50" t="str">
        <f t="shared" si="419"/>
        <v>1-5.07790954678338i</v>
      </c>
      <c r="AN478" s="50">
        <f t="shared" si="439"/>
        <v>5.1754386640471157</v>
      </c>
      <c r="AO478" s="50">
        <f t="shared" si="440"/>
        <v>-1.3763530464314544</v>
      </c>
      <c r="AP478" s="59" t="str">
        <f t="shared" si="441"/>
        <v>-0.257876790754319-0.427991009814578i</v>
      </c>
      <c r="AQ478" s="50">
        <f t="shared" si="442"/>
        <v>-6.0262190841627126</v>
      </c>
      <c r="AR478" s="62">
        <f t="shared" si="443"/>
        <v>-121.07016246359798</v>
      </c>
      <c r="AS478" s="32" t="str">
        <f t="shared" si="420"/>
        <v>-0.0000166666666666667</v>
      </c>
      <c r="AT478" s="32" t="str">
        <f t="shared" si="421"/>
        <v>0.00850469582399554i</v>
      </c>
      <c r="AU478" s="32">
        <f t="shared" si="444"/>
        <v>8.5046958239955398E-3</v>
      </c>
      <c r="AV478" s="32">
        <f t="shared" si="445"/>
        <v>1.5707963267948966</v>
      </c>
      <c r="AW478" s="32" t="str">
        <f t="shared" si="422"/>
        <v>1+8.64300748618508i</v>
      </c>
      <c r="AX478" s="32">
        <f t="shared" si="446"/>
        <v>8.7006654002007995</v>
      </c>
      <c r="AY478" s="32">
        <f t="shared" si="447"/>
        <v>1.4556080311362134</v>
      </c>
      <c r="AZ478" s="32" t="str">
        <f t="shared" si="423"/>
        <v>1+293.862254530293i</v>
      </c>
      <c r="BA478" s="32">
        <f t="shared" si="448"/>
        <v>293.86395600281895</v>
      </c>
      <c r="BB478" s="32">
        <f t="shared" si="449"/>
        <v>1.5673933850268524</v>
      </c>
      <c r="BC478" s="59" t="str">
        <f t="shared" si="450"/>
        <v>-0.0073835268490524+0.0657755795075741i</v>
      </c>
      <c r="BD478" s="50">
        <f t="shared" si="451"/>
        <v>-23.584323648019762</v>
      </c>
      <c r="BE478" s="62">
        <f t="shared" si="452"/>
        <v>96.404828989309934</v>
      </c>
      <c r="BF478" s="59" t="str">
        <f t="shared" si="453"/>
        <v>-0.00359170518698326-0.00293122445475784i</v>
      </c>
      <c r="BG478" s="65">
        <f t="shared" si="454"/>
        <v>-46.677146214374766</v>
      </c>
      <c r="BH478" s="62">
        <f t="shared" si="455"/>
        <v>-140.78179148294822</v>
      </c>
      <c r="BI478" s="59" t="str">
        <f t="shared" si="409"/>
        <v>0.0300553969028677-0.0138019122412998i</v>
      </c>
      <c r="BJ478" s="65">
        <f t="shared" si="456"/>
        <v>-29.61054273218247</v>
      </c>
      <c r="BK478" s="62">
        <f t="shared" si="410"/>
        <v>-24.665333474288076</v>
      </c>
      <c r="BL478" s="50">
        <f t="shared" si="457"/>
        <v>-46.677146214374766</v>
      </c>
      <c r="BM478" s="62">
        <f t="shared" si="458"/>
        <v>-140.78179148294822</v>
      </c>
    </row>
    <row r="479" spans="14:65" x14ac:dyDescent="0.3">
      <c r="N479" s="11">
        <v>61</v>
      </c>
      <c r="O479" s="51">
        <f t="shared" si="408"/>
        <v>407380.27780411334</v>
      </c>
      <c r="P479" s="49" t="str">
        <f t="shared" si="411"/>
        <v>27.9103246607183</v>
      </c>
      <c r="Q479" s="18" t="str">
        <f t="shared" si="412"/>
        <v>1+1257.35358536025i</v>
      </c>
      <c r="R479" s="18">
        <f t="shared" si="424"/>
        <v>1257.3539830208022</v>
      </c>
      <c r="S479" s="18">
        <f t="shared" si="425"/>
        <v>1.570001005732629</v>
      </c>
      <c r="T479" s="18" t="str">
        <f t="shared" si="413"/>
        <v>1+1.12624414141076i</v>
      </c>
      <c r="U479" s="18">
        <f t="shared" si="426"/>
        <v>1.5061294320416356</v>
      </c>
      <c r="V479" s="18">
        <f t="shared" si="427"/>
        <v>0.84470278529842435</v>
      </c>
      <c r="W479" s="32" t="str">
        <f t="shared" si="414"/>
        <v>1-14.8522656134415i</v>
      </c>
      <c r="X479" s="18">
        <f t="shared" si="428"/>
        <v>14.885892443928809</v>
      </c>
      <c r="Y479" s="18">
        <f t="shared" si="429"/>
        <v>-1.5035679979691752</v>
      </c>
      <c r="Z479" s="32" t="str">
        <f t="shared" si="415"/>
        <v>-2.42889856908587+6.7917873713691i</v>
      </c>
      <c r="AA479" s="18">
        <f t="shared" si="430"/>
        <v>7.2130384691055252</v>
      </c>
      <c r="AB479" s="18">
        <f t="shared" si="431"/>
        <v>1.9142459252739752</v>
      </c>
      <c r="AC479" s="67" t="str">
        <f t="shared" si="432"/>
        <v>-0.0371906362359812+0.0581150223123332i</v>
      </c>
      <c r="AD479" s="65">
        <f t="shared" si="433"/>
        <v>-23.223474996584315</v>
      </c>
      <c r="AE479" s="62">
        <f t="shared" si="434"/>
        <v>122.61716011788843</v>
      </c>
      <c r="AF479" s="50" t="str">
        <f t="shared" si="416"/>
        <v>79.1527877025864</v>
      </c>
      <c r="AG479" s="50" t="str">
        <f t="shared" si="417"/>
        <v>1+1247.53197202422i</v>
      </c>
      <c r="AH479" s="50">
        <f t="shared" si="435"/>
        <v>1247.532372815487</v>
      </c>
      <c r="AI479" s="50">
        <f t="shared" si="436"/>
        <v>1.5699947443038289</v>
      </c>
      <c r="AJ479" s="50" t="str">
        <f t="shared" si="418"/>
        <v>1+1.12624414141076i</v>
      </c>
      <c r="AK479" s="50">
        <f t="shared" si="437"/>
        <v>1.5061294320416356</v>
      </c>
      <c r="AL479" s="50">
        <f t="shared" si="438"/>
        <v>0.84470278529842435</v>
      </c>
      <c r="AM479" s="50" t="str">
        <f t="shared" si="419"/>
        <v>1-5.19618925465898i</v>
      </c>
      <c r="AN479" s="50">
        <f t="shared" si="439"/>
        <v>5.2915387903929645</v>
      </c>
      <c r="AO479" s="50">
        <f t="shared" si="440"/>
        <v>-1.3806720388663083</v>
      </c>
      <c r="AP479" s="59" t="str">
        <f t="shared" si="441"/>
        <v>-0.257879195445119-0.434960272446034i</v>
      </c>
      <c r="AQ479" s="50">
        <f t="shared" si="442"/>
        <v>-5.9228265930358077</v>
      </c>
      <c r="AR479" s="62">
        <f t="shared" si="443"/>
        <v>-120.66284888454695</v>
      </c>
      <c r="AS479" s="32" t="str">
        <f t="shared" si="420"/>
        <v>-0.0000166666666666667</v>
      </c>
      <c r="AT479" s="32" t="str">
        <f t="shared" si="421"/>
        <v>0.00870279563817405i</v>
      </c>
      <c r="AU479" s="32">
        <f t="shared" si="444"/>
        <v>8.7027956381740493E-3</v>
      </c>
      <c r="AV479" s="32">
        <f t="shared" si="445"/>
        <v>1.5707963267948966</v>
      </c>
      <c r="AW479" s="32" t="str">
        <f t="shared" si="422"/>
        <v>1+8.8443289928433i</v>
      </c>
      <c r="AX479" s="32">
        <f t="shared" si="446"/>
        <v>8.9006828577165127</v>
      </c>
      <c r="AY479" s="32">
        <f t="shared" si="447"/>
        <v>1.4582076810495439</v>
      </c>
      <c r="AZ479" s="32" t="str">
        <f t="shared" si="423"/>
        <v>1+300.707185756672i</v>
      </c>
      <c r="BA479" s="32">
        <f t="shared" si="448"/>
        <v>300.70884849917144</v>
      </c>
      <c r="BB479" s="32">
        <f t="shared" si="449"/>
        <v>1.5674708448606878</v>
      </c>
      <c r="BC479" s="59" t="str">
        <f t="shared" si="450"/>
        <v>-0.00705540810300065+0.0643154438622151i</v>
      </c>
      <c r="BD479" s="50">
        <f t="shared" si="451"/>
        <v>-23.781743100832298</v>
      </c>
      <c r="BE479" s="62">
        <f t="shared" si="452"/>
        <v>96.260318142625096</v>
      </c>
      <c r="BF479" s="59" t="str">
        <f t="shared" si="453"/>
        <v>-0.00347529833882515-0.00280195747636381i</v>
      </c>
      <c r="BG479" s="65">
        <f t="shared" si="454"/>
        <v>-47.005218097416623</v>
      </c>
      <c r="BH479" s="62">
        <f t="shared" si="455"/>
        <v>-141.12252173948647</v>
      </c>
      <c r="BI479" s="59" t="str">
        <f t="shared" si="409"/>
        <v>0.0297941059499355-0.0135167926871846i</v>
      </c>
      <c r="BJ479" s="65">
        <f t="shared" si="456"/>
        <v>-29.704569693868098</v>
      </c>
      <c r="BK479" s="62">
        <f t="shared" si="410"/>
        <v>-24.402530741921783</v>
      </c>
      <c r="BL479" s="50">
        <f t="shared" si="457"/>
        <v>-47.005218097416623</v>
      </c>
      <c r="BM479" s="62">
        <f t="shared" si="458"/>
        <v>-141.12252173948647</v>
      </c>
    </row>
    <row r="480" spans="14:65" x14ac:dyDescent="0.3">
      <c r="N480" s="11">
        <v>62</v>
      </c>
      <c r="O480" s="51">
        <f t="shared" si="408"/>
        <v>416869.38347033598</v>
      </c>
      <c r="P480" s="49" t="str">
        <f t="shared" si="411"/>
        <v>27.9103246607183</v>
      </c>
      <c r="Q480" s="18" t="str">
        <f t="shared" si="412"/>
        <v>1+1286.64111271822i</v>
      </c>
      <c r="R480" s="18">
        <f t="shared" si="424"/>
        <v>1286.6415013269157</v>
      </c>
      <c r="S480" s="18">
        <f t="shared" si="425"/>
        <v>1.570019109442863</v>
      </c>
      <c r="T480" s="18" t="str">
        <f t="shared" si="413"/>
        <v>1+1.15247773750289i</v>
      </c>
      <c r="U480" s="18">
        <f t="shared" si="426"/>
        <v>1.5258456460074132</v>
      </c>
      <c r="V480" s="18">
        <f t="shared" si="427"/>
        <v>0.85611827014534503</v>
      </c>
      <c r="W480" s="32" t="str">
        <f t="shared" si="414"/>
        <v>1-15.1982193217272i</v>
      </c>
      <c r="X480" s="18">
        <f t="shared" si="428"/>
        <v>15.231082382789543</v>
      </c>
      <c r="Y480" s="18">
        <f t="shared" si="429"/>
        <v>-1.5050938503329152</v>
      </c>
      <c r="Z480" s="32" t="str">
        <f t="shared" si="415"/>
        <v>-2.59049758006071+6.94998842218294i</v>
      </c>
      <c r="AA480" s="18">
        <f t="shared" si="430"/>
        <v>7.4170760263581847</v>
      </c>
      <c r="AB480" s="18">
        <f t="shared" si="431"/>
        <v>1.9275789636646943</v>
      </c>
      <c r="AC480" s="67" t="str">
        <f t="shared" si="432"/>
        <v>-0.0364388972365118+0.0573768250559139i</v>
      </c>
      <c r="AD480" s="65">
        <f t="shared" si="433"/>
        <v>-23.353680560751002</v>
      </c>
      <c r="AE480" s="62">
        <f t="shared" si="434"/>
        <v>122.41883022604611</v>
      </c>
      <c r="AF480" s="50" t="str">
        <f t="shared" si="416"/>
        <v>79.1527877025864</v>
      </c>
      <c r="AG480" s="50" t="str">
        <f t="shared" si="417"/>
        <v>1+1276.59072461858i</v>
      </c>
      <c r="AH480" s="50">
        <f t="shared" si="435"/>
        <v>1276.5911162867269</v>
      </c>
      <c r="AI480" s="50">
        <f t="shared" si="436"/>
        <v>1.5700129905414077</v>
      </c>
      <c r="AJ480" s="50" t="str">
        <f t="shared" si="418"/>
        <v>1+1.15247773750289i</v>
      </c>
      <c r="AK480" s="50">
        <f t="shared" si="437"/>
        <v>1.5258456460074132</v>
      </c>
      <c r="AL480" s="50">
        <f t="shared" si="438"/>
        <v>0.85611827014534503</v>
      </c>
      <c r="AM480" s="50" t="str">
        <f t="shared" si="419"/>
        <v>1-5.31722405085709i</v>
      </c>
      <c r="AN480" s="50">
        <f t="shared" si="439"/>
        <v>5.4104409808270777</v>
      </c>
      <c r="AO480" s="50">
        <f t="shared" si="440"/>
        <v>-1.3848996680658934</v>
      </c>
      <c r="AP480" s="59" t="str">
        <f t="shared" si="441"/>
        <v>-0.25788149190714-0.442160156597763i</v>
      </c>
      <c r="AQ480" s="50">
        <f t="shared" si="442"/>
        <v>-5.8168467232574788</v>
      </c>
      <c r="AR480" s="62">
        <f t="shared" si="443"/>
        <v>-120.25206052461067</v>
      </c>
      <c r="AS480" s="32" t="str">
        <f t="shared" si="420"/>
        <v>-0.0000166666666666667</v>
      </c>
      <c r="AT480" s="32" t="str">
        <f t="shared" si="421"/>
        <v>0.00890550978979501i</v>
      </c>
      <c r="AU480" s="32">
        <f t="shared" si="444"/>
        <v>8.9055097897950096E-3</v>
      </c>
      <c r="AV480" s="32">
        <f t="shared" si="445"/>
        <v>1.5707963267948966</v>
      </c>
      <c r="AW480" s="32" t="str">
        <f t="shared" si="422"/>
        <v>1+9.05033987980207i</v>
      </c>
      <c r="AX480" s="32">
        <f t="shared" si="446"/>
        <v>9.1054188228733199</v>
      </c>
      <c r="AY480" s="32">
        <f t="shared" si="447"/>
        <v>1.4607496332861707</v>
      </c>
      <c r="AZ480" s="32" t="str">
        <f t="shared" si="423"/>
        <v>1+307.71155591327i</v>
      </c>
      <c r="BA480" s="32">
        <f t="shared" si="448"/>
        <v>307.71318080733153</v>
      </c>
      <c r="BB480" s="32">
        <f t="shared" si="449"/>
        <v>1.5675465415320016</v>
      </c>
      <c r="BC480" s="59" t="str">
        <f t="shared" si="450"/>
        <v>-0.00674169249649768+0.0628861090305403i</v>
      </c>
      <c r="BD480" s="50">
        <f t="shared" si="451"/>
        <v>-23.979277262683382</v>
      </c>
      <c r="BE480" s="62">
        <f t="shared" si="452"/>
        <v>96.119012107532015</v>
      </c>
      <c r="BF480" s="59" t="str">
        <f t="shared" si="453"/>
        <v>-0.0033625454362124-0.00267831737552025i</v>
      </c>
      <c r="BG480" s="65">
        <f t="shared" si="454"/>
        <v>-47.33295782343437</v>
      </c>
      <c r="BH480" s="62">
        <f t="shared" si="455"/>
        <v>-141.46215766642189</v>
      </c>
      <c r="BI480" s="59" t="str">
        <f t="shared" si="409"/>
        <v>0.0295442895357437-0.0132362558070454i</v>
      </c>
      <c r="BJ480" s="65">
        <f t="shared" si="456"/>
        <v>-29.796123985940856</v>
      </c>
      <c r="BK480" s="62">
        <f t="shared" si="410"/>
        <v>-24.133048417078594</v>
      </c>
      <c r="BL480" s="50">
        <f t="shared" si="457"/>
        <v>-47.33295782343437</v>
      </c>
      <c r="BM480" s="62">
        <f t="shared" si="458"/>
        <v>-141.46215766642189</v>
      </c>
    </row>
    <row r="481" spans="14:65" x14ac:dyDescent="0.3">
      <c r="N481" s="11">
        <v>63</v>
      </c>
      <c r="O481" s="51">
        <f t="shared" si="408"/>
        <v>426579.51880159322</v>
      </c>
      <c r="P481" s="49" t="str">
        <f t="shared" si="411"/>
        <v>27.9103246607183</v>
      </c>
      <c r="Q481" s="18" t="str">
        <f t="shared" si="412"/>
        <v>1+1316.61083422487i</v>
      </c>
      <c r="R481" s="18">
        <f t="shared" si="424"/>
        <v>1316.6112139877541</v>
      </c>
      <c r="S481" s="18">
        <f t="shared" si="425"/>
        <v>1.5700368010628336</v>
      </c>
      <c r="T481" s="18" t="str">
        <f t="shared" si="413"/>
        <v>1+1.17932239254628i</v>
      </c>
      <c r="U481" s="18">
        <f t="shared" si="426"/>
        <v>1.5462216223947596</v>
      </c>
      <c r="V481" s="18">
        <f t="shared" si="427"/>
        <v>0.86749676595950076</v>
      </c>
      <c r="W481" s="32" t="str">
        <f t="shared" si="414"/>
        <v>1-15.5522313270693i</v>
      </c>
      <c r="X481" s="18">
        <f t="shared" si="428"/>
        <v>15.584347893019965</v>
      </c>
      <c r="Y481" s="18">
        <f t="shared" si="429"/>
        <v>-1.5065852661666823</v>
      </c>
      <c r="Z481" s="32" t="str">
        <f t="shared" si="415"/>
        <v>-2.75971251778924+7.11187444885217i</v>
      </c>
      <c r="AA481" s="18">
        <f t="shared" si="430"/>
        <v>7.6285497545129095</v>
      </c>
      <c r="AB481" s="18">
        <f t="shared" si="431"/>
        <v>1.9409525682152371</v>
      </c>
      <c r="AC481" s="67" t="str">
        <f t="shared" si="432"/>
        <v>-0.0357000927353579+0.0566511905575793i</v>
      </c>
      <c r="AD481" s="65">
        <f t="shared" si="433"/>
        <v>-23.483485357787146</v>
      </c>
      <c r="AE481" s="62">
        <f t="shared" si="434"/>
        <v>122.21805342785055</v>
      </c>
      <c r="AF481" s="50" t="str">
        <f t="shared" si="416"/>
        <v>79.1527877025864</v>
      </c>
      <c r="AG481" s="50" t="str">
        <f t="shared" si="417"/>
        <v>1+1306.3263425128i</v>
      </c>
      <c r="AH481" s="50">
        <f t="shared" si="435"/>
        <v>1306.3267252654939</v>
      </c>
      <c r="AI481" s="50">
        <f t="shared" si="436"/>
        <v>1.5700308214444161</v>
      </c>
      <c r="AJ481" s="50" t="str">
        <f t="shared" si="418"/>
        <v>1+1.17932239254628i</v>
      </c>
      <c r="AK481" s="50">
        <f t="shared" si="437"/>
        <v>1.5462216223947596</v>
      </c>
      <c r="AL481" s="50">
        <f t="shared" si="438"/>
        <v>0.86749676595950076</v>
      </c>
      <c r="AM481" s="50" t="str">
        <f t="shared" si="419"/>
        <v>1-5.44107810962875i</v>
      </c>
      <c r="AN481" s="50">
        <f t="shared" si="439"/>
        <v>5.5322085097256748</v>
      </c>
      <c r="AO481" s="50">
        <f t="shared" si="440"/>
        <v>-1.3890375708037466</v>
      </c>
      <c r="AP481" s="59" t="str">
        <f t="shared" si="441"/>
        <v>-0.257883685011471-0.449594479755231i</v>
      </c>
      <c r="AQ481" s="50">
        <f t="shared" si="442"/>
        <v>-5.708306287126538</v>
      </c>
      <c r="AR481" s="62">
        <f t="shared" si="443"/>
        <v>-119.83822673565425</v>
      </c>
      <c r="AS481" s="32" t="str">
        <f t="shared" si="420"/>
        <v>-0.0000166666666666667</v>
      </c>
      <c r="AT481" s="32" t="str">
        <f t="shared" si="421"/>
        <v>0.00911294576058489i</v>
      </c>
      <c r="AU481" s="32">
        <f t="shared" si="444"/>
        <v>9.1129457605848892E-3</v>
      </c>
      <c r="AV481" s="32">
        <f t="shared" si="445"/>
        <v>1.5707963267948966</v>
      </c>
      <c r="AW481" s="32" t="str">
        <f t="shared" si="422"/>
        <v>1+9.26114937676049i</v>
      </c>
      <c r="AX481" s="32">
        <f t="shared" si="446"/>
        <v>9.3149818989985818</v>
      </c>
      <c r="AY481" s="32">
        <f t="shared" si="447"/>
        <v>1.4632351041525498</v>
      </c>
      <c r="AZ481" s="32" t="str">
        <f t="shared" si="423"/>
        <v>1+314.879078809857i</v>
      </c>
      <c r="BA481" s="32">
        <f t="shared" si="448"/>
        <v>314.88066671700267</v>
      </c>
      <c r="BB481" s="32">
        <f t="shared" si="449"/>
        <v>1.567620515172699</v>
      </c>
      <c r="BC481" s="59" t="str">
        <f t="shared" si="450"/>
        <v>-0.00644176329773813+0.0614870321682068i</v>
      </c>
      <c r="BD481" s="50">
        <f t="shared" si="451"/>
        <v>-24.176921095566382</v>
      </c>
      <c r="BE481" s="62">
        <f t="shared" si="452"/>
        <v>95.980843494192939</v>
      </c>
      <c r="BF481" s="59" t="str">
        <f t="shared" si="453"/>
        <v>-0.00325334202907262-0.0025600263105339i</v>
      </c>
      <c r="BG481" s="65">
        <f t="shared" si="454"/>
        <v>-47.660406453353517</v>
      </c>
      <c r="BH481" s="62">
        <f t="shared" si="455"/>
        <v>-141.80110307795653</v>
      </c>
      <c r="BI481" s="59" t="str">
        <f t="shared" si="409"/>
        <v>0.0293054558965504-0.0129603212174031i</v>
      </c>
      <c r="BJ481" s="65">
        <f t="shared" si="456"/>
        <v>-29.885227382692932</v>
      </c>
      <c r="BK481" s="62">
        <f t="shared" si="410"/>
        <v>-23.85738324146131</v>
      </c>
      <c r="BL481" s="50">
        <f t="shared" si="457"/>
        <v>-47.660406453353517</v>
      </c>
      <c r="BM481" s="62">
        <f t="shared" si="458"/>
        <v>-141.80110307795653</v>
      </c>
    </row>
    <row r="482" spans="14:65" x14ac:dyDescent="0.3">
      <c r="N482" s="11">
        <v>64</v>
      </c>
      <c r="O482" s="51">
        <f t="shared" si="408"/>
        <v>436515.83224016649</v>
      </c>
      <c r="P482" s="49" t="str">
        <f t="shared" si="411"/>
        <v>27.9103246607183</v>
      </c>
      <c r="Q482" s="18" t="str">
        <f t="shared" si="412"/>
        <v>1+1347.27864022322i</v>
      </c>
      <c r="R482" s="18">
        <f t="shared" si="424"/>
        <v>1347.2790113416481</v>
      </c>
      <c r="S482" s="18">
        <f t="shared" si="425"/>
        <v>1.570054089972827</v>
      </c>
      <c r="T482" s="18" t="str">
        <f t="shared" si="413"/>
        <v>1+1.20679233993238i</v>
      </c>
      <c r="U482" s="18">
        <f t="shared" si="426"/>
        <v>1.5672739874442725</v>
      </c>
      <c r="V482" s="18">
        <f t="shared" si="427"/>
        <v>0.8788325212239263</v>
      </c>
      <c r="W482" s="32" t="str">
        <f t="shared" si="414"/>
        <v>1-15.9144893313192i</v>
      </c>
      <c r="X482" s="18">
        <f t="shared" si="428"/>
        <v>15.945876290648711</v>
      </c>
      <c r="Y482" s="18">
        <f t="shared" si="429"/>
        <v>-1.5080430096848401</v>
      </c>
      <c r="Z482" s="32" t="str">
        <f t="shared" si="415"/>
        <v>-2.93690230984142+7.27753128549097i</v>
      </c>
      <c r="AA482" s="18">
        <f t="shared" si="430"/>
        <v>7.8477931158289165</v>
      </c>
      <c r="AB482" s="18">
        <f t="shared" si="431"/>
        <v>1.9543657445636411</v>
      </c>
      <c r="AC482" s="67" t="str">
        <f t="shared" si="432"/>
        <v>-0.0349734775589407+0.055937730177148i</v>
      </c>
      <c r="AD482" s="65">
        <f t="shared" si="433"/>
        <v>-23.612937708228024</v>
      </c>
      <c r="AE482" s="62">
        <f t="shared" si="434"/>
        <v>122.01451283468904</v>
      </c>
      <c r="AF482" s="50" t="str">
        <f t="shared" si="416"/>
        <v>79.1527877025864</v>
      </c>
      <c r="AG482" s="50" t="str">
        <f t="shared" si="417"/>
        <v>1+1336.75459192509i</v>
      </c>
      <c r="AH482" s="50">
        <f t="shared" si="435"/>
        <v>1336.7549659652711</v>
      </c>
      <c r="AI482" s="50">
        <f t="shared" si="436"/>
        <v>1.5700482464669896</v>
      </c>
      <c r="AJ482" s="50" t="str">
        <f t="shared" si="418"/>
        <v>1+1.20679233993238i</v>
      </c>
      <c r="AK482" s="50">
        <f t="shared" si="437"/>
        <v>1.5672739874442725</v>
      </c>
      <c r="AL482" s="50">
        <f t="shared" si="438"/>
        <v>0.8788325212239263</v>
      </c>
      <c r="AM482" s="50" t="str">
        <f t="shared" si="419"/>
        <v>1-5.5678171000353i</v>
      </c>
      <c r="AN482" s="50">
        <f t="shared" si="439"/>
        <v>5.6569061561462632</v>
      </c>
      <c r="AO482" s="50">
        <f t="shared" si="440"/>
        <v>-1.3930873739723277</v>
      </c>
      <c r="AP482" s="59" t="str">
        <f t="shared" si="441"/>
        <v>-0.257885779409959-0.457267183705793i</v>
      </c>
      <c r="AQ482" s="50">
        <f t="shared" si="442"/>
        <v>-5.5972338290120867</v>
      </c>
      <c r="AR482" s="62">
        <f t="shared" si="443"/>
        <v>-119.42177081107923</v>
      </c>
      <c r="AS482" s="32" t="str">
        <f t="shared" si="420"/>
        <v>-0.0000166666666666667</v>
      </c>
      <c r="AT482" s="32" t="str">
        <f t="shared" si="421"/>
        <v>0.00932521353584112i</v>
      </c>
      <c r="AU482" s="32">
        <f t="shared" si="444"/>
        <v>9.3252135358411203E-3</v>
      </c>
      <c r="AV482" s="32">
        <f t="shared" si="445"/>
        <v>1.5707963267948966</v>
      </c>
      <c r="AW482" s="32" t="str">
        <f t="shared" si="422"/>
        <v>1+9.47686925770427i</v>
      </c>
      <c r="AX482" s="32">
        <f t="shared" si="446"/>
        <v>9.5294832455711003</v>
      </c>
      <c r="AY482" s="32">
        <f t="shared" si="447"/>
        <v>1.4656652885781922</v>
      </c>
      <c r="AZ482" s="32" t="str">
        <f t="shared" si="423"/>
        <v>1+322.213554761945i</v>
      </c>
      <c r="BA482" s="32">
        <f t="shared" si="448"/>
        <v>322.21510652408728</v>
      </c>
      <c r="BB482" s="32">
        <f t="shared" si="449"/>
        <v>1.567692805001343</v>
      </c>
      <c r="BC482" s="59" t="str">
        <f t="shared" si="450"/>
        <v>-0.00615502883149871+0.060117672684628i</v>
      </c>
      <c r="BD482" s="50">
        <f t="shared" si="451"/>
        <v>-24.37466977743561</v>
      </c>
      <c r="BE482" s="62">
        <f t="shared" si="452"/>
        <v>95.845746085248209</v>
      </c>
      <c r="BF482" s="59" t="str">
        <f t="shared" si="453"/>
        <v>-0.00314758339079777-0.00244682241854052i</v>
      </c>
      <c r="BG482" s="65">
        <f t="shared" si="454"/>
        <v>-47.987607485663631</v>
      </c>
      <c r="BH482" s="62">
        <f t="shared" si="455"/>
        <v>-142.13974108006275</v>
      </c>
      <c r="BI482" s="59" t="str">
        <f t="shared" si="409"/>
        <v>0.0290771332869483-0.0126890001771807i</v>
      </c>
      <c r="BJ482" s="65">
        <f t="shared" si="456"/>
        <v>-29.971903606447707</v>
      </c>
      <c r="BK482" s="62">
        <f t="shared" si="410"/>
        <v>-23.576024725831015</v>
      </c>
      <c r="BL482" s="50">
        <f t="shared" si="457"/>
        <v>-47.987607485663631</v>
      </c>
      <c r="BM482" s="62">
        <f t="shared" si="458"/>
        <v>-142.13974108006275</v>
      </c>
    </row>
    <row r="483" spans="14:65" x14ac:dyDescent="0.3">
      <c r="N483" s="11">
        <v>65</v>
      </c>
      <c r="O483" s="51">
        <f t="shared" si="408"/>
        <v>446683.59215096442</v>
      </c>
      <c r="P483" s="49" t="str">
        <f t="shared" si="411"/>
        <v>27.9103246607183</v>
      </c>
      <c r="Q483" s="18" t="str">
        <f t="shared" si="412"/>
        <v>1+1378.66079118997i</v>
      </c>
      <c r="R483" s="18">
        <f t="shared" si="424"/>
        <v>1378.6611538607135</v>
      </c>
      <c r="S483" s="18">
        <f t="shared" si="425"/>
        <v>1.5700709853396113</v>
      </c>
      <c r="T483" s="18" t="str">
        <f t="shared" si="413"/>
        <v>1+1.2349021445909i</v>
      </c>
      <c r="U483" s="18">
        <f t="shared" si="426"/>
        <v>1.5890196055163084</v>
      </c>
      <c r="V483" s="18">
        <f t="shared" si="427"/>
        <v>0.89011989400265046</v>
      </c>
      <c r="W483" s="32" t="str">
        <f t="shared" si="414"/>
        <v>1-16.2851854084659i</v>
      </c>
      <c r="X483" s="18">
        <f t="shared" si="428"/>
        <v>16.315859272134908</v>
      </c>
      <c r="Y483" s="18">
        <f t="shared" si="429"/>
        <v>-1.5094678290064956</v>
      </c>
      <c r="Z483" s="32" t="str">
        <f t="shared" si="415"/>
        <v>-3.12244279952251+7.44704676554688i</v>
      </c>
      <c r="AA483" s="18">
        <f t="shared" si="430"/>
        <v>8.0751566278637732</v>
      </c>
      <c r="AB483" s="18">
        <f t="shared" si="431"/>
        <v>1.9678172671208767</v>
      </c>
      <c r="AC483" s="67" t="str">
        <f t="shared" si="432"/>
        <v>-0.0342583543063162+0.0552360363304189i</v>
      </c>
      <c r="AD483" s="65">
        <f t="shared" si="433"/>
        <v>-23.742087975967642</v>
      </c>
      <c r="AE483" s="62">
        <f t="shared" si="434"/>
        <v>121.80791201923665</v>
      </c>
      <c r="AF483" s="50" t="str">
        <f t="shared" si="416"/>
        <v>79.1527877025864</v>
      </c>
      <c r="AG483" s="50" t="str">
        <f t="shared" si="417"/>
        <v>1+1367.89160631607i</v>
      </c>
      <c r="AH483" s="50">
        <f t="shared" si="435"/>
        <v>1367.8919718420598</v>
      </c>
      <c r="AI483" s="50">
        <f t="shared" si="436"/>
        <v>1.5700652748480632</v>
      </c>
      <c r="AJ483" s="50" t="str">
        <f t="shared" si="418"/>
        <v>1+1.2349021445909i</v>
      </c>
      <c r="AK483" s="50">
        <f t="shared" si="437"/>
        <v>1.5890196055163084</v>
      </c>
      <c r="AL483" s="50">
        <f t="shared" si="438"/>
        <v>0.89011989400265046</v>
      </c>
      <c r="AM483" s="50" t="str">
        <f t="shared" si="419"/>
        <v>1-5.69750822076709i</v>
      </c>
      <c r="AN483" s="50">
        <f t="shared" si="439"/>
        <v>5.7846002390578874</v>
      </c>
      <c r="AO483" s="50">
        <f t="shared" si="440"/>
        <v>-1.3970506932057065</v>
      </c>
      <c r="AP483" s="59" t="str">
        <f t="shared" si="441"/>
        <v>-0.25788777954509-0.465182336628732i</v>
      </c>
      <c r="AQ483" s="50">
        <f t="shared" si="442"/>
        <v>-5.4836595775068995</v>
      </c>
      <c r="AR483" s="62">
        <f t="shared" si="443"/>
        <v>-119.00310910837054</v>
      </c>
      <c r="AS483" s="32" t="str">
        <f t="shared" si="420"/>
        <v>-0.0000166666666666667</v>
      </c>
      <c r="AT483" s="32" t="str">
        <f t="shared" si="421"/>
        <v>0.00954242566274787i</v>
      </c>
      <c r="AU483" s="32">
        <f t="shared" si="444"/>
        <v>9.5424256627478707E-3</v>
      </c>
      <c r="AV483" s="32">
        <f t="shared" si="445"/>
        <v>1.5707963267948966</v>
      </c>
      <c r="AW483" s="32" t="str">
        <f t="shared" si="422"/>
        <v>1+9.69761390016973i</v>
      </c>
      <c r="AX483" s="32">
        <f t="shared" si="446"/>
        <v>9.7490366373691071</v>
      </c>
      <c r="AY483" s="32">
        <f t="shared" si="447"/>
        <v>1.4680413601990849</v>
      </c>
      <c r="AZ483" s="32" t="str">
        <f t="shared" si="423"/>
        <v>1+329.718872605771i</v>
      </c>
      <c r="BA483" s="32">
        <f t="shared" si="448"/>
        <v>329.72038904565892</v>
      </c>
      <c r="BB483" s="32">
        <f t="shared" si="449"/>
        <v>1.5677634493439339</v>
      </c>
      <c r="BC483" s="59" t="str">
        <f t="shared" si="450"/>
        <v>-0.00588092157992871+0.0587774928172046i</v>
      </c>
      <c r="BD483" s="50">
        <f t="shared" si="451"/>
        <v>-24.572518693411347</v>
      </c>
      <c r="BE483" s="62">
        <f t="shared" si="452"/>
        <v>95.713654832227192</v>
      </c>
      <c r="BF483" s="59" t="str">
        <f t="shared" si="453"/>
        <v>-0.00304516503352919-0.00233845897221404i</v>
      </c>
      <c r="BG483" s="65">
        <f t="shared" si="454"/>
        <v>-48.314606669378989</v>
      </c>
      <c r="BH483" s="62">
        <f t="shared" si="455"/>
        <v>-142.47843314853614</v>
      </c>
      <c r="BI483" s="59" t="str">
        <f t="shared" si="409"/>
        <v>0.0288588692578124-0.0124222962677748i</v>
      </c>
      <c r="BJ483" s="65">
        <f t="shared" si="456"/>
        <v>-30.056178270918238</v>
      </c>
      <c r="BK483" s="62">
        <f t="shared" si="410"/>
        <v>-23.289454276143328</v>
      </c>
      <c r="BL483" s="50">
        <f t="shared" si="457"/>
        <v>-48.314606669378989</v>
      </c>
      <c r="BM483" s="62">
        <f t="shared" si="458"/>
        <v>-142.47843314853614</v>
      </c>
    </row>
    <row r="484" spans="14:65" x14ac:dyDescent="0.3">
      <c r="N484" s="11">
        <v>66</v>
      </c>
      <c r="O484" s="51">
        <f t="shared" ref="O484:O518" si="459">10^(5+(N484/100))</f>
        <v>457088.18961487547</v>
      </c>
      <c r="P484" s="49" t="str">
        <f t="shared" si="411"/>
        <v>27.9103246607183</v>
      </c>
      <c r="Q484" s="18" t="str">
        <f t="shared" si="412"/>
        <v>1+1410.77392635693i</v>
      </c>
      <c r="R484" s="18">
        <f t="shared" si="424"/>
        <v>1410.7742807722814</v>
      </c>
      <c r="S484" s="18">
        <f t="shared" si="425"/>
        <v>1.5700874961212947</v>
      </c>
      <c r="T484" s="18" t="str">
        <f t="shared" si="413"/>
        <v>1+1.26366671071234i</v>
      </c>
      <c r="U484" s="18">
        <f t="shared" si="426"/>
        <v>1.6114755833590979</v>
      </c>
      <c r="V484" s="18">
        <f t="shared" si="427"/>
        <v>0.90135336520850218</v>
      </c>
      <c r="W484" s="32" t="str">
        <f t="shared" si="414"/>
        <v>1-16.6645161064759i</v>
      </c>
      <c r="X484" s="18">
        <f t="shared" si="428"/>
        <v>16.694493016051574</v>
      </c>
      <c r="Y484" s="18">
        <f t="shared" si="429"/>
        <v>-1.5108604564363317</v>
      </c>
      <c r="Z484" s="32" t="str">
        <f t="shared" si="415"/>
        <v>-3.31672754308686+7.62051076837115i</v>
      </c>
      <c r="AA484" s="18">
        <f t="shared" si="430"/>
        <v>8.3110087213244839</v>
      </c>
      <c r="AB484" s="18">
        <f t="shared" si="431"/>
        <v>1.9813056773949045</v>
      </c>
      <c r="AC484" s="67" t="str">
        <f t="shared" si="432"/>
        <v>-0.0335540731038826+0.0545456850799294i</v>
      </c>
      <c r="AD484" s="65">
        <f t="shared" si="433"/>
        <v>-23.87098837891271</v>
      </c>
      <c r="AE484" s="62">
        <f t="shared" si="434"/>
        <v>121.59797585530023</v>
      </c>
      <c r="AF484" s="50" t="str">
        <f t="shared" si="416"/>
        <v>79.1527877025864</v>
      </c>
      <c r="AG484" s="50" t="str">
        <f t="shared" si="417"/>
        <v>1+1399.7538949429i</v>
      </c>
      <c r="AH484" s="50">
        <f t="shared" si="435"/>
        <v>1399.7542521485045</v>
      </c>
      <c r="AI484" s="50">
        <f t="shared" si="436"/>
        <v>1.5700819156162709</v>
      </c>
      <c r="AJ484" s="50" t="str">
        <f t="shared" si="418"/>
        <v>1+1.26366671071234i</v>
      </c>
      <c r="AK484" s="50">
        <f t="shared" si="437"/>
        <v>1.6114755833590979</v>
      </c>
      <c r="AL484" s="50">
        <f t="shared" si="438"/>
        <v>0.90135336520850218</v>
      </c>
      <c r="AM484" s="50" t="str">
        <f t="shared" si="419"/>
        <v>1-5.83022023577294i</v>
      </c>
      <c r="AN484" s="50">
        <f t="shared" si="439"/>
        <v>5.9153586533376208</v>
      </c>
      <c r="AO484" s="50">
        <f t="shared" si="440"/>
        <v>-1.4009291316178647</v>
      </c>
      <c r="AP484" s="59" t="str">
        <f t="shared" si="441"/>
        <v>-0.257889689659404-0.47334413525231i</v>
      </c>
      <c r="AQ484" s="50">
        <f t="shared" si="442"/>
        <v>-5.3676153892586607</v>
      </c>
      <c r="AR484" s="62">
        <f t="shared" si="443"/>
        <v>-118.58265021689769</v>
      </c>
      <c r="AS484" s="32" t="str">
        <f t="shared" si="420"/>
        <v>-0.0000166666666666667</v>
      </c>
      <c r="AT484" s="32" t="str">
        <f t="shared" si="421"/>
        <v>0.00976469731004991i</v>
      </c>
      <c r="AU484" s="32">
        <f t="shared" si="444"/>
        <v>9.7646973100499104E-3</v>
      </c>
      <c r="AV484" s="32">
        <f t="shared" si="445"/>
        <v>1.5707963267948966</v>
      </c>
      <c r="AW484" s="32" t="str">
        <f t="shared" si="422"/>
        <v>1+9.92350034588808i</v>
      </c>
      <c r="AX484" s="32">
        <f t="shared" si="446"/>
        <v>9.9737585249915099</v>
      </c>
      <c r="AY484" s="32">
        <f t="shared" si="447"/>
        <v>1.4703644714642179</v>
      </c>
      <c r="AZ484" s="32" t="str">
        <f t="shared" si="423"/>
        <v>1+337.399011760195i</v>
      </c>
      <c r="BA484" s="32">
        <f t="shared" si="448"/>
        <v>337.40049368185015</v>
      </c>
      <c r="BB484" s="32">
        <f t="shared" si="449"/>
        <v>1.567832485654215</v>
      </c>
      <c r="BC484" s="59" t="str">
        <f t="shared" si="450"/>
        <v>-0.00561889730485185+0.0574659581558458i</v>
      </c>
      <c r="BD484" s="50">
        <f t="shared" si="451"/>
        <v>-24.770463427302531</v>
      </c>
      <c r="BE484" s="62">
        <f t="shared" si="452"/>
        <v>95.584505850608053</v>
      </c>
      <c r="BF484" s="59" t="str">
        <f t="shared" si="453"/>
        <v>-0.00294598316545496-0.00223470356383282i</v>
      </c>
      <c r="BG484" s="65">
        <f t="shared" si="454"/>
        <v>-48.641451806215244</v>
      </c>
      <c r="BH484" s="62">
        <f t="shared" si="455"/>
        <v>-142.81751829409177</v>
      </c>
      <c r="BI484" s="59" t="str">
        <f t="shared" si="409"/>
        <v>0.0286502299519006-0.0121602060289547i</v>
      </c>
      <c r="BJ484" s="65">
        <f t="shared" si="456"/>
        <v>-30.13807881656119</v>
      </c>
      <c r="BK484" s="62">
        <f t="shared" si="410"/>
        <v>-22.998144366289576</v>
      </c>
      <c r="BL484" s="50">
        <f t="shared" si="457"/>
        <v>-48.641451806215244</v>
      </c>
      <c r="BM484" s="62">
        <f t="shared" si="458"/>
        <v>-142.81751829409177</v>
      </c>
    </row>
    <row r="485" spans="14:65" x14ac:dyDescent="0.3">
      <c r="N485" s="11">
        <v>67</v>
      </c>
      <c r="O485" s="51">
        <f t="shared" si="459"/>
        <v>467735.14128719864</v>
      </c>
      <c r="P485" s="49" t="str">
        <f t="shared" si="411"/>
        <v>27.9103246607183</v>
      </c>
      <c r="Q485" s="18" t="str">
        <f t="shared" si="412"/>
        <v>1+1443.63507253345i</v>
      </c>
      <c r="R485" s="18">
        <f t="shared" si="424"/>
        <v>1443.6354188813254</v>
      </c>
      <c r="S485" s="18">
        <f t="shared" si="425"/>
        <v>1.5701036310720762</v>
      </c>
      <c r="T485" s="18" t="str">
        <f t="shared" si="413"/>
        <v>1+1.29310128965041i</v>
      </c>
      <c r="U485" s="18">
        <f t="shared" si="426"/>
        <v>1.6346592749853264</v>
      </c>
      <c r="V485" s="18">
        <f t="shared" si="427"/>
        <v>0.91252755112575157</v>
      </c>
      <c r="W485" s="32" t="str">
        <f t="shared" si="414"/>
        <v>1-17.0526825515065i</v>
      </c>
      <c r="X485" s="18">
        <f t="shared" si="428"/>
        <v>17.081978287143858</v>
      </c>
      <c r="Y485" s="18">
        <f t="shared" si="429"/>
        <v>-1.512221608744625</v>
      </c>
      <c r="Z485" s="32" t="str">
        <f t="shared" si="415"/>
        <v>-3.52016864452386+7.79801526687422i</v>
      </c>
      <c r="AA485" s="18">
        <f t="shared" si="430"/>
        <v>8.5557366362162171</v>
      </c>
      <c r="AB485" s="18">
        <f t="shared" si="431"/>
        <v>1.9948292831802357</v>
      </c>
      <c r="AC485" s="67" t="str">
        <f t="shared" si="432"/>
        <v>-0.0328600312679351+0.0538662387107824i</v>
      </c>
      <c r="AD485" s="65">
        <f t="shared" si="433"/>
        <v>-23.999692789608474</v>
      </c>
      <c r="AE485" s="62">
        <f t="shared" si="434"/>
        <v>121.38445126543289</v>
      </c>
      <c r="AF485" s="50" t="str">
        <f t="shared" si="416"/>
        <v>79.1527877025864</v>
      </c>
      <c r="AG485" s="50" t="str">
        <f t="shared" si="417"/>
        <v>1+1432.35835161276i</v>
      </c>
      <c r="AH485" s="50">
        <f t="shared" si="435"/>
        <v>1432.3587006873743</v>
      </c>
      <c r="AI485" s="50">
        <f t="shared" si="436"/>
        <v>1.5700981775947309</v>
      </c>
      <c r="AJ485" s="50" t="str">
        <f t="shared" si="418"/>
        <v>1+1.29310128965041i</v>
      </c>
      <c r="AK485" s="50">
        <f t="shared" si="437"/>
        <v>1.6346592749853264</v>
      </c>
      <c r="AL485" s="50">
        <f t="shared" si="438"/>
        <v>0.91252755112575157</v>
      </c>
      <c r="AM485" s="50" t="str">
        <f t="shared" si="419"/>
        <v>1-5.96602351071988i</v>
      </c>
      <c r="AN485" s="50">
        <f t="shared" si="439"/>
        <v>6.0492509065554847</v>
      </c>
      <c r="AO485" s="50">
        <f t="shared" si="440"/>
        <v>-1.4047242786505931</v>
      </c>
      <c r="AP485" s="59" t="str">
        <f t="shared" si="441"/>
        <v>-0.257891513804499-0.481756907078983i</v>
      </c>
      <c r="AQ485" s="50">
        <f t="shared" si="442"/>
        <v>-5.249134685061934</v>
      </c>
      <c r="AR485" s="62">
        <f t="shared" si="443"/>
        <v>-118.16079417468407</v>
      </c>
      <c r="AS485" s="32" t="str">
        <f t="shared" si="420"/>
        <v>-0.0000166666666666667</v>
      </c>
      <c r="AT485" s="32" t="str">
        <f t="shared" si="421"/>
        <v>0.0099921463291168i</v>
      </c>
      <c r="AU485" s="32">
        <f t="shared" si="444"/>
        <v>9.9921463291168001E-3</v>
      </c>
      <c r="AV485" s="32">
        <f t="shared" si="445"/>
        <v>1.5707963267948966</v>
      </c>
      <c r="AW485" s="32" t="str">
        <f t="shared" si="422"/>
        <v>1+10.1546483628429i</v>
      </c>
      <c r="AX485" s="32">
        <f t="shared" si="446"/>
        <v>10.203768096786009</v>
      </c>
      <c r="AY485" s="32">
        <f t="shared" si="447"/>
        <v>1.4726357537632324</v>
      </c>
      <c r="AZ485" s="32" t="str">
        <f t="shared" si="423"/>
        <v>1+345.258044336659i</v>
      </c>
      <c r="BA485" s="32">
        <f t="shared" si="448"/>
        <v>345.25949252580205</v>
      </c>
      <c r="BB485" s="32">
        <f t="shared" si="449"/>
        <v>1.5678999505335183</v>
      </c>
      <c r="BC485" s="59" t="str">
        <f t="shared" si="450"/>
        <v>-0.00536843419213611+0.0561825381208294i</v>
      </c>
      <c r="BD485" s="50">
        <f t="shared" si="451"/>
        <v>-24.968499753439247</v>
      </c>
      <c r="BE485" s="62">
        <f t="shared" si="452"/>
        <v>95.458236413641146</v>
      </c>
      <c r="BF485" s="59" t="str">
        <f t="shared" si="453"/>
        <v>-0.00284993509438078-0.00213533731705914i</v>
      </c>
      <c r="BG485" s="65">
        <f t="shared" si="454"/>
        <v>-48.968192543047728</v>
      </c>
      <c r="BH485" s="62">
        <f t="shared" si="455"/>
        <v>-143.15731232092591</v>
      </c>
      <c r="BI485" s="59" t="str">
        <f t="shared" si="409"/>
        <v>0.0284507994175076-0.0119027195530991i</v>
      </c>
      <c r="BJ485" s="65">
        <f t="shared" si="456"/>
        <v>-30.217634438501197</v>
      </c>
      <c r="BK485" s="62">
        <f t="shared" si="410"/>
        <v>-22.702557761042939</v>
      </c>
      <c r="BL485" s="50">
        <f t="shared" si="457"/>
        <v>-48.968192543047728</v>
      </c>
      <c r="BM485" s="62">
        <f t="shared" si="458"/>
        <v>-143.15731232092591</v>
      </c>
    </row>
    <row r="486" spans="14:65" x14ac:dyDescent="0.3">
      <c r="N486" s="11">
        <v>68</v>
      </c>
      <c r="O486" s="51">
        <f t="shared" si="459"/>
        <v>478630.09232263872</v>
      </c>
      <c r="P486" s="49" t="str">
        <f t="shared" si="411"/>
        <v>27.9103246607183</v>
      </c>
      <c r="Q486" s="18" t="str">
        <f t="shared" si="412"/>
        <v>1+1477.2616531342i</v>
      </c>
      <c r="R486" s="18">
        <f t="shared" si="424"/>
        <v>1477.2619915982368</v>
      </c>
      <c r="S486" s="18">
        <f t="shared" si="425"/>
        <v>1.5701193987468867</v>
      </c>
      <c r="T486" s="18" t="str">
        <f t="shared" si="413"/>
        <v>1+1.32322148800847i</v>
      </c>
      <c r="U486" s="18">
        <f t="shared" si="426"/>
        <v>1.6585882871669355</v>
      </c>
      <c r="V486" s="18">
        <f t="shared" si="427"/>
        <v>0.92363721512499264</v>
      </c>
      <c r="W486" s="32" t="str">
        <f t="shared" si="414"/>
        <v>1-17.4498905545449i</v>
      </c>
      <c r="X486" s="18">
        <f t="shared" si="428"/>
        <v>17.478520542814696</v>
      </c>
      <c r="Y486" s="18">
        <f t="shared" si="429"/>
        <v>-1.5135519874461003</v>
      </c>
      <c r="Z486" s="32" t="str">
        <f t="shared" si="415"/>
        <v>-3.73319762968548+7.97965437629073i</v>
      </c>
      <c r="AA486" s="18">
        <f t="shared" si="430"/>
        <v>8.8097473577478436</v>
      </c>
      <c r="AB486" s="18">
        <f t="shared" si="431"/>
        <v>2.0083861586531127</v>
      </c>
      <c r="AC486" s="67" t="str">
        <f t="shared" si="432"/>
        <v>-0.0321756728699322+0.0531972482893242i</v>
      </c>
      <c r="AD486" s="65">
        <f t="shared" si="433"/>
        <v>-24.128256527006236</v>
      </c>
      <c r="AE486" s="62">
        <f t="shared" si="434"/>
        <v>121.16710787044956</v>
      </c>
      <c r="AF486" s="50" t="str">
        <f t="shared" si="416"/>
        <v>79.1527877025864</v>
      </c>
      <c r="AG486" s="50" t="str">
        <f t="shared" si="417"/>
        <v>1+1465.72226364015i</v>
      </c>
      <c r="AH486" s="50">
        <f t="shared" si="435"/>
        <v>1465.7226047688578</v>
      </c>
      <c r="AI486" s="50">
        <f t="shared" si="436"/>
        <v>1.5701140694057252</v>
      </c>
      <c r="AJ486" s="50" t="str">
        <f t="shared" si="418"/>
        <v>1+1.32322148800847i</v>
      </c>
      <c r="AK486" s="50">
        <f t="shared" si="437"/>
        <v>1.6585882871669355</v>
      </c>
      <c r="AL486" s="50">
        <f t="shared" si="438"/>
        <v>0.92363721512499264</v>
      </c>
      <c r="AM486" s="50" t="str">
        <f t="shared" si="419"/>
        <v>1-6.10499005030189i</v>
      </c>
      <c r="AN486" s="50">
        <f t="shared" si="439"/>
        <v>6.1863481565690339</v>
      </c>
      <c r="AO486" s="50">
        <f t="shared" si="440"/>
        <v>-1.4084377090250724</v>
      </c>
      <c r="AP486" s="59" t="str">
        <f t="shared" si="441"/>
        <v>-0.25789325584962-0.490425112679932i</v>
      </c>
      <c r="AQ486" s="50">
        <f t="shared" si="442"/>
        <v>-5.1282523788493926</v>
      </c>
      <c r="AR486" s="62">
        <f t="shared" si="443"/>
        <v>-117.73793173739126</v>
      </c>
      <c r="AS486" s="32" t="str">
        <f t="shared" si="420"/>
        <v>-0.0000166666666666667</v>
      </c>
      <c r="AT486" s="32" t="str">
        <f t="shared" si="421"/>
        <v>0.0102248933164291i</v>
      </c>
      <c r="AU486" s="32">
        <f t="shared" si="444"/>
        <v>1.02248933164291E-2</v>
      </c>
      <c r="AV486" s="32">
        <f t="shared" si="445"/>
        <v>1.5707963267948966</v>
      </c>
      <c r="AW486" s="32" t="str">
        <f t="shared" si="422"/>
        <v>1+10.3911805087724i</v>
      </c>
      <c r="AX486" s="32">
        <f t="shared" si="446"/>
        <v>10.439187342216416</v>
      </c>
      <c r="AY486" s="32">
        <f t="shared" si="447"/>
        <v>1.4748563175733014</v>
      </c>
      <c r="AZ486" s="32" t="str">
        <f t="shared" si="423"/>
        <v>1+353.300137298261i</v>
      </c>
      <c r="BA486" s="32">
        <f t="shared" si="448"/>
        <v>353.30155252272817</v>
      </c>
      <c r="BB486" s="32">
        <f t="shared" si="449"/>
        <v>1.5679658797501577</v>
      </c>
      <c r="BC486" s="59" t="str">
        <f t="shared" si="450"/>
        <v>-0.00512903201854811+0.0549267063969094i</v>
      </c>
      <c r="BD486" s="50">
        <f t="shared" si="451"/>
        <v>-25.166623628806551</v>
      </c>
      <c r="BE486" s="62">
        <f t="shared" si="452"/>
        <v>95.334784945044802</v>
      </c>
      <c r="BF486" s="59" t="str">
        <f t="shared" si="453"/>
        <v>-0.00275691958154299-0.00204015412662437i</v>
      </c>
      <c r="BG486" s="65">
        <f t="shared" si="454"/>
        <v>-49.294880155812777</v>
      </c>
      <c r="BH486" s="62">
        <f t="shared" si="455"/>
        <v>-143.49810718450561</v>
      </c>
      <c r="BI486" s="59" t="str">
        <f t="shared" si="409"/>
        <v>0.0282601789404622-0.0116498210401597i</v>
      </c>
      <c r="BJ486" s="65">
        <f t="shared" si="456"/>
        <v>-30.294876007655922</v>
      </c>
      <c r="BK486" s="62">
        <f t="shared" si="410"/>
        <v>-22.403146792346469</v>
      </c>
      <c r="BL486" s="50">
        <f t="shared" si="457"/>
        <v>-49.294880155812777</v>
      </c>
      <c r="BM486" s="62">
        <f t="shared" si="458"/>
        <v>-143.49810718450561</v>
      </c>
    </row>
    <row r="487" spans="14:65" x14ac:dyDescent="0.3">
      <c r="N487" s="11">
        <v>69</v>
      </c>
      <c r="O487" s="51">
        <f t="shared" si="459"/>
        <v>489778.81936844654</v>
      </c>
      <c r="P487" s="49" t="str">
        <f t="shared" si="411"/>
        <v>27.9103246607183</v>
      </c>
      <c r="Q487" s="18" t="str">
        <f t="shared" si="412"/>
        <v>1+1511.67149741731i</v>
      </c>
      <c r="R487" s="18">
        <f t="shared" si="424"/>
        <v>1511.6718281769668</v>
      </c>
      <c r="S487" s="18">
        <f t="shared" si="425"/>
        <v>1.5701348075059247</v>
      </c>
      <c r="T487" s="18" t="str">
        <f t="shared" si="413"/>
        <v>1+1.35404327591438i</v>
      </c>
      <c r="U487" s="18">
        <f t="shared" si="426"/>
        <v>1.6832804855546049</v>
      </c>
      <c r="V487" s="18">
        <f t="shared" si="427"/>
        <v>0.934677278516444</v>
      </c>
      <c r="W487" s="32" t="str">
        <f t="shared" si="414"/>
        <v>1-17.8563507205319i</v>
      </c>
      <c r="X487" s="18">
        <f t="shared" si="428"/>
        <v>17.884330042096632</v>
      </c>
      <c r="Y487" s="18">
        <f t="shared" si="429"/>
        <v>-1.5148522790773216</v>
      </c>
      <c r="Z487" s="32" t="str">
        <f t="shared" si="415"/>
        <v>-3.95626636161053+8.16552440408077i</v>
      </c>
      <c r="AA487" s="18">
        <f t="shared" si="430"/>
        <v>9.0734685935230761</v>
      </c>
      <c r="AB487" s="18">
        <f t="shared" si="431"/>
        <v>2.0219741454084783</v>
      </c>
      <c r="AC487" s="67" t="str">
        <f t="shared" si="432"/>
        <v>-0.0315004881993527+0.0525382562012546i</v>
      </c>
      <c r="AD487" s="65">
        <f t="shared" si="433"/>
        <v>-24.256736140634803</v>
      </c>
      <c r="AE487" s="62">
        <f t="shared" si="434"/>
        <v>120.94573853570891</v>
      </c>
      <c r="AF487" s="50" t="str">
        <f t="shared" si="416"/>
        <v>79.1527877025864</v>
      </c>
      <c r="AG487" s="50" t="str">
        <f t="shared" si="417"/>
        <v>1+1499.86332101285i</v>
      </c>
      <c r="AH487" s="50">
        <f t="shared" si="435"/>
        <v>1499.8636543765222</v>
      </c>
      <c r="AI487" s="50">
        <f t="shared" si="436"/>
        <v>1.5701295994752702</v>
      </c>
      <c r="AJ487" s="50" t="str">
        <f t="shared" si="418"/>
        <v>1+1.35404327591438i</v>
      </c>
      <c r="AK487" s="50">
        <f t="shared" si="437"/>
        <v>1.6832804855546049</v>
      </c>
      <c r="AL487" s="50">
        <f t="shared" si="438"/>
        <v>0.934677278516444</v>
      </c>
      <c r="AM487" s="50" t="str">
        <f t="shared" si="419"/>
        <v>1-6.24719353641766i</v>
      </c>
      <c r="AN487" s="50">
        <f t="shared" si="439"/>
        <v>6.3267232499500556</v>
      </c>
      <c r="AO487" s="50">
        <f t="shared" si="440"/>
        <v>-1.4120709817914416</v>
      </c>
      <c r="AP487" s="59" t="str">
        <f t="shared" si="441"/>
        <v>-0.257894919489865-0.499353348060153i</v>
      </c>
      <c r="AQ487" s="50">
        <f t="shared" si="442"/>
        <v>-5.0050048002651284</v>
      </c>
      <c r="AR487" s="62">
        <f t="shared" si="443"/>
        <v>-117.3144437022774</v>
      </c>
      <c r="AS487" s="32" t="str">
        <f t="shared" si="420"/>
        <v>-0.0000166666666666667</v>
      </c>
      <c r="AT487" s="32" t="str">
        <f t="shared" si="421"/>
        <v>0.0104630616775202i</v>
      </c>
      <c r="AU487" s="32">
        <f t="shared" si="444"/>
        <v>1.0463061677520201E-2</v>
      </c>
      <c r="AV487" s="32">
        <f t="shared" si="445"/>
        <v>1.5707963267948966</v>
      </c>
      <c r="AW487" s="32" t="str">
        <f t="shared" si="422"/>
        <v>1+10.6332221961512i</v>
      </c>
      <c r="AX487" s="32">
        <f t="shared" si="446"/>
        <v>10.680141116704524</v>
      </c>
      <c r="AY487" s="32">
        <f t="shared" si="447"/>
        <v>1.477027252623498</v>
      </c>
      <c r="AZ487" s="32" t="str">
        <f t="shared" si="423"/>
        <v>1+361.529554669139i</v>
      </c>
      <c r="BA487" s="32">
        <f t="shared" si="448"/>
        <v>361.53093767928902</v>
      </c>
      <c r="BB487" s="32">
        <f t="shared" si="449"/>
        <v>1.5680303082583826</v>
      </c>
      <c r="BC487" s="59" t="str">
        <f t="shared" si="450"/>
        <v>-0.00490021134137821+0.0536979413264279i</v>
      </c>
      <c r="BD487" s="50">
        <f t="shared" si="451"/>
        <v>-25.364831185472593</v>
      </c>
      <c r="BE487" s="62">
        <f t="shared" si="452"/>
        <v>95.214091010673087</v>
      </c>
      <c r="BF487" s="59" t="str">
        <f t="shared" si="453"/>
        <v>-0.00266683714935439-0.0019489599259763i</v>
      </c>
      <c r="BG487" s="65">
        <f t="shared" si="454"/>
        <v>-49.621567326107382</v>
      </c>
      <c r="BH487" s="62">
        <f t="shared" si="455"/>
        <v>-143.84017045361799</v>
      </c>
      <c r="BI487" s="59" t="str">
        <f t="shared" si="409"/>
        <v>0.0280779863946575-0.0114014893156311i</v>
      </c>
      <c r="BJ487" s="65">
        <f t="shared" si="456"/>
        <v>-30.369835985737712</v>
      </c>
      <c r="BK487" s="62">
        <f t="shared" si="410"/>
        <v>-22.10035269160435</v>
      </c>
      <c r="BL487" s="50">
        <f t="shared" si="457"/>
        <v>-49.621567326107382</v>
      </c>
      <c r="BM487" s="62">
        <f t="shared" si="458"/>
        <v>-143.84017045361799</v>
      </c>
    </row>
    <row r="488" spans="14:65" x14ac:dyDescent="0.3">
      <c r="N488" s="11">
        <v>70</v>
      </c>
      <c r="O488" s="51">
        <f t="shared" si="459"/>
        <v>501187.23362727347</v>
      </c>
      <c r="P488" s="49" t="str">
        <f t="shared" si="411"/>
        <v>27.9103246607183</v>
      </c>
      <c r="Q488" s="18" t="str">
        <f t="shared" si="412"/>
        <v>1+1546.88284993769i</v>
      </c>
      <c r="R488" s="18">
        <f t="shared" si="424"/>
        <v>1546.8831731683395</v>
      </c>
      <c r="S488" s="18">
        <f t="shared" si="425"/>
        <v>1.5701498655190889</v>
      </c>
      <c r="T488" s="18" t="str">
        <f t="shared" si="413"/>
        <v>1+1.38558299548806i</v>
      </c>
      <c r="U488" s="18">
        <f t="shared" si="426"/>
        <v>1.7087540014249172</v>
      </c>
      <c r="V488" s="18">
        <f t="shared" si="427"/>
        <v>0.9456428304968405</v>
      </c>
      <c r="W488" s="32" t="str">
        <f t="shared" si="414"/>
        <v>1-18.2722785600278i</v>
      </c>
      <c r="X488" s="18">
        <f t="shared" si="428"/>
        <v>18.299621957167631</v>
      </c>
      <c r="Y488" s="18">
        <f t="shared" si="429"/>
        <v>-1.5161231554723369</v>
      </c>
      <c r="Z488" s="32" t="str">
        <f t="shared" si="415"/>
        <v>-4.18984799898677+8.35572390099334i</v>
      </c>
      <c r="AA488" s="18">
        <f t="shared" si="430"/>
        <v>9.3473497936176955</v>
      </c>
      <c r="AB488" s="18">
        <f t="shared" si="431"/>
        <v>2.0355908544698997</v>
      </c>
      <c r="AC488" s="67" t="str">
        <f t="shared" si="432"/>
        <v>-0.0308340131192257+0.0518887986645688i</v>
      </c>
      <c r="AD488" s="65">
        <f t="shared" si="433"/>
        <v>-24.385189188515007</v>
      </c>
      <c r="AE488" s="62">
        <f t="shared" si="434"/>
        <v>120.72015980982053</v>
      </c>
      <c r="AF488" s="50" t="str">
        <f t="shared" si="416"/>
        <v>79.1527877025864</v>
      </c>
      <c r="AG488" s="50" t="str">
        <f t="shared" si="417"/>
        <v>1+1534.79962577139i</v>
      </c>
      <c r="AH488" s="50">
        <f t="shared" si="435"/>
        <v>1534.7999515467802</v>
      </c>
      <c r="AI488" s="50">
        <f t="shared" si="436"/>
        <v>1.5701447760375844</v>
      </c>
      <c r="AJ488" s="50" t="str">
        <f t="shared" si="418"/>
        <v>1+1.38558299548806i</v>
      </c>
      <c r="AK488" s="50">
        <f t="shared" si="437"/>
        <v>1.7087540014249172</v>
      </c>
      <c r="AL488" s="50">
        <f t="shared" si="438"/>
        <v>0.9456428304968405</v>
      </c>
      <c r="AM488" s="50" t="str">
        <f t="shared" si="419"/>
        <v>1-6.39270936723782i</v>
      </c>
      <c r="AN488" s="50">
        <f t="shared" si="439"/>
        <v>6.4704507612661857</v>
      </c>
      <c r="AO488" s="50">
        <f t="shared" si="440"/>
        <v>-1.4156256394708207</v>
      </c>
      <c r="AP488" s="59" t="str">
        <f t="shared" si="441"/>
        <v>-0.257896508254031-0.508546347095368i</v>
      </c>
      <c r="AQ488" s="50">
        <f t="shared" si="442"/>
        <v>-4.8794296115385904</v>
      </c>
      <c r="AR488" s="62">
        <f t="shared" si="443"/>
        <v>-116.89070028937971</v>
      </c>
      <c r="AS488" s="32" t="str">
        <f t="shared" si="420"/>
        <v>-0.0000166666666666667</v>
      </c>
      <c r="AT488" s="32" t="str">
        <f t="shared" si="421"/>
        <v>0.0107067776924077i</v>
      </c>
      <c r="AU488" s="32">
        <f t="shared" si="444"/>
        <v>1.07067776924077E-2</v>
      </c>
      <c r="AV488" s="32">
        <f t="shared" si="445"/>
        <v>1.5707963267948966</v>
      </c>
      <c r="AW488" s="32" t="str">
        <f t="shared" si="422"/>
        <v>1+10.8809017586857i</v>
      </c>
      <c r="AX488" s="32">
        <f t="shared" si="446"/>
        <v>10.926757207981222</v>
      </c>
      <c r="AY488" s="32">
        <f t="shared" si="447"/>
        <v>1.4791496280750043</v>
      </c>
      <c r="AZ488" s="32" t="str">
        <f t="shared" si="423"/>
        <v>1+369.950659795313i</v>
      </c>
      <c r="BA488" s="32">
        <f t="shared" si="448"/>
        <v>369.95201132442492</v>
      </c>
      <c r="BB488" s="32">
        <f t="shared" si="449"/>
        <v>1.5680932702169001</v>
      </c>
      <c r="BC488" s="59" t="str">
        <f t="shared" si="450"/>
        <v>-0.00468151271101339+0.0524957262640668i</v>
      </c>
      <c r="BD488" s="50">
        <f t="shared" si="451"/>
        <v>-25.563118723301493</v>
      </c>
      <c r="BE488" s="62">
        <f t="shared" si="452"/>
        <v>95.096095309252533</v>
      </c>
      <c r="BF488" s="59" t="str">
        <f t="shared" si="453"/>
        <v>-0.00257959034651727-0.00186157198283691i</v>
      </c>
      <c r="BG488" s="65">
        <f t="shared" si="454"/>
        <v>-49.948307911816499</v>
      </c>
      <c r="BH488" s="62">
        <f t="shared" si="455"/>
        <v>-144.18374488092695</v>
      </c>
      <c r="BI488" s="59" t="str">
        <f t="shared" si="409"/>
        <v>0.0279038556112268-0.0111576983136959i</v>
      </c>
      <c r="BJ488" s="65">
        <f t="shared" si="456"/>
        <v>-30.442548334840069</v>
      </c>
      <c r="BK488" s="62">
        <f t="shared" si="410"/>
        <v>-21.794604980127211</v>
      </c>
      <c r="BL488" s="50">
        <f t="shared" si="457"/>
        <v>-49.948307911816499</v>
      </c>
      <c r="BM488" s="62">
        <f t="shared" si="458"/>
        <v>-144.18374488092695</v>
      </c>
    </row>
    <row r="489" spans="14:65" x14ac:dyDescent="0.3">
      <c r="N489" s="11">
        <v>71</v>
      </c>
      <c r="O489" s="51">
        <f t="shared" si="459"/>
        <v>512861.38399136515</v>
      </c>
      <c r="P489" s="49" t="str">
        <f t="shared" si="411"/>
        <v>27.9103246607183</v>
      </c>
      <c r="Q489" s="18" t="str">
        <f t="shared" si="412"/>
        <v>1+1582.91438022052i</v>
      </c>
      <c r="R489" s="18">
        <f t="shared" si="424"/>
        <v>1582.9146960935427</v>
      </c>
      <c r="S489" s="18">
        <f t="shared" si="425"/>
        <v>1.5701645807703097</v>
      </c>
      <c r="T489" s="18" t="str">
        <f t="shared" si="413"/>
        <v>1+1.41785736950631i</v>
      </c>
      <c r="U489" s="18">
        <f t="shared" si="426"/>
        <v>1.7350272390551547</v>
      </c>
      <c r="V489" s="18">
        <f t="shared" si="427"/>
        <v>0.95652913715439658</v>
      </c>
      <c r="W489" s="32" t="str">
        <f t="shared" si="414"/>
        <v>1-18.6978946034782i</v>
      </c>
      <c r="X489" s="18">
        <f t="shared" si="428"/>
        <v>18.724616487468555</v>
      </c>
      <c r="Y489" s="18">
        <f t="shared" si="429"/>
        <v>-1.5173652740363184</v>
      </c>
      <c r="Z489" s="32" t="str">
        <f t="shared" si="415"/>
        <v>-4.43443799978382+8.55035371331926i</v>
      </c>
      <c r="AA489" s="18">
        <f t="shared" si="430"/>
        <v>9.6318632152247261</v>
      </c>
      <c r="AB489" s="18">
        <f t="shared" si="431"/>
        <v>2.0492336692979869</v>
      </c>
      <c r="AC489" s="67" t="str">
        <f t="shared" si="432"/>
        <v>-0.0301758283098101+0.0512484082115635i</v>
      </c>
      <c r="AD489" s="65">
        <f t="shared" si="433"/>
        <v>-24.513674010221159</v>
      </c>
      <c r="AE489" s="62">
        <f t="shared" si="434"/>
        <v>120.49021225229551</v>
      </c>
      <c r="AF489" s="50" t="str">
        <f t="shared" si="416"/>
        <v>79.1527877025864</v>
      </c>
      <c r="AG489" s="50" t="str">
        <f t="shared" si="417"/>
        <v>1+1570.54970160698i</v>
      </c>
      <c r="AH489" s="50">
        <f t="shared" si="435"/>
        <v>1570.5500199668184</v>
      </c>
      <c r="AI489" s="50">
        <f t="shared" si="436"/>
        <v>1.5701596071394539</v>
      </c>
      <c r="AJ489" s="50" t="str">
        <f t="shared" si="418"/>
        <v>1+1.41785736950631i</v>
      </c>
      <c r="AK489" s="50">
        <f t="shared" si="437"/>
        <v>1.7350272390551547</v>
      </c>
      <c r="AL489" s="50">
        <f t="shared" si="438"/>
        <v>0.95652913715439658</v>
      </c>
      <c r="AM489" s="50" t="str">
        <f t="shared" si="419"/>
        <v>1-6.54161469718197i</v>
      </c>
      <c r="AN489" s="50">
        <f t="shared" si="439"/>
        <v>6.617607033239973</v>
      </c>
      <c r="AO489" s="50">
        <f t="shared" si="440"/>
        <v>-1.4191032072844409</v>
      </c>
      <c r="AP489" s="59" t="str">
        <f t="shared" si="441"/>
        <v>-0.257898025512089-0.518008984042017i</v>
      </c>
      <c r="AQ489" s="50">
        <f t="shared" si="442"/>
        <v>-4.7515657194041676</v>
      </c>
      <c r="AR489" s="62">
        <f t="shared" si="443"/>
        <v>-116.46706058165019</v>
      </c>
      <c r="AS489" s="32" t="str">
        <f t="shared" si="420"/>
        <v>-0.0000166666666666667</v>
      </c>
      <c r="AT489" s="32" t="str">
        <f t="shared" si="421"/>
        <v>0.0109561705825487i</v>
      </c>
      <c r="AU489" s="32">
        <f t="shared" si="444"/>
        <v>1.09561705825487E-2</v>
      </c>
      <c r="AV489" s="32">
        <f t="shared" si="445"/>
        <v>1.5707963267948966</v>
      </c>
      <c r="AW489" s="32" t="str">
        <f t="shared" si="422"/>
        <v>1+11.1343505193583i</v>
      </c>
      <c r="AX489" s="32">
        <f t="shared" si="446"/>
        <v>11.179166403982654</v>
      </c>
      <c r="AY489" s="32">
        <f t="shared" si="447"/>
        <v>1.4812244927156217</v>
      </c>
      <c r="AZ489" s="32" t="str">
        <f t="shared" si="423"/>
        <v>1+378.567917658183i</v>
      </c>
      <c r="BA489" s="32">
        <f t="shared" si="448"/>
        <v>378.56923842284493</v>
      </c>
      <c r="BB489" s="32">
        <f t="shared" si="449"/>
        <v>1.5681547990069762</v>
      </c>
      <c r="BC489" s="59" t="str">
        <f t="shared" si="450"/>
        <v>-0.00447249590652809+0.0513195498957206i</v>
      </c>
      <c r="BD489" s="50">
        <f t="shared" si="451"/>
        <v>-25.761482702944537</v>
      </c>
      <c r="BE489" s="62">
        <f t="shared" si="452"/>
        <v>94.980739662274175</v>
      </c>
      <c r="BF489" s="59" t="str">
        <f t="shared" si="453"/>
        <v>-0.00249508397369787-0.0017778182225323i</v>
      </c>
      <c r="BG489" s="65">
        <f t="shared" si="454"/>
        <v>-50.275156713165686</v>
      </c>
      <c r="BH489" s="62">
        <f t="shared" si="455"/>
        <v>-144.52904808543028</v>
      </c>
      <c r="BI489" s="59" t="str">
        <f t="shared" si="409"/>
        <v>0.0277374357663803-0.0109184175276028i</v>
      </c>
      <c r="BJ489" s="65">
        <f t="shared" si="456"/>
        <v>-30.51304842234871</v>
      </c>
      <c r="BK489" s="62">
        <f t="shared" si="410"/>
        <v>-21.486320919376062</v>
      </c>
      <c r="BL489" s="50">
        <f t="shared" si="457"/>
        <v>-50.275156713165686</v>
      </c>
      <c r="BM489" s="62">
        <f t="shared" si="458"/>
        <v>-144.52904808543028</v>
      </c>
    </row>
    <row r="490" spans="14:65" x14ac:dyDescent="0.3">
      <c r="N490" s="11">
        <v>72</v>
      </c>
      <c r="O490" s="51">
        <f t="shared" si="459"/>
        <v>524807.46024977288</v>
      </c>
      <c r="P490" s="49" t="str">
        <f t="shared" si="411"/>
        <v>27.9103246607183</v>
      </c>
      <c r="Q490" s="18" t="str">
        <f t="shared" si="412"/>
        <v>1+1619.78519266009i</v>
      </c>
      <c r="R490" s="18">
        <f t="shared" si="424"/>
        <v>1619.7855013429662</v>
      </c>
      <c r="S490" s="18">
        <f t="shared" si="425"/>
        <v>1.5701789610617829</v>
      </c>
      <c r="T490" s="18" t="str">
        <f t="shared" si="413"/>
        <v>1+1.45088351026943i</v>
      </c>
      <c r="U490" s="18">
        <f t="shared" si="426"/>
        <v>1.7621188837225892</v>
      </c>
      <c r="V490" s="18">
        <f t="shared" si="427"/>
        <v>0.96733164950560013</v>
      </c>
      <c r="W490" s="32" t="str">
        <f t="shared" si="414"/>
        <v>1-19.1334245181434i</v>
      </c>
      <c r="X490" s="18">
        <f t="shared" si="428"/>
        <v>19.159538976486129</v>
      </c>
      <c r="Y490" s="18">
        <f t="shared" si="429"/>
        <v>-1.5185792780169758</v>
      </c>
      <c r="Z490" s="32" t="str">
        <f t="shared" si="415"/>
        <v>-4.69055517218629+8.74951703636134i</v>
      </c>
      <c r="AA490" s="18">
        <f t="shared" si="430"/>
        <v>9.9275050336376509</v>
      </c>
      <c r="AB490" s="18">
        <f t="shared" si="431"/>
        <v>2.0628997498165704</v>
      </c>
      <c r="AC490" s="67" t="str">
        <f t="shared" si="432"/>
        <v>-0.0295255583964603+0.0506166161330331i</v>
      </c>
      <c r="AD490" s="65">
        <f t="shared" si="433"/>
        <v>-24.642249496543052</v>
      </c>
      <c r="AE490" s="62">
        <f t="shared" si="434"/>
        <v>120.25576064754328</v>
      </c>
      <c r="AF490" s="50" t="str">
        <f t="shared" si="416"/>
        <v>79.1527877025864</v>
      </c>
      <c r="AG490" s="50" t="str">
        <f t="shared" si="417"/>
        <v>1+1607.13250368306i</v>
      </c>
      <c r="AH490" s="50">
        <f t="shared" si="435"/>
        <v>1607.1328147961451</v>
      </c>
      <c r="AI490" s="50">
        <f t="shared" si="436"/>
        <v>1.5701741006444994</v>
      </c>
      <c r="AJ490" s="50" t="str">
        <f t="shared" si="418"/>
        <v>1+1.45088351026943i</v>
      </c>
      <c r="AK490" s="50">
        <f t="shared" si="437"/>
        <v>1.7621188837225892</v>
      </c>
      <c r="AL490" s="50">
        <f t="shared" si="438"/>
        <v>0.96733164950560013</v>
      </c>
      <c r="AM490" s="50" t="str">
        <f t="shared" si="419"/>
        <v>1-6.69398847782711i</v>
      </c>
      <c r="AN490" s="50">
        <f t="shared" si="439"/>
        <v>6.7682702178091354</v>
      </c>
      <c r="AO490" s="50">
        <f t="shared" si="440"/>
        <v>-1.4225051924647458</v>
      </c>
      <c r="AP490" s="59" t="str">
        <f t="shared" si="441"/>
        <v>-0.257899474482339-0.527746276121677i</v>
      </c>
      <c r="AQ490" s="50">
        <f t="shared" si="442"/>
        <v>-4.6214531828261443</v>
      </c>
      <c r="AR490" s="62">
        <f t="shared" si="443"/>
        <v>-116.04387202525525</v>
      </c>
      <c r="AS490" s="32" t="str">
        <f t="shared" si="420"/>
        <v>-0.0000166666666666667</v>
      </c>
      <c r="AT490" s="32" t="str">
        <f t="shared" si="421"/>
        <v>0.0112113725793547i</v>
      </c>
      <c r="AU490" s="32">
        <f t="shared" si="444"/>
        <v>1.12113725793547E-2</v>
      </c>
      <c r="AV490" s="32">
        <f t="shared" si="445"/>
        <v>1.5707963267948966</v>
      </c>
      <c r="AW490" s="32" t="str">
        <f t="shared" si="422"/>
        <v>1+11.393702860057i</v>
      </c>
      <c r="AX490" s="32">
        <f t="shared" si="446"/>
        <v>11.437502562328502</v>
      </c>
      <c r="AY490" s="32">
        <f t="shared" si="447"/>
        <v>1.4832528751671465</v>
      </c>
      <c r="AZ490" s="32" t="str">
        <f t="shared" si="423"/>
        <v>1+387.385897241937i</v>
      </c>
      <c r="BA490" s="32">
        <f t="shared" si="448"/>
        <v>387.38718794242612</v>
      </c>
      <c r="BB490" s="32">
        <f t="shared" si="449"/>
        <v>1.5682149272501253</v>
      </c>
      <c r="BC490" s="59" t="str">
        <f t="shared" si="450"/>
        <v>-0.00427273919427811+0.0501689065238656i</v>
      </c>
      <c r="BD490" s="50">
        <f t="shared" si="451"/>
        <v>-25.959919739099554</v>
      </c>
      <c r="BE490" s="62">
        <f t="shared" si="452"/>
        <v>94.867967003125386</v>
      </c>
      <c r="BF490" s="59" t="str">
        <f t="shared" si="453"/>
        <v>-0.00241322527273902-0.00169753657889029i</v>
      </c>
      <c r="BG490" s="65">
        <f t="shared" si="454"/>
        <v>-50.602169235642613</v>
      </c>
      <c r="BH490" s="62">
        <f t="shared" si="455"/>
        <v>-144.87627234933134</v>
      </c>
      <c r="BI490" s="59" t="str">
        <f t="shared" si="409"/>
        <v>0.027578390787871-0.0106836124292391i</v>
      </c>
      <c r="BJ490" s="65">
        <f t="shared" si="456"/>
        <v>-30.581372921925698</v>
      </c>
      <c r="BK490" s="62">
        <f t="shared" si="410"/>
        <v>-21.175905022129839</v>
      </c>
      <c r="BL490" s="50">
        <f t="shared" si="457"/>
        <v>-50.602169235642613</v>
      </c>
      <c r="BM490" s="62">
        <f t="shared" si="458"/>
        <v>-144.87627234933134</v>
      </c>
    </row>
    <row r="491" spans="14:65" x14ac:dyDescent="0.3">
      <c r="N491" s="11">
        <v>73</v>
      </c>
      <c r="O491" s="51">
        <f t="shared" si="459"/>
        <v>537031.7963702539</v>
      </c>
      <c r="P491" s="49" t="str">
        <f t="shared" si="411"/>
        <v>27.9103246607183</v>
      </c>
      <c r="Q491" s="18" t="str">
        <f t="shared" si="412"/>
        <v>1+1657.51483664921i</v>
      </c>
      <c r="R491" s="18">
        <f t="shared" si="424"/>
        <v>1657.5151383056077</v>
      </c>
      <c r="S491" s="18">
        <f t="shared" si="425"/>
        <v>1.5701930140181055</v>
      </c>
      <c r="T491" s="18" t="str">
        <f t="shared" si="413"/>
        <v>1+1.48467892867441i</v>
      </c>
      <c r="U491" s="18">
        <f t="shared" si="426"/>
        <v>1.7900479103224565</v>
      </c>
      <c r="V491" s="18">
        <f t="shared" si="427"/>
        <v>0.97804601054686302</v>
      </c>
      <c r="W491" s="32" t="str">
        <f t="shared" si="414"/>
        <v>1-19.5790992277489i</v>
      </c>
      <c r="X491" s="18">
        <f t="shared" si="428"/>
        <v>19.604620031258897</v>
      </c>
      <c r="Y491" s="18">
        <f t="shared" si="429"/>
        <v>-1.5197657967735234</v>
      </c>
      <c r="Z491" s="32" t="str">
        <f t="shared" si="415"/>
        <v>-4.95874277505498+8.95331946914964i</v>
      </c>
      <c r="AA491" s="18">
        <f t="shared" si="430"/>
        <v>10.23479650143636</v>
      </c>
      <c r="AB491" s="18">
        <f t="shared" si="431"/>
        <v>2.0765860374687204</v>
      </c>
      <c r="AC491" s="67" t="str">
        <f t="shared" si="432"/>
        <v>-0.0288828709584645+0.0499929548767097i</v>
      </c>
      <c r="AD491" s="65">
        <f t="shared" si="433"/>
        <v>-24.770974857241718</v>
      </c>
      <c r="AE491" s="62">
        <f t="shared" si="434"/>
        <v>120.01669410356649</v>
      </c>
      <c r="AF491" s="50" t="str">
        <f t="shared" si="416"/>
        <v>79.1527877025864</v>
      </c>
      <c r="AG491" s="50" t="str">
        <f t="shared" si="417"/>
        <v>1+1644.5674286855i</v>
      </c>
      <c r="AH491" s="50">
        <f t="shared" si="435"/>
        <v>1644.5677327167882</v>
      </c>
      <c r="AI491" s="50">
        <f t="shared" si="436"/>
        <v>1.5701882642373446</v>
      </c>
      <c r="AJ491" s="50" t="str">
        <f t="shared" si="418"/>
        <v>1+1.48467892867441i</v>
      </c>
      <c r="AK491" s="50">
        <f t="shared" si="437"/>
        <v>1.7900479103224565</v>
      </c>
      <c r="AL491" s="50">
        <f t="shared" si="438"/>
        <v>0.97804601054686302</v>
      </c>
      <c r="AM491" s="50" t="str">
        <f t="shared" si="419"/>
        <v>1-6.8499114997686i</v>
      </c>
      <c r="AN491" s="50">
        <f t="shared" si="439"/>
        <v>6.9225203181111796</v>
      </c>
      <c r="AO491" s="50">
        <f t="shared" si="440"/>
        <v>-1.4258330836435025</v>
      </c>
      <c r="AP491" s="59" t="str">
        <f t="shared" si="441"/>
        <v>-0.257900858238236-0.537763386181309i</v>
      </c>
      <c r="AQ491" s="50">
        <f t="shared" si="442"/>
        <v>-4.4891331172953022</v>
      </c>
      <c r="AR491" s="62">
        <f t="shared" si="443"/>
        <v>-115.6214699907259</v>
      </c>
      <c r="AS491" s="32" t="str">
        <f t="shared" si="420"/>
        <v>-0.0000166666666666667</v>
      </c>
      <c r="AT491" s="32" t="str">
        <f t="shared" si="421"/>
        <v>0.0114725189943023i</v>
      </c>
      <c r="AU491" s="32">
        <f t="shared" si="444"/>
        <v>1.1472518994302299E-2</v>
      </c>
      <c r="AV491" s="32">
        <f t="shared" si="445"/>
        <v>1.5707963267948966</v>
      </c>
      <c r="AW491" s="32" t="str">
        <f t="shared" si="422"/>
        <v>1+11.6590962928255i</v>
      </c>
      <c r="AX491" s="32">
        <f t="shared" si="446"/>
        <v>11.70190268141798</v>
      </c>
      <c r="AY491" s="32">
        <f t="shared" si="447"/>
        <v>1.4852357841042549</v>
      </c>
      <c r="AZ491" s="32" t="str">
        <f t="shared" si="423"/>
        <v>1+396.409273956067i</v>
      </c>
      <c r="BA491" s="32">
        <f t="shared" si="448"/>
        <v>396.41053527672062</v>
      </c>
      <c r="BB491" s="32">
        <f t="shared" si="449"/>
        <v>1.5682736868253977</v>
      </c>
      <c r="BC491" s="59" t="str">
        <f t="shared" si="450"/>
        <v>-0.00408183860940074+0.0490432963216571i</v>
      </c>
      <c r="BD491" s="50">
        <f t="shared" si="451"/>
        <v>-26.158426594031212</v>
      </c>
      <c r="BE491" s="62">
        <f t="shared" si="452"/>
        <v>94.757721365539382</v>
      </c>
      <c r="BF491" s="59" t="str">
        <f t="shared" si="453"/>
        <v>-0.00233392408218511-0.00162057437244994i</v>
      </c>
      <c r="BG491" s="65">
        <f t="shared" si="454"/>
        <v>-50.929401451272923</v>
      </c>
      <c r="BH491" s="62">
        <f t="shared" si="455"/>
        <v>-145.2255845308942</v>
      </c>
      <c r="BI491" s="59" t="str">
        <f t="shared" si="409"/>
        <v>0.0274263987799821-0.0104532448597505i</v>
      </c>
      <c r="BJ491" s="65">
        <f t="shared" si="456"/>
        <v>-30.647559711326512</v>
      </c>
      <c r="BK491" s="62">
        <f t="shared" si="410"/>
        <v>-20.863748625186435</v>
      </c>
      <c r="BL491" s="50">
        <f t="shared" si="457"/>
        <v>-50.929401451272923</v>
      </c>
      <c r="BM491" s="62">
        <f t="shared" si="458"/>
        <v>-145.2255845308942</v>
      </c>
    </row>
    <row r="492" spans="14:65" x14ac:dyDescent="0.3">
      <c r="N492" s="11">
        <v>74</v>
      </c>
      <c r="O492" s="51">
        <f t="shared" si="459"/>
        <v>549540.87385762564</v>
      </c>
      <c r="P492" s="49" t="str">
        <f t="shared" si="411"/>
        <v>27.9103246607183</v>
      </c>
      <c r="Q492" s="18" t="str">
        <f t="shared" si="412"/>
        <v>1+1696.12331694451i</v>
      </c>
      <c r="R492" s="18">
        <f t="shared" si="424"/>
        <v>1696.1236117343706</v>
      </c>
      <c r="S492" s="18">
        <f t="shared" si="425"/>
        <v>1.5702067470903187</v>
      </c>
      <c r="T492" s="18" t="str">
        <f t="shared" si="413"/>
        <v>1+1.51926154349942i</v>
      </c>
      <c r="U492" s="18">
        <f t="shared" si="426"/>
        <v>1.8188335925961561</v>
      </c>
      <c r="V492" s="18">
        <f t="shared" si="427"/>
        <v>0.98866806131302132</v>
      </c>
      <c r="W492" s="32" t="str">
        <f t="shared" si="414"/>
        <v>1-20.035155034925i</v>
      </c>
      <c r="X492" s="18">
        <f t="shared" si="428"/>
        <v>20.060095644674295</v>
      </c>
      <c r="Y492" s="18">
        <f t="shared" si="429"/>
        <v>-1.5209254460430253</v>
      </c>
      <c r="Z492" s="32" t="str">
        <f t="shared" si="415"/>
        <v>-5.23956967025213+9.16186907043166i</v>
      </c>
      <c r="AA492" s="18">
        <f t="shared" si="430"/>
        <v>10.554285157847419</v>
      </c>
      <c r="AB492" s="18">
        <f t="shared" si="431"/>
        <v>2.0902892613073201</v>
      </c>
      <c r="AC492" s="67" t="str">
        <f t="shared" si="432"/>
        <v>-0.0282474754165456+0.049376960391098i</v>
      </c>
      <c r="AD492" s="65">
        <f t="shared" si="433"/>
        <v>-24.899909388408446</v>
      </c>
      <c r="AE492" s="62">
        <f t="shared" si="434"/>
        <v>119.7729260346308</v>
      </c>
      <c r="AF492" s="50" t="str">
        <f t="shared" si="416"/>
        <v>79.1527877025864</v>
      </c>
      <c r="AG492" s="50" t="str">
        <f t="shared" si="417"/>
        <v>1+1682.87432510705i</v>
      </c>
      <c r="AH492" s="50">
        <f t="shared" si="435"/>
        <v>1682.8746222177422</v>
      </c>
      <c r="AI492" s="50">
        <f t="shared" si="436"/>
        <v>1.5702021054276911</v>
      </c>
      <c r="AJ492" s="50" t="str">
        <f t="shared" si="418"/>
        <v>1+1.51926154349942i</v>
      </c>
      <c r="AK492" s="50">
        <f t="shared" si="437"/>
        <v>1.8188335925961561</v>
      </c>
      <c r="AL492" s="50">
        <f t="shared" si="438"/>
        <v>0.98866806131302132</v>
      </c>
      <c r="AM492" s="50" t="str">
        <f t="shared" si="419"/>
        <v>1-7.00946643545655i</v>
      </c>
      <c r="AN492" s="50">
        <f t="shared" si="439"/>
        <v>7.08043923141721</v>
      </c>
      <c r="AO492" s="50">
        <f t="shared" si="440"/>
        <v>-1.4290883503121909</v>
      </c>
      <c r="AP492" s="59" t="str">
        <f t="shared" si="441"/>
        <v>-0.257902179714902-0.548065625430675i</v>
      </c>
      <c r="AQ492" s="50">
        <f t="shared" si="442"/>
        <v>-4.3546475964616951</v>
      </c>
      <c r="AR492" s="62">
        <f t="shared" si="443"/>
        <v>-115.20017739514699</v>
      </c>
      <c r="AS492" s="32" t="str">
        <f t="shared" si="420"/>
        <v>-0.0000166666666666667</v>
      </c>
      <c r="AT492" s="32" t="str">
        <f t="shared" si="421"/>
        <v>0.0117397482906773i</v>
      </c>
      <c r="AU492" s="32">
        <f t="shared" si="444"/>
        <v>1.1739748290677299E-2</v>
      </c>
      <c r="AV492" s="32">
        <f t="shared" si="445"/>
        <v>1.5707963267948966</v>
      </c>
      <c r="AW492" s="32" t="str">
        <f t="shared" si="422"/>
        <v>1+11.9306715327748i</v>
      </c>
      <c r="AX492" s="32">
        <f t="shared" si="446"/>
        <v>11.972506973184981</v>
      </c>
      <c r="AY492" s="32">
        <f t="shared" si="447"/>
        <v>1.487174208483667</v>
      </c>
      <c r="AZ492" s="32" t="str">
        <f t="shared" si="423"/>
        <v>1+405.642832114345i</v>
      </c>
      <c r="BA492" s="32">
        <f t="shared" si="448"/>
        <v>405.64406472392358</v>
      </c>
      <c r="BB492" s="32">
        <f t="shared" si="449"/>
        <v>1.5683311088862739</v>
      </c>
      <c r="BC492" s="59" t="str">
        <f t="shared" si="450"/>
        <v>-0.00389940726005219+0.0479422255578683i</v>
      </c>
      <c r="BD492" s="50">
        <f t="shared" si="451"/>
        <v>-26.357000171344733</v>
      </c>
      <c r="BE492" s="62">
        <f t="shared" si="452"/>
        <v>94.649947871432943</v>
      </c>
      <c r="BF492" s="59" t="str">
        <f t="shared" si="453"/>
        <v>-0.00225709296171453-0.00154678771568873i</v>
      </c>
      <c r="BG492" s="65">
        <f t="shared" si="454"/>
        <v>-51.256909559753161</v>
      </c>
      <c r="BH492" s="62">
        <f t="shared" si="455"/>
        <v>-145.57712609393622</v>
      </c>
      <c r="BI492" s="59" t="str">
        <f t="shared" si="409"/>
        <v>0.0272811514668752-0.0102272733929683i</v>
      </c>
      <c r="BJ492" s="65">
        <f t="shared" si="456"/>
        <v>-30.711647767806411</v>
      </c>
      <c r="BK492" s="62">
        <f t="shared" si="410"/>
        <v>-20.550229523714016</v>
      </c>
      <c r="BL492" s="50">
        <f t="shared" si="457"/>
        <v>-51.256909559753161</v>
      </c>
      <c r="BM492" s="62">
        <f t="shared" si="458"/>
        <v>-145.57712609393622</v>
      </c>
    </row>
    <row r="493" spans="14:65" x14ac:dyDescent="0.3">
      <c r="N493" s="11">
        <v>75</v>
      </c>
      <c r="O493" s="51">
        <f t="shared" si="459"/>
        <v>562341.32519035018</v>
      </c>
      <c r="P493" s="49" t="str">
        <f t="shared" si="411"/>
        <v>27.9103246607183</v>
      </c>
      <c r="Q493" s="18" t="str">
        <f t="shared" si="412"/>
        <v>1+1735.63110427331i</v>
      </c>
      <c r="R493" s="18">
        <f t="shared" si="424"/>
        <v>1735.6313923529356</v>
      </c>
      <c r="S493" s="18">
        <f t="shared" si="425"/>
        <v>1.5702201675598584</v>
      </c>
      <c r="T493" s="18" t="str">
        <f t="shared" si="413"/>
        <v>1+1.5546496909046i</v>
      </c>
      <c r="U493" s="18">
        <f t="shared" si="426"/>
        <v>1.8484955129590572</v>
      </c>
      <c r="V493" s="18">
        <f t="shared" si="427"/>
        <v>0.99919384594341176</v>
      </c>
      <c r="W493" s="32" t="str">
        <f t="shared" si="414"/>
        <v>1-20.5018337464972i</v>
      </c>
      <c r="X493" s="18">
        <f t="shared" si="428"/>
        <v>20.526207320618472</v>
      </c>
      <c r="Y493" s="18">
        <f t="shared" si="429"/>
        <v>-1.5220588282039458</v>
      </c>
      <c r="Z493" s="32" t="str">
        <f t="shared" si="415"/>
        <v>-5.53363152927353+9.37527641596652i</v>
      </c>
      <c r="AA493" s="18">
        <f t="shared" si="430"/>
        <v>10.886546090360714</v>
      </c>
      <c r="AB493" s="18">
        <f t="shared" si="431"/>
        <v>2.1040059451165192</v>
      </c>
      <c r="AC493" s="67" t="str">
        <f t="shared" si="432"/>
        <v>-0.0276191217977864+0.0487681744049998i</v>
      </c>
      <c r="AD493" s="65">
        <f t="shared" si="433"/>
        <v>-25.02911224094678</v>
      </c>
      <c r="AE493" s="62">
        <f t="shared" si="434"/>
        <v>119.52439402817348</v>
      </c>
      <c r="AF493" s="50" t="str">
        <f t="shared" si="416"/>
        <v>79.1527877025864</v>
      </c>
      <c r="AG493" s="50" t="str">
        <f t="shared" si="417"/>
        <v>1+1722.07350377125i</v>
      </c>
      <c r="AH493" s="50">
        <f t="shared" si="435"/>
        <v>1722.0737941188784</v>
      </c>
      <c r="AI493" s="50">
        <f t="shared" si="436"/>
        <v>1.5702156315542999</v>
      </c>
      <c r="AJ493" s="50" t="str">
        <f t="shared" si="418"/>
        <v>1+1.5546496909046i</v>
      </c>
      <c r="AK493" s="50">
        <f t="shared" si="437"/>
        <v>1.8484955129590572</v>
      </c>
      <c r="AL493" s="50">
        <f t="shared" si="438"/>
        <v>0.99919384594341176</v>
      </c>
      <c r="AM493" s="50" t="str">
        <f t="shared" si="419"/>
        <v>1-7.17273788302986i</v>
      </c>
      <c r="AN493" s="50">
        <f t="shared" si="439"/>
        <v>7.2421107930389796</v>
      </c>
      <c r="AO493" s="50">
        <f t="shared" si="440"/>
        <v>-1.4322724423501165</v>
      </c>
      <c r="AP493" s="59" t="str">
        <f t="shared" si="441"/>
        <v>-0.257903441715363-0.558658456258448i</v>
      </c>
      <c r="AQ493" s="50">
        <f t="shared" si="442"/>
        <v>-4.2180395518547318</v>
      </c>
      <c r="AR493" s="62">
        <f t="shared" si="443"/>
        <v>-114.78030438508418</v>
      </c>
      <c r="AS493" s="32" t="str">
        <f t="shared" si="420"/>
        <v>-0.0000166666666666667</v>
      </c>
      <c r="AT493" s="32" t="str">
        <f t="shared" si="421"/>
        <v>0.0120132021569901i</v>
      </c>
      <c r="AU493" s="32">
        <f t="shared" si="444"/>
        <v>1.20132021569901E-2</v>
      </c>
      <c r="AV493" s="32">
        <f t="shared" si="445"/>
        <v>1.5707963267948966</v>
      </c>
      <c r="AW493" s="32" t="str">
        <f t="shared" si="422"/>
        <v>1+12.208572572692i</v>
      </c>
      <c r="AX493" s="32">
        <f t="shared" si="446"/>
        <v>12.249458937548523</v>
      </c>
      <c r="AY493" s="32">
        <f t="shared" si="447"/>
        <v>1.4890691177824011</v>
      </c>
      <c r="AZ493" s="32" t="str">
        <f t="shared" si="423"/>
        <v>1+415.091467471528i</v>
      </c>
      <c r="BA493" s="32">
        <f t="shared" si="448"/>
        <v>415.09267202356943</v>
      </c>
      <c r="BB493" s="32">
        <f t="shared" si="449"/>
        <v>1.5683872238771752</v>
      </c>
      <c r="BC493" s="59" t="str">
        <f t="shared" si="450"/>
        <v>-0.00372507465415599+0.0468652067946759i</v>
      </c>
      <c r="BD493" s="50">
        <f t="shared" si="451"/>
        <v>-26.555637510004185</v>
      </c>
      <c r="BE493" s="62">
        <f t="shared" si="452"/>
        <v>94.544592718201429</v>
      </c>
      <c r="BF493" s="59" t="str">
        <f t="shared" si="453"/>
        <v>-0.00218264728791015-0.00147604094494612i</v>
      </c>
      <c r="BG493" s="65">
        <f t="shared" si="454"/>
        <v>-51.584749750950991</v>
      </c>
      <c r="BH493" s="62">
        <f t="shared" si="455"/>
        <v>-145.93101325362511</v>
      </c>
      <c r="BI493" s="59" t="str">
        <f t="shared" si="409"/>
        <v>0.0271423536541001-0.0100056536733109i</v>
      </c>
      <c r="BJ493" s="65">
        <f t="shared" si="456"/>
        <v>-30.773677061858905</v>
      </c>
      <c r="BK493" s="62">
        <f t="shared" si="410"/>
        <v>-20.235711666882771</v>
      </c>
      <c r="BL493" s="50">
        <f t="shared" si="457"/>
        <v>-51.584749750950991</v>
      </c>
      <c r="BM493" s="62">
        <f t="shared" si="458"/>
        <v>-145.93101325362511</v>
      </c>
    </row>
    <row r="494" spans="14:65" x14ac:dyDescent="0.3">
      <c r="N494" s="11">
        <v>76</v>
      </c>
      <c r="O494" s="51">
        <f t="shared" si="459"/>
        <v>575439.93733715697</v>
      </c>
      <c r="P494" s="49" t="str">
        <f t="shared" si="411"/>
        <v>27.9103246607183</v>
      </c>
      <c r="Q494" s="18" t="str">
        <f t="shared" si="412"/>
        <v>1+1776.05914618738i</v>
      </c>
      <c r="R494" s="18">
        <f t="shared" si="424"/>
        <v>1776.0594277095136</v>
      </c>
      <c r="S494" s="18">
        <f t="shared" si="425"/>
        <v>1.5702332825424157</v>
      </c>
      <c r="T494" s="18" t="str">
        <f t="shared" si="413"/>
        <v>1+1.59086213415412i</v>
      </c>
      <c r="U494" s="18">
        <f t="shared" si="426"/>
        <v>1.879053572915206</v>
      </c>
      <c r="V494" s="18">
        <f t="shared" si="427"/>
        <v>1.0096196157644477</v>
      </c>
      <c r="W494" s="32" t="str">
        <f t="shared" si="414"/>
        <v>1-20.9793828016957i</v>
      </c>
      <c r="X494" s="18">
        <f t="shared" si="428"/>
        <v>21.003202202047316</v>
      </c>
      <c r="Y494" s="18">
        <f t="shared" si="429"/>
        <v>-1.5231665325367574</v>
      </c>
      <c r="Z494" s="32" t="str">
        <f t="shared" si="415"/>
        <v>-5.84155209674778+9.59365465715355i</v>
      </c>
      <c r="AA494" s="18">
        <f t="shared" si="430"/>
        <v>11.232183250808472</v>
      </c>
      <c r="AB494" s="18">
        <f t="shared" si="431"/>
        <v>2.1177324155520214</v>
      </c>
      <c r="AC494" s="67" t="str">
        <f t="shared" si="432"/>
        <v>-0.0269975993779433+0.0481661466323806i</v>
      </c>
      <c r="AD494" s="65">
        <f t="shared" si="433"/>
        <v>-25.158642191683661</v>
      </c>
      <c r="AE494" s="62">
        <f t="shared" si="434"/>
        <v>119.27105959716103</v>
      </c>
      <c r="AF494" s="50" t="str">
        <f t="shared" si="416"/>
        <v>79.1527877025864</v>
      </c>
      <c r="AG494" s="50" t="str">
        <f t="shared" si="417"/>
        <v>1+1762.18574860148i</v>
      </c>
      <c r="AH494" s="50">
        <f t="shared" si="435"/>
        <v>1762.186032339991</v>
      </c>
      <c r="AI494" s="50">
        <f t="shared" si="436"/>
        <v>1.5702288497888828</v>
      </c>
      <c r="AJ494" s="50" t="str">
        <f t="shared" si="418"/>
        <v>1+1.59086213415412i</v>
      </c>
      <c r="AK494" s="50">
        <f t="shared" si="437"/>
        <v>1.879053572915206</v>
      </c>
      <c r="AL494" s="50">
        <f t="shared" si="438"/>
        <v>1.0096196157644477</v>
      </c>
      <c r="AM494" s="50" t="str">
        <f t="shared" si="419"/>
        <v>1-7.33981241117113i</v>
      </c>
      <c r="AN494" s="50">
        <f t="shared" si="439"/>
        <v>7.4076208212341541</v>
      </c>
      <c r="AO494" s="50">
        <f t="shared" si="440"/>
        <v>-1.4353867896158963</v>
      </c>
      <c r="AP494" s="59" t="str">
        <f t="shared" si="441"/>
        <v>-0.257904646916484-0.569547495128468i</v>
      </c>
      <c r="AQ494" s="50">
        <f t="shared" si="442"/>
        <v>-4.0793526714241448</v>
      </c>
      <c r="AR494" s="62">
        <f t="shared" si="443"/>
        <v>-114.36214807948539</v>
      </c>
      <c r="AS494" s="32" t="str">
        <f t="shared" si="420"/>
        <v>-0.0000166666666666667</v>
      </c>
      <c r="AT494" s="32" t="str">
        <f t="shared" si="421"/>
        <v>0.0122930255821i</v>
      </c>
      <c r="AU494" s="32">
        <f t="shared" si="444"/>
        <v>1.2293025582099999E-2</v>
      </c>
      <c r="AV494" s="32">
        <f t="shared" si="445"/>
        <v>1.5707963267948966</v>
      </c>
      <c r="AW494" s="32" t="str">
        <f t="shared" si="422"/>
        <v>1+12.4929467593867i</v>
      </c>
      <c r="AX494" s="32">
        <f t="shared" si="446"/>
        <v>12.532905438599249</v>
      </c>
      <c r="AY494" s="32">
        <f t="shared" si="447"/>
        <v>1.4909214622440319</v>
      </c>
      <c r="AZ494" s="32" t="str">
        <f t="shared" si="423"/>
        <v>1+424.760189819149i</v>
      </c>
      <c r="BA494" s="32">
        <f t="shared" si="448"/>
        <v>424.76136695231531</v>
      </c>
      <c r="BB494" s="32">
        <f t="shared" si="449"/>
        <v>1.568442061549598</v>
      </c>
      <c r="BC494" s="59" t="str">
        <f t="shared" si="450"/>
        <v>-0.00355848604838074+0.0458117590601893i</v>
      </c>
      <c r="BD494" s="50">
        <f t="shared" si="451"/>
        <v>-26.754335778585904</v>
      </c>
      <c r="BE494" s="62">
        <f t="shared" si="452"/>
        <v>94.441603165533706</v>
      </c>
      <c r="BF494" s="59" t="str">
        <f t="shared" si="453"/>
        <v>-0.00211050532365418-0.00140820607870144i</v>
      </c>
      <c r="BG494" s="65">
        <f t="shared" si="454"/>
        <v>-51.91297797026958</v>
      </c>
      <c r="BH494" s="62">
        <f t="shared" si="455"/>
        <v>-146.28733723730525</v>
      </c>
      <c r="BI494" s="59" t="str">
        <f t="shared" si="409"/>
        <v>0.0270097227080246-0.00978833872973631i</v>
      </c>
      <c r="BJ494" s="65">
        <f t="shared" si="456"/>
        <v>-30.833688450010044</v>
      </c>
      <c r="BK494" s="62">
        <f t="shared" si="410"/>
        <v>-19.920544913951669</v>
      </c>
      <c r="BL494" s="50">
        <f t="shared" si="457"/>
        <v>-51.91297797026958</v>
      </c>
      <c r="BM494" s="62">
        <f t="shared" si="458"/>
        <v>-146.28733723730525</v>
      </c>
    </row>
    <row r="495" spans="14:65" x14ac:dyDescent="0.3">
      <c r="N495" s="11">
        <v>77</v>
      </c>
      <c r="O495" s="51">
        <f t="shared" si="459"/>
        <v>588843.65535558888</v>
      </c>
      <c r="P495" s="49" t="str">
        <f t="shared" si="411"/>
        <v>27.9103246607183</v>
      </c>
      <c r="Q495" s="18" t="str">
        <f t="shared" si="412"/>
        <v>1+1817.42887816968i</v>
      </c>
      <c r="R495" s="18">
        <f t="shared" si="424"/>
        <v>1817.4291532835884</v>
      </c>
      <c r="S495" s="18">
        <f t="shared" si="425"/>
        <v>1.57024609899171</v>
      </c>
      <c r="T495" s="18" t="str">
        <f t="shared" si="413"/>
        <v>1+1.62791807356471i</v>
      </c>
      <c r="U495" s="18">
        <f t="shared" si="426"/>
        <v>1.9105280040445982</v>
      </c>
      <c r="V495" s="18">
        <f t="shared" si="427"/>
        <v>1.0199418324053648</v>
      </c>
      <c r="W495" s="32" t="str">
        <f t="shared" si="414"/>
        <v>1-21.4680554033505i</v>
      </c>
      <c r="X495" s="18">
        <f t="shared" si="428"/>
        <v>21.491333202045116</v>
      </c>
      <c r="Y495" s="18">
        <f t="shared" si="429"/>
        <v>-1.5242491354814747</v>
      </c>
      <c r="Z495" s="32" t="str">
        <f t="shared" si="415"/>
        <v>-6.16398451348207+9.81711958102685i</v>
      </c>
      <c r="AA495" s="18">
        <f t="shared" si="430"/>
        <v>11.591830828243982</v>
      </c>
      <c r="AB495" s="18">
        <f t="shared" si="431"/>
        <v>2.1314648112790877</v>
      </c>
      <c r="AC495" s="67" t="str">
        <f t="shared" si="432"/>
        <v>-0.02638273520243+0.0475704368917036i</v>
      </c>
      <c r="AD495" s="65">
        <f t="shared" si="433"/>
        <v>-25.288557418594564</v>
      </c>
      <c r="AE495" s="62">
        <f t="shared" si="434"/>
        <v>119.01290782006708</v>
      </c>
      <c r="AF495" s="50" t="str">
        <f t="shared" si="416"/>
        <v>79.1527877025864</v>
      </c>
      <c r="AG495" s="50" t="str">
        <f t="shared" si="417"/>
        <v>1+1803.23232764091i</v>
      </c>
      <c r="AH495" s="50">
        <f t="shared" si="435"/>
        <v>1803.2326049207447</v>
      </c>
      <c r="AI495" s="50">
        <f t="shared" si="436"/>
        <v>1.570241767139904</v>
      </c>
      <c r="AJ495" s="50" t="str">
        <f t="shared" si="418"/>
        <v>1+1.62791807356471i</v>
      </c>
      <c r="AK495" s="50">
        <f t="shared" si="437"/>
        <v>1.9105280040445982</v>
      </c>
      <c r="AL495" s="50">
        <f t="shared" si="438"/>
        <v>1.0199418324053648</v>
      </c>
      <c r="AM495" s="50" t="str">
        <f t="shared" si="419"/>
        <v>1-7.51077860500673i</v>
      </c>
      <c r="AN495" s="50">
        <f t="shared" si="439"/>
        <v>7.5770571631357546</v>
      </c>
      <c r="AO495" s="50">
        <f t="shared" si="440"/>
        <v>-1.4384328015981827</v>
      </c>
      <c r="AP495" s="59" t="str">
        <f t="shared" si="441"/>
        <v>-0.257905797874653-0.58073851555767i</v>
      </c>
      <c r="AQ495" s="50">
        <f t="shared" si="442"/>
        <v>-3.93863129760802</v>
      </c>
      <c r="AR495" s="62">
        <f t="shared" si="443"/>
        <v>-113.94599237136846</v>
      </c>
      <c r="AS495" s="32" t="str">
        <f t="shared" si="420"/>
        <v>-0.0000166666666666667</v>
      </c>
      <c r="AT495" s="32" t="str">
        <f t="shared" si="421"/>
        <v>0.0125793669320909i</v>
      </c>
      <c r="AU495" s="32">
        <f t="shared" si="444"/>
        <v>1.2579366932090901E-2</v>
      </c>
      <c r="AV495" s="32">
        <f t="shared" si="445"/>
        <v>1.5707963267948966</v>
      </c>
      <c r="AW495" s="32" t="str">
        <f t="shared" si="422"/>
        <v>1+12.783944871817i</v>
      </c>
      <c r="AX495" s="32">
        <f t="shared" si="446"/>
        <v>12.82299678256437</v>
      </c>
      <c r="AY495" s="32">
        <f t="shared" si="447"/>
        <v>1.4927321731319569</v>
      </c>
      <c r="AZ495" s="32" t="str">
        <f t="shared" si="423"/>
        <v>1+434.654125641778i</v>
      </c>
      <c r="BA495" s="32">
        <f t="shared" si="448"/>
        <v>434.65527598019395</v>
      </c>
      <c r="BB495" s="32">
        <f t="shared" si="449"/>
        <v>1.568495650977882</v>
      </c>
      <c r="BC495" s="59" t="str">
        <f t="shared" si="450"/>
        <v>-0.00339930181901649+0.0447814079974826i</v>
      </c>
      <c r="BD495" s="50">
        <f t="shared" si="451"/>
        <v>-26.953092269763246</v>
      </c>
      <c r="BE495" s="62">
        <f t="shared" si="452"/>
        <v>94.340927521804403</v>
      </c>
      <c r="BF495" s="59" t="str">
        <f t="shared" si="453"/>
        <v>-0.00204058826330163-0.00134316230184694i</v>
      </c>
      <c r="BG495" s="65">
        <f t="shared" si="454"/>
        <v>-52.241649688357811</v>
      </c>
      <c r="BH495" s="62">
        <f t="shared" si="455"/>
        <v>-146.64616465812858</v>
      </c>
      <c r="BI495" s="59" t="str">
        <f t="shared" si="409"/>
        <v>0.0268829880528906-0.00957527926723299i</v>
      </c>
      <c r="BJ495" s="65">
        <f t="shared" si="456"/>
        <v>-30.891723567371272</v>
      </c>
      <c r="BK495" s="62">
        <f t="shared" si="410"/>
        <v>-19.605064849564059</v>
      </c>
      <c r="BL495" s="50">
        <f t="shared" si="457"/>
        <v>-52.241649688357811</v>
      </c>
      <c r="BM495" s="62">
        <f t="shared" si="458"/>
        <v>-146.64616465812858</v>
      </c>
    </row>
    <row r="496" spans="14:65" x14ac:dyDescent="0.3">
      <c r="N496" s="11">
        <v>78</v>
      </c>
      <c r="O496" s="51">
        <f t="shared" si="459"/>
        <v>602559.58607435878</v>
      </c>
      <c r="P496" s="49" t="str">
        <f t="shared" si="411"/>
        <v>27.9103246607183</v>
      </c>
      <c r="Q496" s="18" t="str">
        <f t="shared" si="412"/>
        <v>1+1859.76223499971i</v>
      </c>
      <c r="R496" s="18">
        <f t="shared" si="424"/>
        <v>1859.7625038512622</v>
      </c>
      <c r="S496" s="18">
        <f t="shared" si="425"/>
        <v>1.5702586237031757</v>
      </c>
      <c r="T496" s="18" t="str">
        <f t="shared" si="413"/>
        <v>1+1.66583715668595i</v>
      </c>
      <c r="U496" s="18">
        <f t="shared" si="426"/>
        <v>1.9429393795472698</v>
      </c>
      <c r="V496" s="18">
        <f t="shared" si="427"/>
        <v>1.0301571699709027</v>
      </c>
      <c r="W496" s="32" t="str">
        <f t="shared" si="414"/>
        <v>1-21.9681106521436i</v>
      </c>
      <c r="X496" s="18">
        <f t="shared" si="428"/>
        <v>21.990859137942408</v>
      </c>
      <c r="Y496" s="18">
        <f t="shared" si="429"/>
        <v>-1.5253072008920001</v>
      </c>
      <c r="Z496" s="32" t="str">
        <f t="shared" si="415"/>
        <v>-6.50161270186159+10.0457896716469i</v>
      </c>
      <c r="AA496" s="18">
        <f t="shared" si="430"/>
        <v>11.966154681098498</v>
      </c>
      <c r="AB496" s="18">
        <f t="shared" si="431"/>
        <v>2.1451990930782427</v>
      </c>
      <c r="AC496" s="67" t="str">
        <f t="shared" si="432"/>
        <v>-0.0257743924886745+0.0469806171285727i</v>
      </c>
      <c r="AD496" s="65">
        <f t="shared" si="433"/>
        <v>-25.418915281582848</v>
      </c>
      <c r="AE496" s="62">
        <f t="shared" si="434"/>
        <v>118.74994687156048</v>
      </c>
      <c r="AF496" s="50" t="str">
        <f t="shared" si="416"/>
        <v>79.1527877025864</v>
      </c>
      <c r="AG496" s="50" t="str">
        <f t="shared" si="417"/>
        <v>1+1845.23500432905i</v>
      </c>
      <c r="AH496" s="50">
        <f t="shared" si="435"/>
        <v>1845.2352752972258</v>
      </c>
      <c r="AI496" s="50">
        <f t="shared" si="436"/>
        <v>1.5702543904562971</v>
      </c>
      <c r="AJ496" s="50" t="str">
        <f t="shared" si="418"/>
        <v>1+1.66583715668595i</v>
      </c>
      <c r="AK496" s="50">
        <f t="shared" si="437"/>
        <v>1.9429393795472698</v>
      </c>
      <c r="AL496" s="50">
        <f t="shared" si="438"/>
        <v>1.0301571699709027</v>
      </c>
      <c r="AM496" s="50" t="str">
        <f t="shared" si="419"/>
        <v>1-7.6857271130756i</v>
      </c>
      <c r="AN496" s="50">
        <f t="shared" si="439"/>
        <v>7.7505097417308884</v>
      </c>
      <c r="AO496" s="50">
        <f t="shared" si="440"/>
        <v>-1.4414118671216558</v>
      </c>
      <c r="AP496" s="59" t="str">
        <f t="shared" si="441"/>
        <v>-0.257906897031204-0.592237451177338i</v>
      </c>
      <c r="AQ496" s="50">
        <f t="shared" si="442"/>
        <v>-3.7959203256003664</v>
      </c>
      <c r="AR496" s="62">
        <f t="shared" si="443"/>
        <v>-113.5321077867025</v>
      </c>
      <c r="AS496" s="32" t="str">
        <f t="shared" si="420"/>
        <v>-0.0000166666666666667</v>
      </c>
      <c r="AT496" s="32" t="str">
        <f t="shared" si="421"/>
        <v>0.0128723780289369i</v>
      </c>
      <c r="AU496" s="32">
        <f t="shared" si="444"/>
        <v>1.28723780289369E-2</v>
      </c>
      <c r="AV496" s="32">
        <f t="shared" si="445"/>
        <v>1.5707963267948966</v>
      </c>
      <c r="AW496" s="32" t="str">
        <f t="shared" si="422"/>
        <v>1+13.0817212010338i</v>
      </c>
      <c r="AX496" s="32">
        <f t="shared" si="446"/>
        <v>13.119886797590031</v>
      </c>
      <c r="AY496" s="32">
        <f t="shared" si="447"/>
        <v>1.4945021629887052</v>
      </c>
      <c r="AZ496" s="32" t="str">
        <f t="shared" si="423"/>
        <v>1+444.778520835149i</v>
      </c>
      <c r="BA496" s="32">
        <f t="shared" si="448"/>
        <v>444.77964498873263</v>
      </c>
      <c r="BB496" s="32">
        <f t="shared" si="449"/>
        <v>1.5685480205746198</v>
      </c>
      <c r="BC496" s="59" t="str">
        <f t="shared" si="450"/>
        <v>-0.00324719685438562+0.0437736859918354i</v>
      </c>
      <c r="BD496" s="50">
        <f t="shared" si="451"/>
        <v>-27.151904395010135</v>
      </c>
      <c r="BE496" s="62">
        <f t="shared" si="452"/>
        <v>94.242515130099648</v>
      </c>
      <c r="BF496" s="59" t="str">
        <f t="shared" si="453"/>
        <v>-0.00197282025567586-0.00128079547558655i</v>
      </c>
      <c r="BG496" s="65">
        <f t="shared" si="454"/>
        <v>-52.570819676592997</v>
      </c>
      <c r="BH496" s="62">
        <f t="shared" si="455"/>
        <v>-147.00753799833996</v>
      </c>
      <c r="BI496" s="59" t="str">
        <f t="shared" si="409"/>
        <v>0.0267618906852058-0.00936642393726014i</v>
      </c>
      <c r="BJ496" s="65">
        <f t="shared" si="456"/>
        <v>-30.947824720610512</v>
      </c>
      <c r="BK496" s="62">
        <f t="shared" si="410"/>
        <v>-19.289592656602867</v>
      </c>
      <c r="BL496" s="50">
        <f t="shared" si="457"/>
        <v>-52.570819676592997</v>
      </c>
      <c r="BM496" s="62">
        <f t="shared" si="458"/>
        <v>-147.00753799833996</v>
      </c>
    </row>
    <row r="497" spans="14:65" x14ac:dyDescent="0.3">
      <c r="N497" s="11">
        <v>79</v>
      </c>
      <c r="O497" s="51">
        <f t="shared" si="459"/>
        <v>616595.00186148309</v>
      </c>
      <c r="P497" s="49" t="str">
        <f t="shared" si="411"/>
        <v>27.9103246607183</v>
      </c>
      <c r="Q497" s="18" t="str">
        <f t="shared" si="412"/>
        <v>1+1903.0816623836i</v>
      </c>
      <c r="R497" s="18">
        <f t="shared" si="424"/>
        <v>1903.0819251153446</v>
      </c>
      <c r="S497" s="18">
        <f t="shared" si="425"/>
        <v>1.5702708633175646</v>
      </c>
      <c r="T497" s="18" t="str">
        <f t="shared" si="413"/>
        <v>1+1.70463948871764i</v>
      </c>
      <c r="U497" s="18">
        <f t="shared" si="426"/>
        <v>1.9763086263272589</v>
      </c>
      <c r="V497" s="18">
        <f t="shared" si="427"/>
        <v>1.0402625163011003</v>
      </c>
      <c r="W497" s="32" t="str">
        <f t="shared" si="414"/>
        <v>1-22.4798136839867i</v>
      </c>
      <c r="X497" s="18">
        <f t="shared" si="428"/>
        <v>22.502044868561512</v>
      </c>
      <c r="Y497" s="18">
        <f t="shared" si="429"/>
        <v>-1.5263412802871734</v>
      </c>
      <c r="Z497" s="32" t="str">
        <f t="shared" si="415"/>
        <v>-6.85515281654054+10.2797861729227i</v>
      </c>
      <c r="AA497" s="18">
        <f t="shared" si="430"/>
        <v>12.355853831246808</v>
      </c>
      <c r="AB497" s="18">
        <f t="shared" si="431"/>
        <v>2.1589310548792935</v>
      </c>
      <c r="AC497" s="67" t="str">
        <f t="shared" si="432"/>
        <v>-0.0251724689140222+0.0463962733303866i</v>
      </c>
      <c r="AD497" s="65">
        <f t="shared" si="433"/>
        <v>-25.549772110203492</v>
      </c>
      <c r="AE497" s="62">
        <f t="shared" si="434"/>
        <v>118.48220744789147</v>
      </c>
      <c r="AF497" s="50" t="str">
        <f t="shared" si="416"/>
        <v>79.1527877025864</v>
      </c>
      <c r="AG497" s="50" t="str">
        <f t="shared" si="417"/>
        <v>1+1888.21604904107i</v>
      </c>
      <c r="AH497" s="50">
        <f t="shared" si="435"/>
        <v>1888.2163138412579</v>
      </c>
      <c r="AI497" s="50">
        <f t="shared" si="436"/>
        <v>1.5702667264310952</v>
      </c>
      <c r="AJ497" s="50" t="str">
        <f t="shared" si="418"/>
        <v>1+1.70463948871764i</v>
      </c>
      <c r="AK497" s="50">
        <f t="shared" si="437"/>
        <v>1.9763086263272589</v>
      </c>
      <c r="AL497" s="50">
        <f t="shared" si="438"/>
        <v>1.0402625163011003</v>
      </c>
      <c r="AM497" s="50" t="str">
        <f t="shared" si="419"/>
        <v>1-7.86475069539246i</v>
      </c>
      <c r="AN497" s="50">
        <f t="shared" si="439"/>
        <v>7.9280706039159474</v>
      </c>
      <c r="AO497" s="50">
        <f t="shared" si="440"/>
        <v>-1.4443253541045362</v>
      </c>
      <c r="AP497" s="59" t="str">
        <f t="shared" si="441"/>
        <v>-0.257907946717586-0.60405039887918i</v>
      </c>
      <c r="AQ497" s="50">
        <f t="shared" si="442"/>
        <v>-3.6512651024548926</v>
      </c>
      <c r="AR497" s="62">
        <f t="shared" si="443"/>
        <v>-113.12075139854147</v>
      </c>
      <c r="AS497" s="32" t="str">
        <f t="shared" si="420"/>
        <v>-0.0000166666666666667</v>
      </c>
      <c r="AT497" s="32" t="str">
        <f t="shared" si="421"/>
        <v>0.0131722142309999i</v>
      </c>
      <c r="AU497" s="32">
        <f t="shared" si="444"/>
        <v>1.31722142309999E-2</v>
      </c>
      <c r="AV497" s="32">
        <f t="shared" si="445"/>
        <v>1.5707963267948966</v>
      </c>
      <c r="AW497" s="32" t="str">
        <f t="shared" si="422"/>
        <v>1+13.3864336319885i</v>
      </c>
      <c r="AX497" s="32">
        <f t="shared" si="446"/>
        <v>13.423732915386569</v>
      </c>
      <c r="AY497" s="32">
        <f t="shared" si="447"/>
        <v>1.4962323259004364</v>
      </c>
      <c r="AZ497" s="32" t="str">
        <f t="shared" si="423"/>
        <v>1+455.138743487608i</v>
      </c>
      <c r="BA497" s="32">
        <f t="shared" si="448"/>
        <v>455.1398420523945</v>
      </c>
      <c r="BB497" s="32">
        <f t="shared" si="449"/>
        <v>1.568599198105715</v>
      </c>
      <c r="BC497" s="59" t="str">
        <f t="shared" si="450"/>
        <v>-0.00310185996838411+0.0427881322777461i</v>
      </c>
      <c r="BD497" s="50">
        <f t="shared" si="451"/>
        <v>-27.350769679518908</v>
      </c>
      <c r="BE497" s="62">
        <f t="shared" si="452"/>
        <v>94.14631635392503</v>
      </c>
      <c r="BF497" s="59" t="str">
        <f t="shared" si="453"/>
        <v>-0.00190712840682525-0.00122099767257637i</v>
      </c>
      <c r="BG497" s="65">
        <f t="shared" si="454"/>
        <v>-52.900541789722382</v>
      </c>
      <c r="BH497" s="62">
        <f t="shared" si="455"/>
        <v>-147.37147619818347</v>
      </c>
      <c r="BI497" s="59" t="str">
        <f t="shared" si="409"/>
        <v>0.0266461827051191-0.00916171958846418i</v>
      </c>
      <c r="BJ497" s="65">
        <f t="shared" si="456"/>
        <v>-31.002034781973794</v>
      </c>
      <c r="BK497" s="62">
        <f t="shared" si="410"/>
        <v>-18.974435044616417</v>
      </c>
      <c r="BL497" s="50">
        <f t="shared" si="457"/>
        <v>-52.900541789722382</v>
      </c>
      <c r="BM497" s="62">
        <f t="shared" si="458"/>
        <v>-147.37147619818347</v>
      </c>
    </row>
    <row r="498" spans="14:65" x14ac:dyDescent="0.3">
      <c r="N498" s="11">
        <v>80</v>
      </c>
      <c r="O498" s="51">
        <f t="shared" si="459"/>
        <v>630957.34448019415</v>
      </c>
      <c r="P498" s="49" t="str">
        <f t="shared" si="411"/>
        <v>27.9103246607183</v>
      </c>
      <c r="Q498" s="18" t="str">
        <f t="shared" si="412"/>
        <v>1+1947.41012885514i</v>
      </c>
      <c r="R498" s="18">
        <f t="shared" si="424"/>
        <v>1947.4103856063809</v>
      </c>
      <c r="S498" s="18">
        <f t="shared" si="425"/>
        <v>1.570282824324468</v>
      </c>
      <c r="T498" s="18" t="str">
        <f t="shared" si="413"/>
        <v>1+1.7443456431698i</v>
      </c>
      <c r="U498" s="18">
        <f t="shared" si="426"/>
        <v>2.01065703759877</v>
      </c>
      <c r="V498" s="18">
        <f t="shared" si="427"/>
        <v>1.0502549733541411</v>
      </c>
      <c r="W498" s="32" t="str">
        <f t="shared" si="414"/>
        <v>1-23.0034358106006i</v>
      </c>
      <c r="X498" s="18">
        <f t="shared" si="428"/>
        <v>23.025161434665815</v>
      </c>
      <c r="Y498" s="18">
        <f t="shared" si="429"/>
        <v>-1.5273519130984476</v>
      </c>
      <c r="Z498" s="32" t="str">
        <f t="shared" si="415"/>
        <v>-7.225354763502+10.5192331528964i</v>
      </c>
      <c r="AA498" s="18">
        <f t="shared" si="430"/>
        <v>12.761662022771789</v>
      </c>
      <c r="AB498" s="18">
        <f t="shared" si="431"/>
        <v>2.1726563356753568</v>
      </c>
      <c r="AC498" s="67" t="str">
        <f t="shared" si="432"/>
        <v>-0.0245768947948899+0.0458170073218389i</v>
      </c>
      <c r="AD498" s="65">
        <f t="shared" si="433"/>
        <v>-25.68118299964814</v>
      </c>
      <c r="AE498" s="62">
        <f t="shared" si="434"/>
        <v>118.20974209181246</v>
      </c>
      <c r="AF498" s="50" t="str">
        <f t="shared" si="416"/>
        <v>79.1527877025864</v>
      </c>
      <c r="AG498" s="50" t="str">
        <f t="shared" si="417"/>
        <v>1+1932.19825089578i</v>
      </c>
      <c r="AH498" s="50">
        <f t="shared" si="435"/>
        <v>1932.1985096683807</v>
      </c>
      <c r="AI498" s="50">
        <f t="shared" si="436"/>
        <v>1.5702787816049804</v>
      </c>
      <c r="AJ498" s="50" t="str">
        <f t="shared" si="418"/>
        <v>1+1.7443456431698i</v>
      </c>
      <c r="AK498" s="50">
        <f t="shared" si="437"/>
        <v>2.01065703759877</v>
      </c>
      <c r="AL498" s="50">
        <f t="shared" si="438"/>
        <v>1.0502549733541411</v>
      </c>
      <c r="AM498" s="50" t="str">
        <f t="shared" si="419"/>
        <v>1-8.04794427263028i</v>
      </c>
      <c r="AN498" s="50">
        <f t="shared" si="439"/>
        <v>8.1098339696545292</v>
      </c>
      <c r="AO498" s="50">
        <f t="shared" si="440"/>
        <v>-1.4471746093640347</v>
      </c>
      <c r="AP498" s="59" t="str">
        <f t="shared" si="441"/>
        <v>-0.257908949160327-0.616183622047994i</v>
      </c>
      <c r="AQ498" s="50">
        <f t="shared" si="442"/>
        <v>-3.5047113276154223</v>
      </c>
      <c r="AR498" s="62">
        <f t="shared" si="443"/>
        <v>-112.71216679414637</v>
      </c>
      <c r="AS498" s="32" t="str">
        <f t="shared" si="420"/>
        <v>-0.0000166666666666667</v>
      </c>
      <c r="AT498" s="32" t="str">
        <f t="shared" si="421"/>
        <v>0.013479034515403i</v>
      </c>
      <c r="AU498" s="32">
        <f t="shared" si="444"/>
        <v>1.3479034515403001E-2</v>
      </c>
      <c r="AV498" s="32">
        <f t="shared" si="445"/>
        <v>1.5707963267948966</v>
      </c>
      <c r="AW498" s="32" t="str">
        <f t="shared" si="422"/>
        <v>1+13.6982437272452i</v>
      </c>
      <c r="AX498" s="32">
        <f t="shared" si="446"/>
        <v>13.734696254777987</v>
      </c>
      <c r="AY498" s="32">
        <f t="shared" si="447"/>
        <v>1.4979235377658053</v>
      </c>
      <c r="AZ498" s="32" t="str">
        <f t="shared" si="423"/>
        <v>1+465.740286726336i</v>
      </c>
      <c r="BA498" s="32">
        <f t="shared" si="448"/>
        <v>465.74136028479336</v>
      </c>
      <c r="BB498" s="32">
        <f t="shared" si="449"/>
        <v>1.5686492107050991</v>
      </c>
      <c r="BC498" s="59" t="str">
        <f t="shared" si="450"/>
        <v>-0.00296299333472492+0.0418242930272104i</v>
      </c>
      <c r="BD498" s="50">
        <f t="shared" si="451"/>
        <v>-27.549685757324319</v>
      </c>
      <c r="BE498" s="62">
        <f t="shared" si="452"/>
        <v>94.052282562644152</v>
      </c>
      <c r="BF498" s="59" t="str">
        <f t="shared" si="453"/>
        <v>-0.00184344276439294-0.00116366673691205i</v>
      </c>
      <c r="BG498" s="65">
        <f t="shared" si="454"/>
        <v>-53.230868756972455</v>
      </c>
      <c r="BH498" s="62">
        <f t="shared" si="455"/>
        <v>-147.73797534554333</v>
      </c>
      <c r="BI498" s="59" t="str">
        <f t="shared" ref="BI498:BI560" si="460">IMPRODUCT(AP498,BC498)</f>
        <v>0.0265356268644311-0.00896111149892656i</v>
      </c>
      <c r="BJ498" s="65">
        <f t="shared" si="456"/>
        <v>-31.054397084939744</v>
      </c>
      <c r="BK498" s="62">
        <f t="shared" ref="BK498:BK560" si="461">(180/PI())*IMARGUMENT(BI498)</f>
        <v>-18.659884231502232</v>
      </c>
      <c r="BL498" s="50">
        <f t="shared" si="457"/>
        <v>-53.230868756972455</v>
      </c>
      <c r="BM498" s="62">
        <f t="shared" si="458"/>
        <v>-147.73797534554333</v>
      </c>
    </row>
    <row r="499" spans="14:65" x14ac:dyDescent="0.3">
      <c r="N499" s="11">
        <v>81</v>
      </c>
      <c r="O499" s="51">
        <f t="shared" si="459"/>
        <v>645654.22903465747</v>
      </c>
      <c r="P499" s="49" t="str">
        <f t="shared" si="411"/>
        <v>27.9103246607183</v>
      </c>
      <c r="Q499" s="18" t="str">
        <f t="shared" si="412"/>
        <v>1+1992.77113795403i</v>
      </c>
      <c r="R499" s="18">
        <f t="shared" si="424"/>
        <v>1992.7713888608998</v>
      </c>
      <c r="S499" s="18">
        <f t="shared" si="425"/>
        <v>1.5702945130657557</v>
      </c>
      <c r="T499" s="18" t="str">
        <f t="shared" si="413"/>
        <v>1+1.78497667277113i</v>
      </c>
      <c r="U499" s="18">
        <f t="shared" si="426"/>
        <v>2.046006285996476</v>
      </c>
      <c r="V499" s="18">
        <f t="shared" si="427"/>
        <v>1.0601318567531985</v>
      </c>
      <c r="W499" s="32" t="str">
        <f t="shared" si="414"/>
        <v>1-23.5392546633678i</v>
      </c>
      <c r="X499" s="18">
        <f t="shared" si="428"/>
        <v>23.560486202684416</v>
      </c>
      <c r="Y499" s="18">
        <f t="shared" si="429"/>
        <v>-1.5283396269141039</v>
      </c>
      <c r="Z499" s="32" t="str">
        <f t="shared" si="415"/>
        <v>-7.61300379070945+10.7642575695263i</v>
      </c>
      <c r="AA499" s="18">
        <f t="shared" si="430"/>
        <v>13.184349348392614</v>
      </c>
      <c r="AB499" s="18">
        <f t="shared" si="431"/>
        <v>2.1863704322595865</v>
      </c>
      <c r="AC499" s="67" t="str">
        <f t="shared" si="432"/>
        <v>-0.0239876311643816+0.0452424384304002i</v>
      </c>
      <c r="AD499" s="65">
        <f t="shared" si="433"/>
        <v>-25.813201616231044</v>
      </c>
      <c r="AE499" s="62">
        <f t="shared" si="434"/>
        <v>117.93262442266247</v>
      </c>
      <c r="AF499" s="50" t="str">
        <f t="shared" si="416"/>
        <v>79.1527877025864</v>
      </c>
      <c r="AG499" s="50" t="str">
        <f t="shared" si="417"/>
        <v>1+1977.20492983878i</v>
      </c>
      <c r="AH499" s="50">
        <f t="shared" si="435"/>
        <v>1977.2051827209982</v>
      </c>
      <c r="AI499" s="50">
        <f t="shared" si="436"/>
        <v>1.5702905623697514</v>
      </c>
      <c r="AJ499" s="50" t="str">
        <f t="shared" si="418"/>
        <v>1+1.78497667277113i</v>
      </c>
      <c r="AK499" s="50">
        <f t="shared" si="437"/>
        <v>2.046006285996476</v>
      </c>
      <c r="AL499" s="50">
        <f t="shared" si="438"/>
        <v>1.0601318567531985</v>
      </c>
      <c r="AM499" s="50" t="str">
        <f t="shared" si="419"/>
        <v>1-8.23540497644861i</v>
      </c>
      <c r="AN499" s="50">
        <f t="shared" si="439"/>
        <v>8.2958962822659803</v>
      </c>
      <c r="AO499" s="50">
        <f t="shared" si="440"/>
        <v>-1.4499609584663549</v>
      </c>
      <c r="AP499" s="59" t="str">
        <f t="shared" si="441"/>
        <v>-0.257909906485736-0.628643553882675i</v>
      </c>
      <c r="AQ499" s="50">
        <f t="shared" si="442"/>
        <v>-3.3563049554183961</v>
      </c>
      <c r="AR499" s="62">
        <f t="shared" si="443"/>
        <v>-112.30658409255126</v>
      </c>
      <c r="AS499" s="32" t="str">
        <f t="shared" si="420"/>
        <v>-0.0000166666666666667</v>
      </c>
      <c r="AT499" s="32" t="str">
        <f t="shared" si="421"/>
        <v>0.0137930015623223i</v>
      </c>
      <c r="AU499" s="32">
        <f t="shared" si="444"/>
        <v>1.3793001562322301E-2</v>
      </c>
      <c r="AV499" s="32">
        <f t="shared" si="445"/>
        <v>1.5707963267948966</v>
      </c>
      <c r="AW499" s="32" t="str">
        <f t="shared" si="422"/>
        <v>1+14.0173168126438i</v>
      </c>
      <c r="AX499" s="32">
        <f t="shared" si="446"/>
        <v>14.052941707202322</v>
      </c>
      <c r="AY499" s="32">
        <f t="shared" si="447"/>
        <v>1.4995766565684507</v>
      </c>
      <c r="AZ499" s="32" t="str">
        <f t="shared" si="423"/>
        <v>1+476.58877162989i</v>
      </c>
      <c r="BA499" s="32">
        <f t="shared" si="448"/>
        <v>476.58982075122776</v>
      </c>
      <c r="BB499" s="32">
        <f t="shared" si="449"/>
        <v>1.5686980848891128</v>
      </c>
      <c r="BC499" s="59" t="str">
        <f t="shared" si="450"/>
        <v>-0.00283031194143009+0.0408817214206678i</v>
      </c>
      <c r="BD499" s="50">
        <f t="shared" si="451"/>
        <v>-27.748650366625441</v>
      </c>
      <c r="BE499" s="62">
        <f t="shared" si="452"/>
        <v>93.960366116689983</v>
      </c>
      <c r="BF499" s="59" t="str">
        <f t="shared" si="453"/>
        <v>-0.00178169628537217-0.00110870586855296i</v>
      </c>
      <c r="BG499" s="65">
        <f t="shared" si="454"/>
        <v>-53.561851982856453</v>
      </c>
      <c r="BH499" s="62">
        <f t="shared" si="455"/>
        <v>-148.10700946064748</v>
      </c>
      <c r="BI499" s="59" t="str">
        <f t="shared" si="460"/>
        <v>0.0264299961308698-0.00876454359112316i</v>
      </c>
      <c r="BJ499" s="65">
        <f t="shared" si="456"/>
        <v>-31.104955322043828</v>
      </c>
      <c r="BK499" s="62">
        <f t="shared" si="461"/>
        <v>-18.346217975861279</v>
      </c>
      <c r="BL499" s="50">
        <f t="shared" si="457"/>
        <v>-53.561851982856453</v>
      </c>
      <c r="BM499" s="62">
        <f t="shared" si="458"/>
        <v>-148.10700946064748</v>
      </c>
    </row>
    <row r="500" spans="14:65" x14ac:dyDescent="0.3">
      <c r="N500" s="11">
        <v>82</v>
      </c>
      <c r="O500" s="51">
        <f t="shared" si="459"/>
        <v>660693.44800759677</v>
      </c>
      <c r="P500" s="49" t="str">
        <f t="shared" si="411"/>
        <v>27.9103246607183</v>
      </c>
      <c r="Q500" s="18" t="str">
        <f t="shared" si="412"/>
        <v>1+2039.1887406877i</v>
      </c>
      <c r="R500" s="18">
        <f t="shared" si="424"/>
        <v>2039.1889858832328</v>
      </c>
      <c r="S500" s="18">
        <f t="shared" si="425"/>
        <v>1.5703059357389408</v>
      </c>
      <c r="T500" s="18" t="str">
        <f t="shared" si="413"/>
        <v>1+1.82655412063131i</v>
      </c>
      <c r="U500" s="18">
        <f t="shared" si="426"/>
        <v>2.0823784371711156</v>
      </c>
      <c r="V500" s="18">
        <f t="shared" si="427"/>
        <v>1.0698906945423214</v>
      </c>
      <c r="W500" s="32" t="str">
        <f t="shared" si="414"/>
        <v>1-24.0875543405363i</v>
      </c>
      <c r="X500" s="18">
        <f t="shared" si="428"/>
        <v>24.108303011790131</v>
      </c>
      <c r="Y500" s="18">
        <f t="shared" si="429"/>
        <v>-1.5293049377199506</v>
      </c>
      <c r="Z500" s="32" t="str">
        <f t="shared" si="415"/>
        <v>-8.01892215372244+11.0149893380013i</v>
      </c>
      <c r="AA500" s="18">
        <f t="shared" si="430"/>
        <v>13.624723946698621</v>
      </c>
      <c r="AB500" s="18">
        <f t="shared" si="431"/>
        <v>2.2000687127187861</v>
      </c>
      <c r="AC500" s="67" t="str">
        <f t="shared" si="432"/>
        <v>-0.023404667757085+0.0446722050114932i</v>
      </c>
      <c r="AD500" s="65">
        <f t="shared" si="433"/>
        <v>-25.945880013517232</v>
      </c>
      <c r="AE500" s="62">
        <f t="shared" si="434"/>
        <v>117.65094827797564</v>
      </c>
      <c r="AF500" s="50" t="str">
        <f t="shared" si="416"/>
        <v>79.1527877025864</v>
      </c>
      <c r="AG500" s="50" t="str">
        <f t="shared" si="417"/>
        <v>1+2023.25994900698i</v>
      </c>
      <c r="AH500" s="50">
        <f t="shared" si="435"/>
        <v>2023.2601961328967</v>
      </c>
      <c r="AI500" s="50">
        <f t="shared" si="436"/>
        <v>1.5703020749717127</v>
      </c>
      <c r="AJ500" s="50" t="str">
        <f t="shared" si="418"/>
        <v>1+1.82655412063131i</v>
      </c>
      <c r="AK500" s="50">
        <f t="shared" si="437"/>
        <v>2.0823784371711156</v>
      </c>
      <c r="AL500" s="50">
        <f t="shared" si="438"/>
        <v>1.0698906945423214</v>
      </c>
      <c r="AM500" s="50" t="str">
        <f t="shared" si="419"/>
        <v>1-8.4272322009939i</v>
      </c>
      <c r="AN500" s="50">
        <f t="shared" si="439"/>
        <v>8.4863562598719895</v>
      </c>
      <c r="AO500" s="50">
        <f t="shared" si="440"/>
        <v>-1.4526857056180225</v>
      </c>
      <c r="AP500" s="59" t="str">
        <f t="shared" si="441"/>
        <v>-0.257910820724425-0.6414368008071i</v>
      </c>
      <c r="AQ500" s="50">
        <f t="shared" si="442"/>
        <v>-3.2060921000658342</v>
      </c>
      <c r="AR500" s="62">
        <f t="shared" si="443"/>
        <v>-111.90422000981626</v>
      </c>
      <c r="AS500" s="32" t="str">
        <f t="shared" si="420"/>
        <v>-0.0000166666666666667</v>
      </c>
      <c r="AT500" s="32" t="str">
        <f t="shared" si="421"/>
        <v>0.0141142818412419i</v>
      </c>
      <c r="AU500" s="32">
        <f t="shared" si="444"/>
        <v>1.41142818412419E-2</v>
      </c>
      <c r="AV500" s="32">
        <f t="shared" si="445"/>
        <v>1.5707963267948966</v>
      </c>
      <c r="AW500" s="32" t="str">
        <f t="shared" si="422"/>
        <v>1+14.3438220649576i</v>
      </c>
      <c r="AX500" s="32">
        <f t="shared" si="446"/>
        <v>14.37863802420676</v>
      </c>
      <c r="AY500" s="32">
        <f t="shared" si="447"/>
        <v>1.5011925226524063</v>
      </c>
      <c r="AZ500" s="32" t="str">
        <f t="shared" si="423"/>
        <v>1+487.689950208559i</v>
      </c>
      <c r="BA500" s="32">
        <f t="shared" si="448"/>
        <v>487.69097544903036</v>
      </c>
      <c r="BB500" s="32">
        <f t="shared" si="449"/>
        <v>1.568745846570561</v>
      </c>
      <c r="BC500" s="59" t="str">
        <f t="shared" si="450"/>
        <v>-0.00270354306509992+0.0399599777019246i</v>
      </c>
      <c r="BD500" s="50">
        <f t="shared" si="451"/>
        <v>-27.947661345299682</v>
      </c>
      <c r="BE500" s="62">
        <f t="shared" si="452"/>
        <v>93.870520352590404</v>
      </c>
      <c r="BF500" s="59" t="str">
        <f t="shared" si="453"/>
        <v>-0.00172182478894944-0.00105602323175561i</v>
      </c>
      <c r="BG500" s="65">
        <f t="shared" si="454"/>
        <v>-53.893541358816918</v>
      </c>
      <c r="BH500" s="62">
        <f t="shared" si="455"/>
        <v>-148.47853136943408</v>
      </c>
      <c r="BI500" s="59" t="str">
        <f t="shared" si="460"/>
        <v>0.0263290732682293-0.00857195863071118i</v>
      </c>
      <c r="BJ500" s="65">
        <f t="shared" si="456"/>
        <v>-31.15375344536552</v>
      </c>
      <c r="BK500" s="62">
        <f t="shared" si="461"/>
        <v>-18.033699657225842</v>
      </c>
      <c r="BL500" s="50">
        <f t="shared" si="457"/>
        <v>-53.893541358816918</v>
      </c>
      <c r="BM500" s="62">
        <f t="shared" si="458"/>
        <v>-148.47853136943408</v>
      </c>
    </row>
    <row r="501" spans="14:65" x14ac:dyDescent="0.3">
      <c r="N501" s="11">
        <v>83</v>
      </c>
      <c r="O501" s="51">
        <f t="shared" si="459"/>
        <v>676082.97539198259</v>
      </c>
      <c r="P501" s="49" t="str">
        <f t="shared" si="411"/>
        <v>27.9103246607183</v>
      </c>
      <c r="Q501" s="18" t="str">
        <f t="shared" si="412"/>
        <v>1+2086.68754828354i</v>
      </c>
      <c r="R501" s="18">
        <f t="shared" si="424"/>
        <v>2086.6877878977416</v>
      </c>
      <c r="S501" s="18">
        <f t="shared" si="425"/>
        <v>1.570317098400464</v>
      </c>
      <c r="T501" s="18" t="str">
        <f t="shared" si="413"/>
        <v>1+1.86910003166355i</v>
      </c>
      <c r="U501" s="18">
        <f t="shared" si="426"/>
        <v>2.1197959638523431</v>
      </c>
      <c r="V501" s="18">
        <f t="shared" si="427"/>
        <v>1.079529225200085</v>
      </c>
      <c r="W501" s="32" t="str">
        <f t="shared" si="414"/>
        <v>1-24.6486255578526i</v>
      </c>
      <c r="X501" s="18">
        <f t="shared" si="428"/>
        <v>24.668902324408851</v>
      </c>
      <c r="Y501" s="18">
        <f t="shared" si="429"/>
        <v>-1.5302483501364481</v>
      </c>
      <c r="Z501" s="32" t="str">
        <f t="shared" si="415"/>
        <v>-8.44397085981149+11.2715613996239i</v>
      </c>
      <c r="AA501" s="18">
        <f t="shared" si="430"/>
        <v>14.083633773527239</v>
      </c>
      <c r="AB501" s="18">
        <f t="shared" si="431"/>
        <v>2.2137464306101613</v>
      </c>
      <c r="AC501" s="67" t="str">
        <f t="shared" si="432"/>
        <v>-0.0228280209111797+0.0441059658238149i</v>
      </c>
      <c r="AD501" s="65">
        <f t="shared" si="433"/>
        <v>-26.079268460134628</v>
      </c>
      <c r="AE501" s="62">
        <f t="shared" si="434"/>
        <v>117.36482677362771</v>
      </c>
      <c r="AF501" s="50" t="str">
        <f t="shared" si="416"/>
        <v>79.1527877025864</v>
      </c>
      <c r="AG501" s="50" t="str">
        <f t="shared" si="417"/>
        <v>1+2070.38772738116i</v>
      </c>
      <c r="AH501" s="50">
        <f t="shared" si="435"/>
        <v>2070.3879688818047</v>
      </c>
      <c r="AI501" s="50">
        <f t="shared" si="436"/>
        <v>1.5703133255149859</v>
      </c>
      <c r="AJ501" s="50" t="str">
        <f t="shared" si="418"/>
        <v>1+1.86910003166355i</v>
      </c>
      <c r="AK501" s="50">
        <f t="shared" si="437"/>
        <v>2.1197959638523431</v>
      </c>
      <c r="AL501" s="50">
        <f t="shared" si="438"/>
        <v>1.079529225200085</v>
      </c>
      <c r="AM501" s="50" t="str">
        <f t="shared" si="419"/>
        <v>1-8.62352765559977i</v>
      </c>
      <c r="AN501" s="50">
        <f t="shared" si="439"/>
        <v>8.6813149480302823</v>
      </c>
      <c r="AO501" s="50">
        <f t="shared" si="440"/>
        <v>-1.4553501335955155</v>
      </c>
      <c r="AP501" s="59" t="str">
        <f t="shared" si="441"/>
        <v>-0.257911693815615-0.654570145973049i</v>
      </c>
      <c r="AQ501" s="50">
        <f t="shared" si="442"/>
        <v>-3.0541189435097689</v>
      </c>
      <c r="AR501" s="62">
        <f t="shared" si="443"/>
        <v>-111.50527796899269</v>
      </c>
      <c r="AS501" s="32" t="str">
        <f t="shared" si="420"/>
        <v>-0.0000166666666666667</v>
      </c>
      <c r="AT501" s="32" t="str">
        <f t="shared" si="421"/>
        <v>0.0144430456992184i</v>
      </c>
      <c r="AU501" s="32">
        <f t="shared" si="444"/>
        <v>1.44430456992184E-2</v>
      </c>
      <c r="AV501" s="32">
        <f t="shared" si="445"/>
        <v>1.5707963267948966</v>
      </c>
      <c r="AW501" s="32" t="str">
        <f t="shared" si="422"/>
        <v>1+14.6779326015932i</v>
      </c>
      <c r="AX501" s="32">
        <f t="shared" si="446"/>
        <v>14.711957906985477</v>
      </c>
      <c r="AY501" s="32">
        <f t="shared" si="447"/>
        <v>1.5027719589997979</v>
      </c>
      <c r="AZ501" s="32" t="str">
        <f t="shared" si="423"/>
        <v>1+499.049708454168i</v>
      </c>
      <c r="BA501" s="32">
        <f t="shared" si="448"/>
        <v>499.05071035736449</v>
      </c>
      <c r="BB501" s="32">
        <f t="shared" si="449"/>
        <v>1.5687925210724472</v>
      </c>
      <c r="BC501" s="59" t="str">
        <f t="shared" si="450"/>
        <v>-0.00258242576447206+0.0390586292182918i</v>
      </c>
      <c r="BD501" s="50">
        <f t="shared" si="451"/>
        <v>-28.146716626600824</v>
      </c>
      <c r="BE501" s="62">
        <f t="shared" si="452"/>
        <v>93.782699567844276</v>
      </c>
      <c r="BF501" s="59" t="str">
        <f t="shared" si="453"/>
        <v>-0.0016637668960741-0.00100553158706752i</v>
      </c>
      <c r="BG501" s="65">
        <f t="shared" si="454"/>
        <v>-54.225985086735456</v>
      </c>
      <c r="BH501" s="62">
        <f t="shared" si="455"/>
        <v>-148.85247365852808</v>
      </c>
      <c r="BI501" s="59" t="str">
        <f t="shared" si="460"/>
        <v>0.0262326504319925-0.00838329841019067i</v>
      </c>
      <c r="BJ501" s="65">
        <f t="shared" si="456"/>
        <v>-31.200835570110605</v>
      </c>
      <c r="BK501" s="62">
        <f t="shared" si="461"/>
        <v>-17.722578401148418</v>
      </c>
      <c r="BL501" s="50">
        <f t="shared" si="457"/>
        <v>-54.225985086735456</v>
      </c>
      <c r="BM501" s="62">
        <f t="shared" si="458"/>
        <v>-148.85247365852808</v>
      </c>
    </row>
    <row r="502" spans="14:65" x14ac:dyDescent="0.3">
      <c r="N502" s="11">
        <v>84</v>
      </c>
      <c r="O502" s="51">
        <f t="shared" si="459"/>
        <v>691830.97091893724</v>
      </c>
      <c r="P502" s="49" t="str">
        <f t="shared" si="411"/>
        <v>27.9103246607183</v>
      </c>
      <c r="Q502" s="18" t="str">
        <f t="shared" si="412"/>
        <v>1+2135.29274523805i</v>
      </c>
      <c r="R502" s="18">
        <f t="shared" si="424"/>
        <v>2135.292979397967</v>
      </c>
      <c r="S502" s="18">
        <f t="shared" si="425"/>
        <v>1.5703280069689045</v>
      </c>
      <c r="T502" s="18" t="str">
        <f t="shared" si="413"/>
        <v>1+1.91263696427305i</v>
      </c>
      <c r="U502" s="18">
        <f t="shared" si="426"/>
        <v>2.1582817603602242</v>
      </c>
      <c r="V502" s="18">
        <f t="shared" si="427"/>
        <v>1.0890453949622516</v>
      </c>
      <c r="W502" s="32" t="str">
        <f t="shared" si="414"/>
        <v>1-25.2227658027029i</v>
      </c>
      <c r="X502" s="18">
        <f t="shared" si="428"/>
        <v>25.242581380239201</v>
      </c>
      <c r="Y502" s="18">
        <f t="shared" si="429"/>
        <v>-1.5311703576522182</v>
      </c>
      <c r="Z502" s="32" t="str">
        <f t="shared" si="415"/>
        <v>-8.8890514942694+11.5341097922974i</v>
      </c>
      <c r="AA502" s="18">
        <f t="shared" si="430"/>
        <v>14.561968451021444</v>
      </c>
      <c r="AB502" s="18">
        <f t="shared" si="431"/>
        <v>2.2273987397399271</v>
      </c>
      <c r="AC502" s="67" t="str">
        <f t="shared" si="432"/>
        <v>-0.0222577313993432+0.0435434012462614i</v>
      </c>
      <c r="AD502" s="65">
        <f t="shared" si="433"/>
        <v>-26.213415280192955</v>
      </c>
      <c r="AE502" s="62">
        <f t="shared" si="434"/>
        <v>117.0743912901213</v>
      </c>
      <c r="AF502" s="50" t="str">
        <f t="shared" si="416"/>
        <v>79.1527877025864</v>
      </c>
      <c r="AG502" s="50" t="str">
        <f t="shared" si="417"/>
        <v>1+2118.61325273322i</v>
      </c>
      <c r="AH502" s="50">
        <f t="shared" si="435"/>
        <v>2118.6134887366397</v>
      </c>
      <c r="AI502" s="50">
        <f t="shared" si="436"/>
        <v>1.5703243199647465</v>
      </c>
      <c r="AJ502" s="50" t="str">
        <f t="shared" si="418"/>
        <v>1+1.91263696427305i</v>
      </c>
      <c r="AK502" s="50">
        <f t="shared" si="437"/>
        <v>2.1582817603602242</v>
      </c>
      <c r="AL502" s="50">
        <f t="shared" si="438"/>
        <v>1.0890453949622516</v>
      </c>
      <c r="AM502" s="50" t="str">
        <f t="shared" si="419"/>
        <v>1-8.82439541871453i</v>
      </c>
      <c r="AN502" s="50">
        <f t="shared" si="439"/>
        <v>8.8808757735839325</v>
      </c>
      <c r="AO502" s="50">
        <f t="shared" si="440"/>
        <v>-1.4579555037103022</v>
      </c>
      <c r="AP502" s="59" t="str">
        <f t="shared" si="441"/>
        <v>-0.257912527611245-0.668050552856687i</v>
      </c>
      <c r="AQ502" s="50">
        <f t="shared" si="442"/>
        <v>-2.9004316466448015</v>
      </c>
      <c r="AR502" s="62">
        <f t="shared" si="443"/>
        <v>-111.10994825170657</v>
      </c>
      <c r="AS502" s="32" t="str">
        <f t="shared" si="420"/>
        <v>-0.0000166666666666667</v>
      </c>
      <c r="AT502" s="32" t="str">
        <f t="shared" si="421"/>
        <v>0.0147794674512008i</v>
      </c>
      <c r="AU502" s="32">
        <f t="shared" si="444"/>
        <v>1.47794674512008E-2</v>
      </c>
      <c r="AV502" s="32">
        <f t="shared" si="445"/>
        <v>1.5707963267948966</v>
      </c>
      <c r="AW502" s="32" t="str">
        <f t="shared" si="422"/>
        <v>1+15.0198255723795i</v>
      </c>
      <c r="AX502" s="32">
        <f t="shared" si="446"/>
        <v>15.053078098007237</v>
      </c>
      <c r="AY502" s="32">
        <f t="shared" si="447"/>
        <v>1.50431577151023</v>
      </c>
      <c r="AZ502" s="32" t="str">
        <f t="shared" si="423"/>
        <v>1+510.674069460903i</v>
      </c>
      <c r="BA502" s="32">
        <f t="shared" si="448"/>
        <v>510.67504855804265</v>
      </c>
      <c r="BB502" s="32">
        <f t="shared" si="449"/>
        <v>1.5688381331413963</v>
      </c>
      <c r="BC502" s="59" t="str">
        <f t="shared" si="450"/>
        <v>-0.00246671039277239+0.0381772504470944i</v>
      </c>
      <c r="BD502" s="50">
        <f t="shared" si="451"/>
        <v>-28.345814235034599</v>
      </c>
      <c r="BE502" s="62">
        <f t="shared" si="452"/>
        <v>93.696859005682683</v>
      </c>
      <c r="BF502" s="59" t="str">
        <f t="shared" si="453"/>
        <v>-0.00160746395733455-0.000957147946407694i</v>
      </c>
      <c r="BG502" s="65">
        <f t="shared" si="454"/>
        <v>-54.559229515227543</v>
      </c>
      <c r="BH502" s="62">
        <f t="shared" si="455"/>
        <v>-149.22874970419605</v>
      </c>
      <c r="BI502" s="59" t="str">
        <f t="shared" si="460"/>
        <v>0.0261405287800145-0.00819850391842872i</v>
      </c>
      <c r="BJ502" s="65">
        <f t="shared" si="456"/>
        <v>-31.246245881679386</v>
      </c>
      <c r="BK502" s="62">
        <f t="shared" si="461"/>
        <v>-17.41308924602388</v>
      </c>
      <c r="BL502" s="50">
        <f t="shared" si="457"/>
        <v>-54.559229515227543</v>
      </c>
      <c r="BM502" s="62">
        <f t="shared" si="458"/>
        <v>-149.22874970419605</v>
      </c>
    </row>
    <row r="503" spans="14:65" x14ac:dyDescent="0.3">
      <c r="N503" s="11">
        <v>85</v>
      </c>
      <c r="O503" s="51">
        <f t="shared" si="459"/>
        <v>707945.78438413853</v>
      </c>
      <c r="P503" s="49" t="str">
        <f t="shared" si="411"/>
        <v>27.9103246607183</v>
      </c>
      <c r="Q503" s="18" t="str">
        <f t="shared" si="412"/>
        <v>1+2185.03010267004i</v>
      </c>
      <c r="R503" s="18">
        <f t="shared" si="424"/>
        <v>2185.0303314998273</v>
      </c>
      <c r="S503" s="18">
        <f t="shared" si="425"/>
        <v>1.5703386672281197</v>
      </c>
      <c r="T503" s="18" t="str">
        <f t="shared" si="413"/>
        <v>1+1.95718800231775i</v>
      </c>
      <c r="U503" s="18">
        <f t="shared" si="426"/>
        <v>2.1978591575477591</v>
      </c>
      <c r="V503" s="18">
        <f t="shared" si="427"/>
        <v>1.0984373545068222</v>
      </c>
      <c r="W503" s="32" t="str">
        <f t="shared" si="414"/>
        <v>1-25.8102794918446i</v>
      </c>
      <c r="X503" s="18">
        <f t="shared" si="428"/>
        <v>25.82964435386469</v>
      </c>
      <c r="Y503" s="18">
        <f t="shared" si="429"/>
        <v>-1.5320714428539013</v>
      </c>
      <c r="Z503" s="32" t="str">
        <f t="shared" si="415"/>
        <v>-9.3551081327949+11.8027737226548i</v>
      </c>
      <c r="AA503" s="18">
        <f t="shared" si="430"/>
        <v>15.060661198117298</v>
      </c>
      <c r="AB503" s="18">
        <f t="shared" si="431"/>
        <v>2.2410207094561039</v>
      </c>
      <c r="AC503" s="67" t="str">
        <f t="shared" si="432"/>
        <v>-0.0216938622011272+0.0429842143290656i</v>
      </c>
      <c r="AD503" s="65">
        <f t="shared" si="433"/>
        <v>-26.348366707114906</v>
      </c>
      <c r="AE503" s="62">
        <f t="shared" si="434"/>
        <v>116.77979039309122</v>
      </c>
      <c r="AF503" s="50" t="str">
        <f t="shared" si="416"/>
        <v>79.1527877025864</v>
      </c>
      <c r="AG503" s="50" t="str">
        <f t="shared" si="417"/>
        <v>1+2167.96209487504i</v>
      </c>
      <c r="AH503" s="50">
        <f t="shared" si="435"/>
        <v>2167.9623255063661</v>
      </c>
      <c r="AI503" s="50">
        <f t="shared" si="436"/>
        <v>1.5703350641503868</v>
      </c>
      <c r="AJ503" s="50" t="str">
        <f t="shared" si="418"/>
        <v>1+1.95718800231775i</v>
      </c>
      <c r="AK503" s="50">
        <f t="shared" si="437"/>
        <v>2.1978591575477591</v>
      </c>
      <c r="AL503" s="50">
        <f t="shared" si="438"/>
        <v>1.0984373545068222</v>
      </c>
      <c r="AM503" s="50" t="str">
        <f t="shared" si="419"/>
        <v>1-9.02994199308498i</v>
      </c>
      <c r="AN503" s="50">
        <f t="shared" si="439"/>
        <v>9.0851445997562159</v>
      </c>
      <c r="AO503" s="50">
        <f t="shared" si="440"/>
        <v>-1.4605030558065801</v>
      </c>
      <c r="AP503" s="59" t="str">
        <f t="shared" si="441"/>
        <v>-0.257913323879907-0.681885168950709i</v>
      </c>
      <c r="AQ503" s="50">
        <f t="shared" si="442"/>
        <v>-2.7450762641466731</v>
      </c>
      <c r="AR503" s="62">
        <f t="shared" si="443"/>
        <v>-110.71840818814296</v>
      </c>
      <c r="AS503" s="32" t="str">
        <f t="shared" si="420"/>
        <v>-0.0000166666666666667</v>
      </c>
      <c r="AT503" s="32" t="str">
        <f t="shared" si="421"/>
        <v>0.0151237254724553i</v>
      </c>
      <c r="AU503" s="32">
        <f t="shared" si="444"/>
        <v>1.51237254724553E-2</v>
      </c>
      <c r="AV503" s="32">
        <f t="shared" si="445"/>
        <v>1.5707963267948966</v>
      </c>
      <c r="AW503" s="32" t="str">
        <f t="shared" si="422"/>
        <v>1+15.3696822534952i</v>
      </c>
      <c r="AX503" s="32">
        <f t="shared" si="446"/>
        <v>15.402179474782301</v>
      </c>
      <c r="AY503" s="32">
        <f t="shared" si="447"/>
        <v>1.5058247492813195</v>
      </c>
      <c r="AZ503" s="32" t="str">
        <f t="shared" si="423"/>
        <v>1+522.569196618838i</v>
      </c>
      <c r="BA503" s="32">
        <f t="shared" si="448"/>
        <v>522.57015342904697</v>
      </c>
      <c r="BB503" s="32">
        <f t="shared" si="449"/>
        <v>1.5688827069607714</v>
      </c>
      <c r="BC503" s="59" t="str">
        <f t="shared" si="450"/>
        <v>-0.00235615812835087+0.0373154230096332i</v>
      </c>
      <c r="BD503" s="50">
        <f t="shared" si="451"/>
        <v>-28.544952282405966</v>
      </c>
      <c r="BE503" s="62">
        <f t="shared" si="452"/>
        <v>93.612954839747132</v>
      </c>
      <c r="BF503" s="59" t="str">
        <f t="shared" si="453"/>
        <v>-0.00155285997066531-0.000910793250729958i</v>
      </c>
      <c r="BG503" s="65">
        <f t="shared" si="454"/>
        <v>-54.893318989520878</v>
      </c>
      <c r="BH503" s="62">
        <f t="shared" si="455"/>
        <v>-149.60725476716163</v>
      </c>
      <c r="BI503" s="59" t="str">
        <f t="shared" si="460"/>
        <v>0.0260525180978605-0.00801751549697414i</v>
      </c>
      <c r="BJ503" s="65">
        <f t="shared" si="456"/>
        <v>-31.290028546552655</v>
      </c>
      <c r="BK503" s="62">
        <f t="shared" si="461"/>
        <v>-17.105453348395852</v>
      </c>
      <c r="BL503" s="50">
        <f t="shared" si="457"/>
        <v>-54.893318989520878</v>
      </c>
      <c r="BM503" s="62">
        <f t="shared" si="458"/>
        <v>-149.60725476716163</v>
      </c>
    </row>
    <row r="504" spans="14:65" x14ac:dyDescent="0.3">
      <c r="N504" s="11">
        <v>86</v>
      </c>
      <c r="O504" s="51">
        <f t="shared" si="459"/>
        <v>724435.96007499192</v>
      </c>
      <c r="P504" s="49" t="str">
        <f t="shared" si="411"/>
        <v>27.9103246607183</v>
      </c>
      <c r="Q504" s="18" t="str">
        <f t="shared" si="412"/>
        <v>1+2235.92599198475i</v>
      </c>
      <c r="R504" s="18">
        <f t="shared" si="424"/>
        <v>2235.9262156057357</v>
      </c>
      <c r="S504" s="18">
        <f t="shared" si="425"/>
        <v>1.5703490848303103</v>
      </c>
      <c r="T504" s="18" t="str">
        <f t="shared" si="413"/>
        <v>1+2.00277676734772i</v>
      </c>
      <c r="U504" s="18">
        <f t="shared" si="426"/>
        <v>2.2385519381572956</v>
      </c>
      <c r="V504" s="18">
        <f t="shared" si="427"/>
        <v>1.1077034550561413</v>
      </c>
      <c r="W504" s="32" t="str">
        <f t="shared" si="414"/>
        <v>1-26.4114781328122i</v>
      </c>
      <c r="X504" s="18">
        <f t="shared" si="428"/>
        <v>26.430402516042335</v>
      </c>
      <c r="Y504" s="18">
        <f t="shared" si="429"/>
        <v>-1.5329520776523378</v>
      </c>
      <c r="Z504" s="32" t="str">
        <f t="shared" si="415"/>
        <v>-9.8431293440036+12.0776956398681i</v>
      </c>
      <c r="AA504" s="18">
        <f t="shared" si="430"/>
        <v>15.580690846431478</v>
      </c>
      <c r="AB504" s="18">
        <f t="shared" si="431"/>
        <v>2.2546073403619378</v>
      </c>
      <c r="AC504" s="67" t="str">
        <f t="shared" si="432"/>
        <v>-0.0211364962305447+0.0424281316731238i</v>
      </c>
      <c r="AD504" s="65">
        <f t="shared" si="433"/>
        <v>-26.484166751552788</v>
      </c>
      <c r="AE504" s="62">
        <f t="shared" si="434"/>
        <v>116.48118869652372</v>
      </c>
      <c r="AF504" s="50" t="str">
        <f t="shared" si="416"/>
        <v>79.1527877025864</v>
      </c>
      <c r="AG504" s="50" t="str">
        <f t="shared" si="417"/>
        <v>1+2218.46041921593i</v>
      </c>
      <c r="AH504" s="50">
        <f t="shared" si="435"/>
        <v>2218.4606445974468</v>
      </c>
      <c r="AI504" s="50">
        <f t="shared" si="436"/>
        <v>1.5703455637686063</v>
      </c>
      <c r="AJ504" s="50" t="str">
        <f t="shared" si="418"/>
        <v>1+2.00277676734772i</v>
      </c>
      <c r="AK504" s="50">
        <f t="shared" si="437"/>
        <v>2.2385519381572956</v>
      </c>
      <c r="AL504" s="50">
        <f t="shared" si="438"/>
        <v>1.1077034550561413</v>
      </c>
      <c r="AM504" s="50" t="str">
        <f t="shared" si="419"/>
        <v>1-9.24027636222558i</v>
      </c>
      <c r="AN504" s="50">
        <f t="shared" si="439"/>
        <v>9.2942297825212403</v>
      </c>
      <c r="AO504" s="50">
        <f t="shared" si="440"/>
        <v>-1.4629940082891517</v>
      </c>
      <c r="AP504" s="59" t="str">
        <f>(IMDIV(IMPRODUCT(AF504,AJ504,AM504),IMPRODUCT(AG504)))</f>
        <v>-0.257914084310592-0.696081329554055i</v>
      </c>
      <c r="AQ504" s="50">
        <f t="shared" si="442"/>
        <v>-2.5880986632459417</v>
      </c>
      <c r="AR504" s="62">
        <f t="shared" si="443"/>
        <v>-110.33082238215262</v>
      </c>
      <c r="AS504" s="32" t="str">
        <f t="shared" si="420"/>
        <v>-0.0000166666666666667</v>
      </c>
      <c r="AT504" s="32" t="str">
        <f t="shared" si="421"/>
        <v>0.0154760022931415i</v>
      </c>
      <c r="AU504" s="32">
        <f t="shared" si="444"/>
        <v>1.54760022931415E-2</v>
      </c>
      <c r="AV504" s="32">
        <f t="shared" si="445"/>
        <v>1.5707963267948966</v>
      </c>
      <c r="AW504" s="32" t="str">
        <f t="shared" si="422"/>
        <v>1+15.7276881435836i</v>
      </c>
      <c r="AX504" s="32">
        <f t="shared" si="446"/>
        <v>15.759447145817651</v>
      </c>
      <c r="AY504" s="32">
        <f t="shared" si="447"/>
        <v>1.5072996648898689</v>
      </c>
      <c r="AZ504" s="32" t="str">
        <f t="shared" si="423"/>
        <v>1+534.741396881841i</v>
      </c>
      <c r="BA504" s="32">
        <f t="shared" si="448"/>
        <v>534.74233191242922</v>
      </c>
      <c r="BB504" s="32">
        <f t="shared" si="449"/>
        <v>1.5689262661634924</v>
      </c>
      <c r="BC504" s="59" t="str">
        <f t="shared" si="450"/>
        <v>-0.00225054052309095+0.0364727356736221i</v>
      </c>
      <c r="BD504" s="50">
        <f t="shared" si="451"/>
        <v>-28.74412896403031</v>
      </c>
      <c r="BE504" s="62">
        <f t="shared" si="452"/>
        <v>93.530944158714178</v>
      </c>
      <c r="BF504" s="59" t="str">
        <f t="shared" si="453"/>
        <v>-0.00149990149035648-0.000866392069732571i</v>
      </c>
      <c r="BG504" s="65">
        <f t="shared" si="454"/>
        <v>-55.228295715583087</v>
      </c>
      <c r="BH504" s="62">
        <f t="shared" si="455"/>
        <v>-149.98786714476213</v>
      </c>
      <c r="BI504" s="59" t="str">
        <f t="shared" si="460"/>
        <v>0.0259684364383854-0.00784027298403608i</v>
      </c>
      <c r="BJ504" s="65">
        <f t="shared" si="456"/>
        <v>-31.332227627276239</v>
      </c>
      <c r="BK504" s="62">
        <f t="shared" si="461"/>
        <v>-16.799878223438427</v>
      </c>
      <c r="BL504" s="50">
        <f t="shared" si="457"/>
        <v>-55.228295715583087</v>
      </c>
      <c r="BM504" s="62">
        <f t="shared" si="458"/>
        <v>-149.98786714476213</v>
      </c>
    </row>
    <row r="505" spans="14:65" x14ac:dyDescent="0.3">
      <c r="N505" s="11">
        <v>87</v>
      </c>
      <c r="O505" s="51">
        <f t="shared" si="459"/>
        <v>741310.24130091805</v>
      </c>
      <c r="P505" s="49" t="str">
        <f t="shared" si="411"/>
        <v>27.9103246607183</v>
      </c>
      <c r="Q505" s="18" t="str">
        <f t="shared" si="412"/>
        <v>1+2288.00739885638i</v>
      </c>
      <c r="R505" s="18">
        <f t="shared" si="424"/>
        <v>2288.0076173871316</v>
      </c>
      <c r="S505" s="18">
        <f t="shared" si="425"/>
        <v>1.5703592652990179</v>
      </c>
      <c r="T505" s="18" t="str">
        <f t="shared" si="413"/>
        <v>1+2.04942743112962i</v>
      </c>
      <c r="U505" s="18">
        <f t="shared" si="426"/>
        <v>2.2803843525744854</v>
      </c>
      <c r="V505" s="18">
        <f t="shared" si="427"/>
        <v>1.1168422439513681</v>
      </c>
      <c r="W505" s="32" t="str">
        <f t="shared" si="414"/>
        <v>1-27.0266804890831i</v>
      </c>
      <c r="X505" s="18">
        <f t="shared" si="428"/>
        <v>27.045174398753378</v>
      </c>
      <c r="Y505" s="18">
        <f t="shared" si="429"/>
        <v>-1.5338127235050543</v>
      </c>
      <c r="Z505" s="32" t="str">
        <f t="shared" si="415"/>
        <v>-10.3541502863145+12.3590213111768i</v>
      </c>
      <c r="AA505" s="18">
        <f t="shared" si="430"/>
        <v>16.123083945750235</v>
      </c>
      <c r="AB505" s="18">
        <f t="shared" si="431"/>
        <v>2.2681535803518575</v>
      </c>
      <c r="AC505" s="67" t="str">
        <f t="shared" si="432"/>
        <v>-0.020585734033463+0.0418749041329769i</v>
      </c>
      <c r="AD505" s="65">
        <f t="shared" si="433"/>
        <v>-26.620857083933878</v>
      </c>
      <c r="AE505" s="62">
        <f t="shared" si="434"/>
        <v>116.17876567748105</v>
      </c>
      <c r="AF505" s="50" t="str">
        <f t="shared" si="416"/>
        <v>79.1527877025864</v>
      </c>
      <c r="AG505" s="50" t="str">
        <f t="shared" si="417"/>
        <v>1+2270.13500063588i</v>
      </c>
      <c r="AH505" s="50">
        <f t="shared" si="435"/>
        <v>2270.1352208870876</v>
      </c>
      <c r="AI505" s="50">
        <f t="shared" si="436"/>
        <v>1.5703558243864324</v>
      </c>
      <c r="AJ505" s="50" t="str">
        <f t="shared" si="418"/>
        <v>1+2.04942743112962i</v>
      </c>
      <c r="AK505" s="50">
        <f t="shared" si="437"/>
        <v>2.2803843525744854</v>
      </c>
      <c r="AL505" s="50">
        <f t="shared" si="438"/>
        <v>1.1168422439513681</v>
      </c>
      <c r="AM505" s="50" t="str">
        <f t="shared" si="419"/>
        <v>1-9.45551004820291i</v>
      </c>
      <c r="AN505" s="50">
        <f t="shared" si="439"/>
        <v>9.5082422282810093</v>
      </c>
      <c r="AO505" s="50">
        <f t="shared" si="440"/>
        <v>-1.46542955817902</v>
      </c>
      <c r="AP505" s="59" t="str">
        <f t="shared" si="441"/>
        <v>-0.257914810516271-0.710646561661188i</v>
      </c>
      <c r="AQ505" s="50">
        <f t="shared" si="442"/>
        <v>-2.4295444466743081</v>
      </c>
      <c r="AR505" s="62">
        <f t="shared" si="443"/>
        <v>-109.94734296817482</v>
      </c>
      <c r="AS505" s="32" t="str">
        <f t="shared" si="420"/>
        <v>-0.0000166666666666667</v>
      </c>
      <c r="AT505" s="32" t="str">
        <f t="shared" si="421"/>
        <v>0.0158364846950925i</v>
      </c>
      <c r="AU505" s="32">
        <f t="shared" si="444"/>
        <v>1.5836484695092499E-2</v>
      </c>
      <c r="AV505" s="32">
        <f t="shared" si="445"/>
        <v>1.5707963267948966</v>
      </c>
      <c r="AW505" s="32" t="str">
        <f t="shared" si="422"/>
        <v>1+16.0940330621061i</v>
      </c>
      <c r="AX505" s="32">
        <f t="shared" si="446"/>
        <v>16.125070548812001</v>
      </c>
      <c r="AY505" s="32">
        <f t="shared" si="447"/>
        <v>1.5087412746732198</v>
      </c>
      <c r="AZ505" s="32" t="str">
        <f t="shared" si="423"/>
        <v>1+547.197124111608i</v>
      </c>
      <c r="BA505" s="32">
        <f t="shared" si="448"/>
        <v>547.19803785833744</v>
      </c>
      <c r="BB505" s="32">
        <f t="shared" si="449"/>
        <v>1.568968833844564</v>
      </c>
      <c r="BC505" s="59" t="str">
        <f t="shared" si="450"/>
        <v>-0.00214963906807694+0.0356487843450484i</v>
      </c>
      <c r="BD505" s="50">
        <f t="shared" si="451"/>
        <v>-28.94334255510298</v>
      </c>
      <c r="BE505" s="62">
        <f t="shared" si="452"/>
        <v>93.450784950892469</v>
      </c>
      <c r="BF505" s="59" t="str">
        <f t="shared" si="453"/>
        <v>-0.0014485375287827-0.00082387232303967i</v>
      </c>
      <c r="BG505" s="65">
        <f t="shared" si="454"/>
        <v>-55.564199639036843</v>
      </c>
      <c r="BH505" s="62">
        <f t="shared" si="455"/>
        <v>-150.37044937162653</v>
      </c>
      <c r="BI505" s="59" t="str">
        <f t="shared" si="460"/>
        <v>0.0258881097751313-0.00766671584694713i</v>
      </c>
      <c r="BJ505" s="65">
        <f t="shared" si="456"/>
        <v>-31.372887001777276</v>
      </c>
      <c r="BK505" s="62">
        <f t="shared" si="461"/>
        <v>-16.496558017282332</v>
      </c>
      <c r="BL505" s="50">
        <f t="shared" si="457"/>
        <v>-55.564199639036843</v>
      </c>
      <c r="BM505" s="62">
        <f t="shared" si="458"/>
        <v>-150.37044937162653</v>
      </c>
    </row>
    <row r="506" spans="14:65" x14ac:dyDescent="0.3">
      <c r="N506" s="11">
        <v>88</v>
      </c>
      <c r="O506" s="51">
        <f t="shared" si="459"/>
        <v>758577.57502918423</v>
      </c>
      <c r="P506" s="49" t="str">
        <f t="shared" si="411"/>
        <v>27.9103246607183</v>
      </c>
      <c r="Q506" s="18" t="str">
        <f t="shared" si="412"/>
        <v>1+2341.30193753625i</v>
      </c>
      <c r="R506" s="18">
        <f t="shared" si="424"/>
        <v>2341.3021510926346</v>
      </c>
      <c r="S506" s="18">
        <f t="shared" si="425"/>
        <v>1.5703692140320533</v>
      </c>
      <c r="T506" s="18" t="str">
        <f t="shared" si="413"/>
        <v>1+2.09716472846289i</v>
      </c>
      <c r="U506" s="18">
        <f t="shared" si="426"/>
        <v>2.3233811349644782</v>
      </c>
      <c r="V506" s="18">
        <f t="shared" si="427"/>
        <v>1.1258524597547199</v>
      </c>
      <c r="W506" s="32" t="str">
        <f t="shared" si="414"/>
        <v>1-27.6562127490897i</v>
      </c>
      <c r="X506" s="18">
        <f t="shared" si="428"/>
        <v>27.674285964102342</v>
      </c>
      <c r="Y506" s="18">
        <f t="shared" si="429"/>
        <v>-1.5346538316350422</v>
      </c>
      <c r="Z506" s="32" t="str">
        <f t="shared" si="415"/>
        <v>-10.8892549036603+12.6468998991757i</v>
      </c>
      <c r="AA506" s="18">
        <f t="shared" si="430"/>
        <v>16.68891696356178</v>
      </c>
      <c r="AB506" s="18">
        <f t="shared" si="431"/>
        <v>2.2816543408682657</v>
      </c>
      <c r="AC506" s="67" t="str">
        <f t="shared" si="432"/>
        <v>-0.0200416914700617+0.0413243073405454i</v>
      </c>
      <c r="AD506" s="65">
        <f t="shared" si="433"/>
        <v>-26.758476932040182</v>
      </c>
      <c r="AE506" s="62">
        <f t="shared" si="434"/>
        <v>115.87271445133115</v>
      </c>
      <c r="AF506" s="50" t="str">
        <f t="shared" si="416"/>
        <v>79.1527877025864</v>
      </c>
      <c r="AG506" s="50" t="str">
        <f t="shared" si="417"/>
        <v>1+2323.01323768196i</v>
      </c>
      <c r="AH506" s="50">
        <f t="shared" si="435"/>
        <v>2323.0134529196389</v>
      </c>
      <c r="AI506" s="50">
        <f t="shared" si="436"/>
        <v>1.5703658514441714</v>
      </c>
      <c r="AJ506" s="50" t="str">
        <f t="shared" si="418"/>
        <v>1+2.09716472846289i</v>
      </c>
      <c r="AK506" s="50">
        <f t="shared" si="437"/>
        <v>2.3233811349644782</v>
      </c>
      <c r="AL506" s="50">
        <f t="shared" si="438"/>
        <v>1.1258524597547199</v>
      </c>
      <c r="AM506" s="50" t="str">
        <f t="shared" si="419"/>
        <v>1-9.67575717076629i</v>
      </c>
      <c r="AN506" s="50">
        <f t="shared" si="439"/>
        <v>9.7272954528807887</v>
      </c>
      <c r="AO506" s="50">
        <f t="shared" si="440"/>
        <v>-1.4678108811944355</v>
      </c>
      <c r="AP506" s="59" t="str">
        <f t="shared" si="441"/>
        <v>-0.257915504037322-0.725588587953037i</v>
      </c>
      <c r="AQ506" s="50">
        <f t="shared" si="442"/>
        <v>-2.269458879971419</v>
      </c>
      <c r="AR506" s="62">
        <f t="shared" si="443"/>
        <v>-109.56810989667065</v>
      </c>
      <c r="AS506" s="32" t="str">
        <f t="shared" si="420"/>
        <v>-0.0000166666666666667</v>
      </c>
      <c r="AT506" s="32" t="str">
        <f t="shared" si="421"/>
        <v>0.0162053638108496i</v>
      </c>
      <c r="AU506" s="32">
        <f t="shared" si="444"/>
        <v>1.62053638108496E-2</v>
      </c>
      <c r="AV506" s="32">
        <f t="shared" si="445"/>
        <v>1.5707963267948966</v>
      </c>
      <c r="AW506" s="32" t="str">
        <f t="shared" si="422"/>
        <v>1+16.468911249988i</v>
      </c>
      <c r="AX506" s="32">
        <f t="shared" si="446"/>
        <v>16.499243551144438</v>
      </c>
      <c r="AY506" s="32">
        <f t="shared" si="447"/>
        <v>1.5101503190103676</v>
      </c>
      <c r="AZ506" s="32" t="str">
        <f t="shared" si="423"/>
        <v>1+559.942982499591i</v>
      </c>
      <c r="BA506" s="32">
        <f t="shared" si="448"/>
        <v>559.94387544693916</v>
      </c>
      <c r="BB506" s="32">
        <f t="shared" si="449"/>
        <v>1.5690104325733165</v>
      </c>
      <c r="BC506" s="59" t="str">
        <f t="shared" si="450"/>
        <v>-0.0020532447760041+0.0348431720503437i</v>
      </c>
      <c r="BD506" s="50">
        <f t="shared" si="451"/>
        <v>-29.142591407221943</v>
      </c>
      <c r="BE506" s="62">
        <f t="shared" si="452"/>
        <v>93.372436088817693</v>
      </c>
      <c r="BF506" s="59" t="str">
        <f t="shared" si="453"/>
        <v>-0.00139871945221471-0.000783165022240228i</v>
      </c>
      <c r="BG506" s="65">
        <f t="shared" si="454"/>
        <v>-55.901068339262146</v>
      </c>
      <c r="BH506" s="62">
        <f t="shared" si="455"/>
        <v>-150.75484945985107</v>
      </c>
      <c r="BI506" s="59" t="str">
        <f t="shared" si="460"/>
        <v>0.0258113716691287-0.00749678330388076i</v>
      </c>
      <c r="BJ506" s="65">
        <f t="shared" si="456"/>
        <v>-31.412050287193367</v>
      </c>
      <c r="BK506" s="62">
        <f t="shared" si="461"/>
        <v>-16.195673807852955</v>
      </c>
      <c r="BL506" s="50">
        <f t="shared" si="457"/>
        <v>-55.901068339262146</v>
      </c>
      <c r="BM506" s="62">
        <f t="shared" si="458"/>
        <v>-150.75484945985107</v>
      </c>
    </row>
    <row r="507" spans="14:65" x14ac:dyDescent="0.3">
      <c r="N507" s="11">
        <v>89</v>
      </c>
      <c r="O507" s="51">
        <f t="shared" si="459"/>
        <v>776247.11662869214</v>
      </c>
      <c r="P507" s="49" t="str">
        <f t="shared" si="411"/>
        <v>27.9103246607183</v>
      </c>
      <c r="Q507" s="18" t="str">
        <f t="shared" si="412"/>
        <v>1+2395.8378654942i</v>
      </c>
      <c r="R507" s="18">
        <f t="shared" si="424"/>
        <v>2395.838074189448</v>
      </c>
      <c r="S507" s="18">
        <f t="shared" si="425"/>
        <v>1.5703789363043585</v>
      </c>
      <c r="T507" s="18" t="str">
        <f t="shared" si="413"/>
        <v>1+2.14601397029445i</v>
      </c>
      <c r="U507" s="18">
        <f t="shared" si="426"/>
        <v>2.3675675197761414</v>
      </c>
      <c r="V507" s="18">
        <f t="shared" si="427"/>
        <v>1.1347330269344018</v>
      </c>
      <c r="W507" s="32" t="str">
        <f t="shared" si="414"/>
        <v>1-28.3004086991691i</v>
      </c>
      <c r="X507" s="18">
        <f t="shared" si="428"/>
        <v>28.318070777155814</v>
      </c>
      <c r="Y507" s="18">
        <f t="shared" si="429"/>
        <v>-1.5354758432458249</v>
      </c>
      <c r="Z507" s="32" t="str">
        <f t="shared" si="415"/>
        <v>-11.4495782246768+12.9414840409027i</v>
      </c>
      <c r="AA507" s="18">
        <f t="shared" si="430"/>
        <v>17.279318583321867</v>
      </c>
      <c r="AB507" s="18">
        <f t="shared" si="431"/>
        <v>2.2951045132749583</v>
      </c>
      <c r="AC507" s="67" t="str">
        <f t="shared" si="432"/>
        <v>-0.0195044973980674+0.0407761420484373i</v>
      </c>
      <c r="AD507" s="65">
        <f t="shared" si="433"/>
        <v>-26.897062993889548</v>
      </c>
      <c r="AE507" s="62">
        <f t="shared" si="434"/>
        <v>115.56324051660378</v>
      </c>
      <c r="AF507" s="50" t="str">
        <f t="shared" si="416"/>
        <v>79.1527877025864</v>
      </c>
      <c r="AG507" s="50" t="str">
        <f t="shared" si="417"/>
        <v>1+2377.12316709538i</v>
      </c>
      <c r="AH507" s="50">
        <f t="shared" si="435"/>
        <v>2377.1233774336511</v>
      </c>
      <c r="AI507" s="50">
        <f t="shared" si="436"/>
        <v>1.5703756502582944</v>
      </c>
      <c r="AJ507" s="50" t="str">
        <f t="shared" si="418"/>
        <v>1+2.14601397029445i</v>
      </c>
      <c r="AK507" s="50">
        <f t="shared" si="437"/>
        <v>2.3675675197761414</v>
      </c>
      <c r="AL507" s="50">
        <f t="shared" si="438"/>
        <v>1.1347330269344018</v>
      </c>
      <c r="AM507" s="50" t="str">
        <f t="shared" si="419"/>
        <v>1-9.90113450785541i</v>
      </c>
      <c r="AN507" s="50">
        <f t="shared" si="439"/>
        <v>9.9515056419943395</v>
      </c>
      <c r="AO507" s="50">
        <f t="shared" si="440"/>
        <v>-1.4701391318552492</v>
      </c>
      <c r="AP507" s="59" t="str">
        <f t="shared" si="441"/>
        <v>-0.257916166344795-0.740915330891635i</v>
      </c>
      <c r="AQ507" s="50">
        <f t="shared" si="442"/>
        <v>-2.107886823294328</v>
      </c>
      <c r="AR507" s="62">
        <f t="shared" si="443"/>
        <v>-109.19325124479911</v>
      </c>
      <c r="AS507" s="32" t="str">
        <f t="shared" si="420"/>
        <v>-0.0000166666666666667</v>
      </c>
      <c r="AT507" s="32" t="str">
        <f t="shared" si="421"/>
        <v>0.0165828352250025i</v>
      </c>
      <c r="AU507" s="32">
        <f t="shared" si="444"/>
        <v>1.65828352250025E-2</v>
      </c>
      <c r="AV507" s="32">
        <f t="shared" si="445"/>
        <v>1.5707963267948966</v>
      </c>
      <c r="AW507" s="32" t="str">
        <f t="shared" si="422"/>
        <v>1+16.8525214726064i</v>
      </c>
      <c r="AX507" s="32">
        <f t="shared" si="446"/>
        <v>16.882164552706502</v>
      </c>
      <c r="AY507" s="32">
        <f t="shared" si="447"/>
        <v>1.5115275226024347</v>
      </c>
      <c r="AZ507" s="32" t="str">
        <f t="shared" si="423"/>
        <v>1+572.985730068617i</v>
      </c>
      <c r="BA507" s="32">
        <f t="shared" si="448"/>
        <v>572.98660269003335</v>
      </c>
      <c r="BB507" s="32">
        <f t="shared" si="449"/>
        <v>1.5690510844053702</v>
      </c>
      <c r="BC507" s="59" t="str">
        <f t="shared" si="450"/>
        <v>-0.00196115777981789+0.0340555089097062i</v>
      </c>
      <c r="BD507" s="50">
        <f t="shared" si="451"/>
        <v>-29.341873945055369</v>
      </c>
      <c r="BE507" s="62">
        <f t="shared" si="452"/>
        <v>93.295857313868169</v>
      </c>
      <c r="BF507" s="59" t="str">
        <f t="shared" si="453"/>
        <v>-0.00135040087202034-0.000744204033128478i</v>
      </c>
      <c r="BG507" s="65">
        <f t="shared" si="454"/>
        <v>-56.238936938944939</v>
      </c>
      <c r="BH507" s="62">
        <f t="shared" si="455"/>
        <v>-151.14090216952798</v>
      </c>
      <c r="BI507" s="59" t="str">
        <f t="shared" si="460"/>
        <v>0.0257380629486859-0.00733041443554795i</v>
      </c>
      <c r="BJ507" s="65">
        <f t="shared" si="456"/>
        <v>-31.449760768349698</v>
      </c>
      <c r="BK507" s="62">
        <f t="shared" si="461"/>
        <v>-15.897393930930939</v>
      </c>
      <c r="BL507" s="50">
        <f t="shared" si="457"/>
        <v>-56.238936938944939</v>
      </c>
      <c r="BM507" s="62">
        <f t="shared" si="458"/>
        <v>-151.14090216952798</v>
      </c>
    </row>
    <row r="508" spans="14:65" x14ac:dyDescent="0.3">
      <c r="N508" s="11">
        <v>90</v>
      </c>
      <c r="O508" s="51">
        <f t="shared" si="459"/>
        <v>794328.23472428333</v>
      </c>
      <c r="P508" s="49" t="str">
        <f t="shared" si="411"/>
        <v>27.9103246607183</v>
      </c>
      <c r="Q508" s="18" t="str">
        <f t="shared" si="412"/>
        <v>1+2451.6440984011i</v>
      </c>
      <c r="R508" s="18">
        <f t="shared" si="424"/>
        <v>2451.6443023458646</v>
      </c>
      <c r="S508" s="18">
        <f t="shared" si="425"/>
        <v>1.5703884372708037</v>
      </c>
      <c r="T508" s="18" t="str">
        <f t="shared" si="413"/>
        <v>1+2.19600105713891i</v>
      </c>
      <c r="U508" s="18">
        <f t="shared" si="426"/>
        <v>2.4129692586013629</v>
      </c>
      <c r="V508" s="18">
        <f t="shared" si="427"/>
        <v>1.1434830501861883</v>
      </c>
      <c r="W508" s="32" t="str">
        <f t="shared" si="414"/>
        <v>1-28.9596099005411i</v>
      </c>
      <c r="X508" s="18">
        <f t="shared" si="428"/>
        <v>28.976870182811634</v>
      </c>
      <c r="Y508" s="18">
        <f t="shared" si="429"/>
        <v>-1.5362791897328152</v>
      </c>
      <c r="Z508" s="32" t="str">
        <f t="shared" si="415"/>
        <v>-12.036308770252+13.242929928769i</v>
      </c>
      <c r="AA508" s="18">
        <f t="shared" si="430"/>
        <v>17.895472106405322</v>
      </c>
      <c r="AB508" s="18">
        <f t="shared" si="431"/>
        <v>2.3084989852420108</v>
      </c>
      <c r="AC508" s="67" t="str">
        <f t="shared" si="432"/>
        <v>-0.0189742913726548+0.0402302342934125i</v>
      </c>
      <c r="AD508" s="65">
        <f t="shared" si="433"/>
        <v>-27.036649366052256</v>
      </c>
      <c r="AE508" s="62">
        <f t="shared" si="434"/>
        <v>115.25056047858415</v>
      </c>
      <c r="AF508" s="50" t="str">
        <f t="shared" si="416"/>
        <v>79.1527877025864</v>
      </c>
      <c r="AG508" s="50" t="str">
        <f t="shared" si="417"/>
        <v>1+2432.49347867694i</v>
      </c>
      <c r="AH508" s="50">
        <f t="shared" si="435"/>
        <v>2432.4936842273278</v>
      </c>
      <c r="AI508" s="50">
        <f t="shared" si="436"/>
        <v>1.5703852260242548</v>
      </c>
      <c r="AJ508" s="50" t="str">
        <f t="shared" si="418"/>
        <v>1+2.19600105713891i</v>
      </c>
      <c r="AK508" s="50">
        <f t="shared" si="437"/>
        <v>2.4129692586013629</v>
      </c>
      <c r="AL508" s="50">
        <f t="shared" si="438"/>
        <v>1.1434830501861883</v>
      </c>
      <c r="AM508" s="50" t="str">
        <f t="shared" si="419"/>
        <v>1-10.1317615575176i</v>
      </c>
      <c r="AN508" s="50">
        <f t="shared" si="439"/>
        <v>10.180991712912425</v>
      </c>
      <c r="AO508" s="50">
        <f t="shared" si="440"/>
        <v>-1.4724154436085735</v>
      </c>
      <c r="AP508" s="59" t="str">
        <f t="shared" si="441"/>
        <v>-0.257916798843532-0.756634916920759i</v>
      </c>
      <c r="AQ508" s="50">
        <f t="shared" si="442"/>
        <v>-1.9448726678247654</v>
      </c>
      <c r="AR508" s="62">
        <f t="shared" si="443"/>
        <v>-108.82288354912706</v>
      </c>
      <c r="AS508" s="32" t="str">
        <f t="shared" si="420"/>
        <v>-0.0000166666666666667</v>
      </c>
      <c r="AT508" s="32" t="str">
        <f t="shared" si="421"/>
        <v>0.0169690990778916i</v>
      </c>
      <c r="AU508" s="32">
        <f t="shared" si="444"/>
        <v>1.6969099077891601E-2</v>
      </c>
      <c r="AV508" s="32">
        <f t="shared" si="445"/>
        <v>1.5707963267948966</v>
      </c>
      <c r="AW508" s="32" t="str">
        <f t="shared" si="422"/>
        <v>1+17.2450671251791i</v>
      </c>
      <c r="AX508" s="32">
        <f t="shared" si="446"/>
        <v>17.274036591136799</v>
      </c>
      <c r="AY508" s="32">
        <f t="shared" si="447"/>
        <v>1.5128735947521652</v>
      </c>
      <c r="AZ508" s="32" t="str">
        <f t="shared" si="423"/>
        <v>1+586.332282256088i</v>
      </c>
      <c r="BA508" s="32">
        <f t="shared" si="448"/>
        <v>586.33313501424504</v>
      </c>
      <c r="BB508" s="32">
        <f t="shared" si="449"/>
        <v>1.5690908108943271</v>
      </c>
      <c r="BC508" s="59" t="str">
        <f t="shared" si="450"/>
        <v>-0.00187318694706977+0.0332854121023402i</v>
      </c>
      <c r="BD508" s="50">
        <f t="shared" si="451"/>
        <v>-29.541188663151374</v>
      </c>
      <c r="BE508" s="62">
        <f t="shared" si="452"/>
        <v>93.221009220920607</v>
      </c>
      <c r="BF508" s="59" t="str">
        <f t="shared" si="453"/>
        <v>-0.00130353753250078-0.000706925857444672i</v>
      </c>
      <c r="BG508" s="65">
        <f t="shared" si="454"/>
        <v>-56.577838029203626</v>
      </c>
      <c r="BH508" s="62">
        <f t="shared" si="455"/>
        <v>-151.52843030049527</v>
      </c>
      <c r="BI508" s="59" t="str">
        <f t="shared" si="460"/>
        <v>0.0256680314017511-0.00716754828755016i</v>
      </c>
      <c r="BJ508" s="65">
        <f t="shared" si="456"/>
        <v>-31.486061330976149</v>
      </c>
      <c r="BK508" s="62">
        <f t="shared" si="461"/>
        <v>-15.601874328206462</v>
      </c>
      <c r="BL508" s="50">
        <f t="shared" si="457"/>
        <v>-56.577838029203626</v>
      </c>
      <c r="BM508" s="62">
        <f t="shared" si="458"/>
        <v>-151.52843030049527</v>
      </c>
    </row>
    <row r="509" spans="14:65" x14ac:dyDescent="0.3">
      <c r="N509" s="11">
        <v>91</v>
      </c>
      <c r="O509" s="51">
        <f t="shared" si="459"/>
        <v>812830.51616410096</v>
      </c>
      <c r="P509" s="49" t="str">
        <f t="shared" si="411"/>
        <v>27.9103246607183</v>
      </c>
      <c r="Q509" s="18" t="str">
        <f t="shared" si="412"/>
        <v>1+2508.75022546031i</v>
      </c>
      <c r="R509" s="18">
        <f t="shared" si="424"/>
        <v>2508.7504247627257</v>
      </c>
      <c r="S509" s="18">
        <f t="shared" si="425"/>
        <v>1.5703977219689202</v>
      </c>
      <c r="T509" s="18" t="str">
        <f t="shared" si="413"/>
        <v>1+2.24715249281137i</v>
      </c>
      <c r="U509" s="18">
        <f t="shared" si="426"/>
        <v>2.4596126373777549</v>
      </c>
      <c r="V509" s="18">
        <f t="shared" si="427"/>
        <v>1.1521018084441903</v>
      </c>
      <c r="W509" s="32" t="str">
        <f t="shared" si="414"/>
        <v>1-29.6341658704081i</v>
      </c>
      <c r="X509" s="18">
        <f t="shared" si="428"/>
        <v>29.651033486791995</v>
      </c>
      <c r="Y509" s="18">
        <f t="shared" si="429"/>
        <v>-1.5370642928909672</v>
      </c>
      <c r="Z509" s="32" t="str">
        <f t="shared" si="415"/>
        <v>-12.6506910745372+13.5513973933743i</v>
      </c>
      <c r="AA509" s="18">
        <f t="shared" si="430"/>
        <v>18.538617962958483</v>
      </c>
      <c r="AB509" s="18">
        <f t="shared" si="431"/>
        <v>2.3218326570366901</v>
      </c>
      <c r="AC509" s="67" t="str">
        <f t="shared" si="432"/>
        <v>-0.0184512213789021+0.0396864353823996i</v>
      </c>
      <c r="AD509" s="65">
        <f t="shared" si="433"/>
        <v>-27.177267487397387</v>
      </c>
      <c r="AE509" s="62">
        <f t="shared" si="434"/>
        <v>114.93490076070279</v>
      </c>
      <c r="AF509" s="50" t="str">
        <f t="shared" si="416"/>
        <v>79.1527877025864</v>
      </c>
      <c r="AG509" s="50" t="str">
        <f t="shared" si="417"/>
        <v>1+2489.15353049875i</v>
      </c>
      <c r="AH509" s="50">
        <f t="shared" si="435"/>
        <v>2489.1537313702406</v>
      </c>
      <c r="AI509" s="50">
        <f t="shared" si="436"/>
        <v>1.5703945838192432</v>
      </c>
      <c r="AJ509" s="50" t="str">
        <f t="shared" si="418"/>
        <v>1+2.24715249281137i</v>
      </c>
      <c r="AK509" s="50">
        <f t="shared" si="437"/>
        <v>2.4596126373777549</v>
      </c>
      <c r="AL509" s="50">
        <f t="shared" si="438"/>
        <v>1.1521018084441903</v>
      </c>
      <c r="AM509" s="50" t="str">
        <f t="shared" si="419"/>
        <v>1-10.3677606012673i</v>
      </c>
      <c r="AN509" s="50">
        <f t="shared" si="439"/>
        <v>10.415875377767845</v>
      </c>
      <c r="AO509" s="50">
        <f t="shared" si="440"/>
        <v>-1.4746409289738589</v>
      </c>
      <c r="AP509" s="59" t="str">
        <f t="shared" si="441"/>
        <v>-0.257917402875146-0.77275568077467i</v>
      </c>
      <c r="AQ509" s="50">
        <f t="shared" si="442"/>
        <v>-1.7804602768305693</v>
      </c>
      <c r="AR509" s="62">
        <f t="shared" si="443"/>
        <v>-108.45711215725733</v>
      </c>
      <c r="AS509" s="32" t="str">
        <f t="shared" si="420"/>
        <v>-0.0000166666666666667</v>
      </c>
      <c r="AT509" s="32" t="str">
        <f t="shared" si="421"/>
        <v>0.0173643601717242i</v>
      </c>
      <c r="AU509" s="32">
        <f t="shared" si="444"/>
        <v>1.73643601717242E-2</v>
      </c>
      <c r="AV509" s="32">
        <f t="shared" si="445"/>
        <v>1.5707963267948966</v>
      </c>
      <c r="AW509" s="32" t="str">
        <f t="shared" si="422"/>
        <v>1+17.6467563406069i</v>
      </c>
      <c r="AX509" s="32">
        <f t="shared" si="446"/>
        <v>17.675067449510617</v>
      </c>
      <c r="AY509" s="32">
        <f t="shared" si="447"/>
        <v>1.514189229642102</v>
      </c>
      <c r="AZ509" s="32" t="str">
        <f t="shared" si="423"/>
        <v>1+599.989715580636i</v>
      </c>
      <c r="BA509" s="32">
        <f t="shared" si="448"/>
        <v>599.99054892767481</v>
      </c>
      <c r="BB509" s="32">
        <f t="shared" si="449"/>
        <v>1.5691296331031954</v>
      </c>
      <c r="BC509" s="59" t="str">
        <f t="shared" si="450"/>
        <v>-0.00178914950948455+0.0325325058243509i</v>
      </c>
      <c r="BD509" s="50">
        <f t="shared" si="451"/>
        <v>-29.740534122881236</v>
      </c>
      <c r="BE509" s="62">
        <f t="shared" si="452"/>
        <v>93.147853243066592</v>
      </c>
      <c r="BF509" s="59" t="str">
        <f t="shared" si="453"/>
        <v>-0.00125808719654619-0.000671269433373131i</v>
      </c>
      <c r="BG509" s="65">
        <f t="shared" si="454"/>
        <v>-56.917801610278609</v>
      </c>
      <c r="BH509" s="62">
        <f t="shared" si="455"/>
        <v>-151.91724599623066</v>
      </c>
      <c r="BI509" s="59" t="str">
        <f t="shared" si="460"/>
        <v>0.0256011314804438-0.00700812396402774i</v>
      </c>
      <c r="BJ509" s="65">
        <f t="shared" si="456"/>
        <v>-31.520994399711807</v>
      </c>
      <c r="BK509" s="62">
        <f t="shared" si="461"/>
        <v>-15.309258914190732</v>
      </c>
      <c r="BL509" s="50">
        <f t="shared" si="457"/>
        <v>-56.917801610278609</v>
      </c>
      <c r="BM509" s="62">
        <f t="shared" si="458"/>
        <v>-151.91724599623066</v>
      </c>
    </row>
    <row r="510" spans="14:65" x14ac:dyDescent="0.3">
      <c r="N510" s="11">
        <v>92</v>
      </c>
      <c r="O510" s="51">
        <f t="shared" si="459"/>
        <v>831763.77110267128</v>
      </c>
      <c r="P510" s="49" t="str">
        <f t="shared" si="411"/>
        <v>27.9103246607183</v>
      </c>
      <c r="Q510" s="18" t="str">
        <f t="shared" si="412"/>
        <v>1+2567.18652509629i</v>
      </c>
      <c r="R510" s="18">
        <f t="shared" si="424"/>
        <v>2567.1867198620293</v>
      </c>
      <c r="S510" s="18">
        <f t="shared" si="425"/>
        <v>1.5704067953215712</v>
      </c>
      <c r="T510" s="18" t="str">
        <f t="shared" si="413"/>
        <v>1+2.2994953984801i</v>
      </c>
      <c r="U510" s="18">
        <f t="shared" si="426"/>
        <v>2.5075244939244667</v>
      </c>
      <c r="V510" s="18">
        <f t="shared" si="427"/>
        <v>1.1605887486315809</v>
      </c>
      <c r="W510" s="32" t="str">
        <f t="shared" si="414"/>
        <v>1-30.324434267274i</v>
      </c>
      <c r="X510" s="18">
        <f t="shared" si="428"/>
        <v>30.340918140857596</v>
      </c>
      <c r="Y510" s="18">
        <f t="shared" si="429"/>
        <v>-1.5378315651187362</v>
      </c>
      <c r="Z510" s="32" t="str">
        <f t="shared" si="415"/>
        <v>-13.2940283247714+13.8670499882516i</v>
      </c>
      <c r="AA510" s="18">
        <f t="shared" si="430"/>
        <v>19.210056337150419</v>
      </c>
      <c r="AB510" s="18">
        <f t="shared" si="431"/>
        <v>2.3351004576165852</v>
      </c>
      <c r="AC510" s="67" t="str">
        <f t="shared" si="432"/>
        <v>-0.017935441612377+0.0391446217052356i</v>
      </c>
      <c r="AD510" s="65">
        <f t="shared" si="433"/>
        <v>-27.31894609813677</v>
      </c>
      <c r="AE510" s="62">
        <f t="shared" si="434"/>
        <v>114.61649631256927</v>
      </c>
      <c r="AF510" s="50" t="str">
        <f t="shared" si="416"/>
        <v>79.1527877025864</v>
      </c>
      <c r="AG510" s="50" t="str">
        <f t="shared" si="417"/>
        <v>1+2547.13336447026i</v>
      </c>
      <c r="AH510" s="50">
        <f t="shared" si="435"/>
        <v>2547.1335607693577</v>
      </c>
      <c r="AI510" s="50">
        <f t="shared" si="436"/>
        <v>1.57040372860488</v>
      </c>
      <c r="AJ510" s="50" t="str">
        <f t="shared" si="418"/>
        <v>1+2.2994953984801i</v>
      </c>
      <c r="AK510" s="50">
        <f t="shared" si="437"/>
        <v>2.5075244939244667</v>
      </c>
      <c r="AL510" s="50">
        <f t="shared" si="438"/>
        <v>1.1605887486315809</v>
      </c>
      <c r="AM510" s="50" t="str">
        <f t="shared" si="419"/>
        <v>1-10.6092567689213i</v>
      </c>
      <c r="AN510" s="50">
        <f t="shared" si="439"/>
        <v>10.656281208231249</v>
      </c>
      <c r="AO510" s="50">
        <f t="shared" si="440"/>
        <v>-1.4768166797056244</v>
      </c>
      <c r="AP510" s="59" t="str">
        <f t="shared" si="441"/>
        <v>-0.257917979720869-0.789286169897306i</v>
      </c>
      <c r="AQ510" s="50">
        <f t="shared" si="442"/>
        <v>-1.6146929313969332</v>
      </c>
      <c r="AR510" s="62">
        <f t="shared" si="443"/>
        <v>-108.09603159536421</v>
      </c>
      <c r="AS510" s="32" t="str">
        <f t="shared" si="420"/>
        <v>-0.0000166666666666667</v>
      </c>
      <c r="AT510" s="32" t="str">
        <f t="shared" si="421"/>
        <v>0.0177688280791644i</v>
      </c>
      <c r="AU510" s="32">
        <f t="shared" si="444"/>
        <v>1.7768828079164401E-2</v>
      </c>
      <c r="AV510" s="32">
        <f t="shared" si="445"/>
        <v>1.5707963267948966</v>
      </c>
      <c r="AW510" s="32" t="str">
        <f t="shared" si="422"/>
        <v>1+18.057802099829i</v>
      </c>
      <c r="AX510" s="32">
        <f t="shared" si="446"/>
        <v>18.085469766544321</v>
      </c>
      <c r="AY510" s="32">
        <f t="shared" si="447"/>
        <v>1.5154751066111616</v>
      </c>
      <c r="AZ510" s="32" t="str">
        <f t="shared" si="423"/>
        <v>1+613.965271394186i</v>
      </c>
      <c r="BA510" s="32">
        <f t="shared" si="448"/>
        <v>613.9660857719557</v>
      </c>
      <c r="BB510" s="32">
        <f t="shared" si="449"/>
        <v>1.5691675716155558</v>
      </c>
      <c r="BC510" s="59" t="str">
        <f t="shared" si="450"/>
        <v>-0.00170887070723707+0.0317964212399569i</v>
      </c>
      <c r="BD510" s="50">
        <f t="shared" si="451"/>
        <v>-29.939908949514539</v>
      </c>
      <c r="BE510" s="62">
        <f t="shared" si="452"/>
        <v>93.076351636405676</v>
      </c>
      <c r="BF510" s="59" t="str">
        <f t="shared" si="453"/>
        <v>-0.00121400953022568-0.000637175954009744i</v>
      </c>
      <c r="BG510" s="65">
        <f t="shared" si="454"/>
        <v>-57.258855047651309</v>
      </c>
      <c r="BH510" s="62">
        <f t="shared" si="455"/>
        <v>-152.30715205102507</v>
      </c>
      <c r="BI510" s="59" t="str">
        <f t="shared" si="460"/>
        <v>0.0255372240173417-0.00685208071319856i</v>
      </c>
      <c r="BJ510" s="65">
        <f t="shared" si="456"/>
        <v>-31.554601880911473</v>
      </c>
      <c r="BK510" s="62">
        <f t="shared" si="461"/>
        <v>-15.01967995895853</v>
      </c>
      <c r="BL510" s="50">
        <f t="shared" si="457"/>
        <v>-57.258855047651309</v>
      </c>
      <c r="BM510" s="62">
        <f t="shared" si="458"/>
        <v>-152.30715205102507</v>
      </c>
    </row>
    <row r="511" spans="14:65" x14ac:dyDescent="0.3">
      <c r="N511" s="11">
        <v>93</v>
      </c>
      <c r="O511" s="51">
        <f t="shared" si="459"/>
        <v>851138.03820237669</v>
      </c>
      <c r="P511" s="49" t="str">
        <f t="shared" si="411"/>
        <v>27.9103246607183</v>
      </c>
      <c r="Q511" s="18" t="str">
        <f t="shared" si="412"/>
        <v>1+2626.98398100862i</v>
      </c>
      <c r="R511" s="18">
        <f t="shared" si="424"/>
        <v>2626.9841713409496</v>
      </c>
      <c r="S511" s="18">
        <f t="shared" si="425"/>
        <v>1.5704156621395629</v>
      </c>
      <c r="T511" s="18" t="str">
        <f t="shared" si="413"/>
        <v>1+2.35305752704653i</v>
      </c>
      <c r="U511" s="18">
        <f t="shared" si="426"/>
        <v>2.556732235802242</v>
      </c>
      <c r="V511" s="18">
        <f t="shared" si="427"/>
        <v>1.1689434791999396</v>
      </c>
      <c r="W511" s="32" t="str">
        <f t="shared" si="414"/>
        <v>1-31.0307810805799i</v>
      </c>
      <c r="X511" s="18">
        <f t="shared" si="428"/>
        <v>31.046889932340655</v>
      </c>
      <c r="Y511" s="18">
        <f t="shared" si="429"/>
        <v>-1.5385814096183621</v>
      </c>
      <c r="Z511" s="32" t="str">
        <f t="shared" si="415"/>
        <v>-13.9676851255163+14.1900550765848i</v>
      </c>
      <c r="AA511" s="18">
        <f t="shared" si="430"/>
        <v>19.911149912601214</v>
      </c>
      <c r="AB511" s="18">
        <f t="shared" si="431"/>
        <v>2.3482973604234818</v>
      </c>
      <c r="AC511" s="67" t="str">
        <f t="shared" si="432"/>
        <v>-0.0174271103229393+0.0386046943800425i</v>
      </c>
      <c r="AD511" s="65">
        <f t="shared" si="433"/>
        <v>-27.461711213905417</v>
      </c>
      <c r="AE511" s="62">
        <f t="shared" si="434"/>
        <v>114.2955893232574</v>
      </c>
      <c r="AF511" s="50" t="str">
        <f t="shared" si="416"/>
        <v>79.1527877025864</v>
      </c>
      <c r="AG511" s="50" t="str">
        <f t="shared" si="417"/>
        <v>1+2606.46372226692i</v>
      </c>
      <c r="AH511" s="50">
        <f t="shared" si="435"/>
        <v>2606.4639140977047</v>
      </c>
      <c r="AI511" s="50">
        <f t="shared" si="436"/>
        <v>1.5704126652298451</v>
      </c>
      <c r="AJ511" s="50" t="str">
        <f t="shared" si="418"/>
        <v>1+2.35305752704653i</v>
      </c>
      <c r="AK511" s="50">
        <f t="shared" si="437"/>
        <v>2.556732235802242</v>
      </c>
      <c r="AL511" s="50">
        <f t="shared" si="438"/>
        <v>1.1689434791999396</v>
      </c>
      <c r="AM511" s="50" t="str">
        <f t="shared" si="419"/>
        <v>1-10.8563781049443i</v>
      </c>
      <c r="AN511" s="50">
        <f t="shared" si="439"/>
        <v>10.902336701712803</v>
      </c>
      <c r="AO511" s="50">
        <f t="shared" si="440"/>
        <v>-1.4789437669721832</v>
      </c>
      <c r="AP511" s="59" t="str">
        <f t="shared" si="441"/>
        <v>-0.257918530604263-0.806235148974272i</v>
      </c>
      <c r="AQ511" s="50">
        <f t="shared" si="442"/>
        <v>-1.4476132808085205</v>
      </c>
      <c r="AR511" s="62">
        <f t="shared" si="443"/>
        <v>-107.7397259487517</v>
      </c>
      <c r="AS511" s="32" t="str">
        <f t="shared" si="420"/>
        <v>-0.0000166666666666667</v>
      </c>
      <c r="AT511" s="32" t="str">
        <f t="shared" si="421"/>
        <v>0.0181827172544504i</v>
      </c>
      <c r="AU511" s="32">
        <f t="shared" si="444"/>
        <v>1.8182717254450399E-2</v>
      </c>
      <c r="AV511" s="32">
        <f t="shared" si="445"/>
        <v>1.5707963267948966</v>
      </c>
      <c r="AW511" s="32" t="str">
        <f t="shared" si="422"/>
        <v>1+18.4784223447477i</v>
      </c>
      <c r="AX511" s="32">
        <f t="shared" si="446"/>
        <v>18.505461149370774</v>
      </c>
      <c r="AY511" s="32">
        <f t="shared" si="447"/>
        <v>1.5167318904293321</v>
      </c>
      <c r="AZ511" s="32" t="str">
        <f t="shared" si="423"/>
        <v>1+628.266359721422i</v>
      </c>
      <c r="BA511" s="32">
        <f t="shared" si="448"/>
        <v>628.26715556171428</v>
      </c>
      <c r="BB511" s="32">
        <f t="shared" si="449"/>
        <v>1.5692046465464726</v>
      </c>
      <c r="BC511" s="59" t="str">
        <f t="shared" si="450"/>
        <v>-0.00163218344744559+0.0310767964266687i</v>
      </c>
      <c r="BD511" s="50">
        <f t="shared" si="451"/>
        <v>-30.139311829416542</v>
      </c>
      <c r="BE511" s="62">
        <f t="shared" si="452"/>
        <v>93.006467464931418</v>
      </c>
      <c r="BF511" s="59" t="str">
        <f t="shared" si="453"/>
        <v>-0.00117126598735643-0.000604588702971882i</v>
      </c>
      <c r="BG511" s="65">
        <f t="shared" si="454"/>
        <v>-57.601023043321973</v>
      </c>
      <c r="BH511" s="62">
        <f t="shared" si="455"/>
        <v>-152.69794321181115</v>
      </c>
      <c r="BI511" s="59" t="str">
        <f t="shared" si="460"/>
        <v>0.0254761759531401-0.00669935800534957i</v>
      </c>
      <c r="BJ511" s="65">
        <f t="shared" si="456"/>
        <v>-31.586925110225074</v>
      </c>
      <c r="BK511" s="62">
        <f t="shared" si="461"/>
        <v>-14.733258483820302</v>
      </c>
      <c r="BL511" s="50">
        <f t="shared" si="457"/>
        <v>-57.601023043321973</v>
      </c>
      <c r="BM511" s="62">
        <f t="shared" si="458"/>
        <v>-152.69794321181115</v>
      </c>
    </row>
    <row r="512" spans="14:65" x14ac:dyDescent="0.3">
      <c r="N512" s="11">
        <v>94</v>
      </c>
      <c r="O512" s="51">
        <f t="shared" si="459"/>
        <v>870963.58995608077</v>
      </c>
      <c r="P512" s="49" t="str">
        <f t="shared" si="411"/>
        <v>27.9103246607183</v>
      </c>
      <c r="Q512" s="18" t="str">
        <f t="shared" si="412"/>
        <v>1+2688.17429859991i</v>
      </c>
      <c r="R512" s="18">
        <f t="shared" si="424"/>
        <v>2688.1744845997478</v>
      </c>
      <c r="S512" s="18">
        <f t="shared" si="425"/>
        <v>1.5704243271241933</v>
      </c>
      <c r="T512" s="18" t="str">
        <f t="shared" si="413"/>
        <v>1+2.40786727786019i</v>
      </c>
      <c r="U512" s="18">
        <f t="shared" si="426"/>
        <v>2.6072638584903221</v>
      </c>
      <c r="V512" s="18">
        <f t="shared" si="427"/>
        <v>1.1771657635035224</v>
      </c>
      <c r="W512" s="32" t="str">
        <f t="shared" si="414"/>
        <v>1-31.7535808247556i</v>
      </c>
      <c r="X512" s="18">
        <f t="shared" si="428"/>
        <v>31.769323178095664</v>
      </c>
      <c r="Y512" s="18">
        <f t="shared" si="429"/>
        <v>-1.5393142205924943</v>
      </c>
      <c r="Z512" s="32" t="str">
        <f t="shared" si="415"/>
        <v>-14.673090393165+14.5205839199471i</v>
      </c>
      <c r="AA512" s="18">
        <f t="shared" si="430"/>
        <v>20.643326744064709</v>
      </c>
      <c r="AB512" s="18">
        <f t="shared" si="431"/>
        <v>2.3614183987801698</v>
      </c>
      <c r="AC512" s="67" t="str">
        <f t="shared" si="432"/>
        <v>-0.0169263877360944+0.038066578738796i</v>
      </c>
      <c r="AD512" s="65">
        <f t="shared" si="433"/>
        <v>-27.605586114501264</v>
      </c>
      <c r="AE512" s="62">
        <f t="shared" si="434"/>
        <v>113.97242794809438</v>
      </c>
      <c r="AF512" s="50" t="str">
        <f t="shared" si="416"/>
        <v>79.1527877025864</v>
      </c>
      <c r="AG512" s="50" t="str">
        <f t="shared" si="417"/>
        <v>1+2667.17606162974i</v>
      </c>
      <c r="AH512" s="50">
        <f t="shared" si="435"/>
        <v>2667.1762490939236</v>
      </c>
      <c r="AI512" s="50">
        <f t="shared" si="436"/>
        <v>1.5704213984324502</v>
      </c>
      <c r="AJ512" s="50" t="str">
        <f t="shared" si="418"/>
        <v>1+2.40786727786019i</v>
      </c>
      <c r="AK512" s="50">
        <f t="shared" si="437"/>
        <v>2.6072638584903221</v>
      </c>
      <c r="AL512" s="50">
        <f t="shared" si="438"/>
        <v>1.1771657635035224</v>
      </c>
      <c r="AM512" s="50" t="str">
        <f t="shared" si="419"/>
        <v>1-11.1092556363397i</v>
      </c>
      <c r="AN512" s="50">
        <f t="shared" si="439"/>
        <v>11.154172349105306</v>
      </c>
      <c r="AO512" s="50">
        <f t="shared" si="440"/>
        <v>-1.4810232415488154</v>
      </c>
      <c r="AP512" s="59" t="str">
        <f t="shared" si="441"/>
        <v>-0.257919056693829-0.823611604579977i</v>
      </c>
      <c r="AQ512" s="50">
        <f t="shared" si="442"/>
        <v>-1.2792632975319285</v>
      </c>
      <c r="AR512" s="62">
        <f t="shared" si="443"/>
        <v>-107.38826925269642</v>
      </c>
      <c r="AS512" s="32" t="str">
        <f t="shared" si="420"/>
        <v>-0.0000166666666666667</v>
      </c>
      <c r="AT512" s="32" t="str">
        <f t="shared" si="421"/>
        <v>0.0186062471471015i</v>
      </c>
      <c r="AU512" s="32">
        <f t="shared" si="444"/>
        <v>1.86062471471015E-2</v>
      </c>
      <c r="AV512" s="32">
        <f t="shared" si="445"/>
        <v>1.5707963267948966</v>
      </c>
      <c r="AW512" s="32" t="str">
        <f t="shared" si="422"/>
        <v>1+18.9088400937844i</v>
      </c>
      <c r="AX512" s="32">
        <f t="shared" si="446"/>
        <v>18.935264288947973</v>
      </c>
      <c r="AY512" s="32">
        <f t="shared" si="447"/>
        <v>1.5179602315702547</v>
      </c>
      <c r="AZ512" s="32" t="str">
        <f t="shared" si="423"/>
        <v>1+642.90056318867i</v>
      </c>
      <c r="BA512" s="32">
        <f t="shared" si="448"/>
        <v>642.90134091344771</v>
      </c>
      <c r="BB512" s="32">
        <f t="shared" si="449"/>
        <v>1.569240877553157</v>
      </c>
      <c r="BC512" s="59" t="str">
        <f t="shared" si="450"/>
        <v>-0.00155892797639543+0.0303732763150062i</v>
      </c>
      <c r="BD512" s="50">
        <f t="shared" si="451"/>
        <v>-30.338741507366809</v>
      </c>
      <c r="BE512" s="62">
        <f t="shared" si="452"/>
        <v>92.938164585524802</v>
      </c>
      <c r="BF512" s="59" t="str">
        <f t="shared" si="453"/>
        <v>-0.00112981969501928-0.000573452906284896i</v>
      </c>
      <c r="BG512" s="65">
        <f t="shared" si="454"/>
        <v>-57.944327621868055</v>
      </c>
      <c r="BH512" s="62">
        <f t="shared" si="455"/>
        <v>-153.08940746638089</v>
      </c>
      <c r="BI512" s="59" t="str">
        <f t="shared" si="460"/>
        <v>0.0254178600752788-0.00654989560380376i</v>
      </c>
      <c r="BJ512" s="65">
        <f t="shared" si="456"/>
        <v>-31.618004804898732</v>
      </c>
      <c r="BK512" s="62">
        <f t="shared" si="461"/>
        <v>-14.450104667171622</v>
      </c>
      <c r="BL512" s="50">
        <f t="shared" si="457"/>
        <v>-57.944327621868055</v>
      </c>
      <c r="BM512" s="62">
        <f t="shared" si="458"/>
        <v>-153.08940746638089</v>
      </c>
    </row>
    <row r="513" spans="14:65" x14ac:dyDescent="0.3">
      <c r="N513" s="11">
        <v>95</v>
      </c>
      <c r="O513" s="51">
        <f t="shared" si="459"/>
        <v>891250.93813374708</v>
      </c>
      <c r="P513" s="49" t="str">
        <f t="shared" si="411"/>
        <v>27.9103246607183</v>
      </c>
      <c r="Q513" s="18" t="str">
        <f t="shared" si="412"/>
        <v>1+2750.78992178653i</v>
      </c>
      <c r="R513" s="18">
        <f t="shared" si="424"/>
        <v>2750.7901035524947</v>
      </c>
      <c r="S513" s="18">
        <f t="shared" si="425"/>
        <v>1.5704327948697474</v>
      </c>
      <c r="T513" s="18" t="str">
        <f t="shared" si="413"/>
        <v>1+2.46395371177647i</v>
      </c>
      <c r="U513" s="18">
        <f t="shared" si="426"/>
        <v>2.6591479638743389</v>
      </c>
      <c r="V513" s="18">
        <f t="shared" si="427"/>
        <v>1.1852555130522044</v>
      </c>
      <c r="W513" s="32" t="str">
        <f t="shared" si="414"/>
        <v>1-32.4932167377929i</v>
      </c>
      <c r="X513" s="18">
        <f t="shared" si="428"/>
        <v>32.508600922973976</v>
      </c>
      <c r="Y513" s="18">
        <f t="shared" si="429"/>
        <v>-1.5400303834371853</v>
      </c>
      <c r="Z513" s="32" t="str">
        <f t="shared" si="415"/>
        <v>-15.4117403868654+14.8588117691065i</v>
      </c>
      <c r="AA513" s="18">
        <f t="shared" si="430"/>
        <v>21.408083261746622</v>
      </c>
      <c r="AB513" s="18">
        <f t="shared" si="431"/>
        <v>2.3744586807973067</v>
      </c>
      <c r="AC513" s="67" t="str">
        <f t="shared" si="432"/>
        <v>-0.0164334340652836+0.0375302236621831i</v>
      </c>
      <c r="AD513" s="65">
        <f t="shared" si="433"/>
        <v>-27.75059134679552</v>
      </c>
      <c r="AE513" s="62">
        <f t="shared" si="434"/>
        <v>113.64726505678222</v>
      </c>
      <c r="AF513" s="50" t="str">
        <f t="shared" si="416"/>
        <v>79.1527877025864</v>
      </c>
      <c r="AG513" s="50" t="str">
        <f t="shared" si="417"/>
        <v>1+2729.3025730447i</v>
      </c>
      <c r="AH513" s="50">
        <f t="shared" si="435"/>
        <v>2729.3027562416778</v>
      </c>
      <c r="AI513" s="50">
        <f t="shared" si="436"/>
        <v>1.5704299328431492</v>
      </c>
      <c r="AJ513" s="50" t="str">
        <f t="shared" si="418"/>
        <v>1+2.46395371177647i</v>
      </c>
      <c r="AK513" s="50">
        <f t="shared" si="437"/>
        <v>2.6591479638743389</v>
      </c>
      <c r="AL513" s="50">
        <f t="shared" si="438"/>
        <v>1.1852555130522044</v>
      </c>
      <c r="AM513" s="50" t="str">
        <f t="shared" si="419"/>
        <v>1-11.3680234421219i</v>
      </c>
      <c r="AN513" s="50">
        <f t="shared" si="439"/>
        <v>11.411921704105451</v>
      </c>
      <c r="AO513" s="50">
        <f t="shared" si="440"/>
        <v>-1.483056134023943</v>
      </c>
      <c r="AP513" s="59" t="str">
        <f t="shared" si="441"/>
        <v>-0.257919559105471-0.841424749942459i</v>
      </c>
      <c r="AQ513" s="50">
        <f t="shared" si="442"/>
        <v>-1.1096842367183561</v>
      </c>
      <c r="AR513" s="62">
        <f t="shared" si="443"/>
        <v>-107.04172589098152</v>
      </c>
      <c r="AS513" s="32" t="str">
        <f t="shared" si="420"/>
        <v>-0.0000166666666666667</v>
      </c>
      <c r="AT513" s="32" t="str">
        <f t="shared" si="421"/>
        <v>0.0190396423182727i</v>
      </c>
      <c r="AU513" s="32">
        <f t="shared" si="444"/>
        <v>1.9039642318272699E-2</v>
      </c>
      <c r="AV513" s="32">
        <f t="shared" si="445"/>
        <v>1.5707963267948966</v>
      </c>
      <c r="AW513" s="32" t="str">
        <f t="shared" si="422"/>
        <v>1+19.349283560127i</v>
      </c>
      <c r="AX513" s="32">
        <f t="shared" si="446"/>
        <v>19.375107078160909</v>
      </c>
      <c r="AY513" s="32">
        <f t="shared" si="447"/>
        <v>1.519160766481471</v>
      </c>
      <c r="AZ513" s="32" t="str">
        <f t="shared" si="423"/>
        <v>1+657.875641044318i</v>
      </c>
      <c r="BA513" s="32">
        <f t="shared" si="448"/>
        <v>657.87640106593904</v>
      </c>
      <c r="BB513" s="32">
        <f t="shared" si="449"/>
        <v>1.5692762838453878</v>
      </c>
      <c r="BC513" s="59" t="str">
        <f t="shared" si="450"/>
        <v>-0.00148895156501595+0.0296855126233104i</v>
      </c>
      <c r="BD513" s="50">
        <f t="shared" si="451"/>
        <v>-30.538196783992223</v>
      </c>
      <c r="BE513" s="62">
        <f t="shared" si="452"/>
        <v>92.871407633067022</v>
      </c>
      <c r="BF513" s="59" t="str">
        <f t="shared" si="453"/>
        <v>-0.00108963534090931-0.000543715599646522i</v>
      </c>
      <c r="BG513" s="65">
        <f t="shared" si="454"/>
        <v>-58.288788130787744</v>
      </c>
      <c r="BH513" s="62">
        <f t="shared" si="455"/>
        <v>-153.48132731015076</v>
      </c>
      <c r="BI513" s="59" t="str">
        <f t="shared" si="460"/>
        <v>0.025362154767161-0.00640363362935413i</v>
      </c>
      <c r="BJ513" s="65">
        <f t="shared" si="456"/>
        <v>-31.647881020710575</v>
      </c>
      <c r="BK513" s="62">
        <f t="shared" si="461"/>
        <v>-14.170318257914492</v>
      </c>
      <c r="BL513" s="50">
        <f t="shared" si="457"/>
        <v>-58.288788130787744</v>
      </c>
      <c r="BM513" s="62">
        <f t="shared" si="458"/>
        <v>-153.48132731015076</v>
      </c>
    </row>
    <row r="514" spans="14:65" x14ac:dyDescent="0.3">
      <c r="N514" s="11">
        <v>96</v>
      </c>
      <c r="O514" s="51">
        <f t="shared" si="459"/>
        <v>912010.83935591124</v>
      </c>
      <c r="P514" s="49" t="str">
        <f t="shared" si="411"/>
        <v>27.9103246607183</v>
      </c>
      <c r="Q514" s="18" t="str">
        <f t="shared" si="412"/>
        <v>1+2814.86405020067i</v>
      </c>
      <c r="R514" s="18">
        <f t="shared" si="424"/>
        <v>2814.8642278291368</v>
      </c>
      <c r="S514" s="18">
        <f t="shared" si="425"/>
        <v>1.5704410698659308</v>
      </c>
      <c r="T514" s="18" t="str">
        <f t="shared" si="413"/>
        <v>1+2.52134656656502i</v>
      </c>
      <c r="U514" s="18">
        <f t="shared" si="426"/>
        <v>2.7124137790405825</v>
      </c>
      <c r="V514" s="18">
        <f t="shared" si="427"/>
        <v>1.193212780684072</v>
      </c>
      <c r="W514" s="32" t="str">
        <f t="shared" si="414"/>
        <v>1-33.2500809844432i</v>
      </c>
      <c r="X514" s="18">
        <f t="shared" si="428"/>
        <v>33.2651151429246</v>
      </c>
      <c r="Y514" s="18">
        <f t="shared" si="429"/>
        <v>-1.5407302749312768</v>
      </c>
      <c r="Z514" s="32" t="str">
        <f t="shared" si="415"/>
        <v>-16.1852018822866+15.2049179569455i</v>
      </c>
      <c r="AA514" s="18">
        <f t="shared" si="430"/>
        <v>22.20698741495157</v>
      </c>
      <c r="AB514" s="18">
        <f t="shared" si="431"/>
        <v>2.3874134037032237</v>
      </c>
      <c r="AC514" s="67" t="str">
        <f t="shared" si="432"/>
        <v>-0.0159484076273582+0.0369956007742396i</v>
      </c>
      <c r="AD514" s="65">
        <f t="shared" si="433"/>
        <v>-27.896744741223131</v>
      </c>
      <c r="AE514" s="62">
        <f t="shared" si="434"/>
        <v>113.32035701018856</v>
      </c>
      <c r="AF514" s="50" t="str">
        <f t="shared" si="416"/>
        <v>79.1527877025864</v>
      </c>
      <c r="AG514" s="50" t="str">
        <f t="shared" si="417"/>
        <v>1+2792.87619681047i</v>
      </c>
      <c r="AH514" s="50">
        <f t="shared" si="435"/>
        <v>2792.8763758373757</v>
      </c>
      <c r="AI514" s="50">
        <f t="shared" si="436"/>
        <v>1.570438272986995</v>
      </c>
      <c r="AJ514" s="50" t="str">
        <f t="shared" si="418"/>
        <v>1+2.52134656656502i</v>
      </c>
      <c r="AK514" s="50">
        <f t="shared" si="437"/>
        <v>2.7124137790405825</v>
      </c>
      <c r="AL514" s="50">
        <f t="shared" si="438"/>
        <v>1.193212780684072</v>
      </c>
      <c r="AM514" s="50" t="str">
        <f t="shared" si="419"/>
        <v>1-11.6328187244067i</v>
      </c>
      <c r="AN514" s="50">
        <f t="shared" si="439"/>
        <v>11.675721454150365</v>
      </c>
      <c r="AO514" s="50">
        <f t="shared" si="440"/>
        <v>-1.4850434550169478</v>
      </c>
      <c r="AP514" s="59" t="str">
        <f t="shared" si="441"/>
        <v>-0.25792003890487-0.859684029828366i</v>
      </c>
      <c r="AQ514" s="50">
        <f t="shared" si="442"/>
        <v>-0.9389166001221344</v>
      </c>
      <c r="AR514" s="62">
        <f t="shared" si="443"/>
        <v>-106.70015099969922</v>
      </c>
      <c r="AS514" s="32" t="str">
        <f t="shared" si="420"/>
        <v>-0.0000166666666666667</v>
      </c>
      <c r="AT514" s="32" t="str">
        <f t="shared" si="421"/>
        <v>0.0194831325598206i</v>
      </c>
      <c r="AU514" s="32">
        <f t="shared" si="444"/>
        <v>1.94831325598206E-2</v>
      </c>
      <c r="AV514" s="32">
        <f t="shared" si="445"/>
        <v>1.5707963267948966</v>
      </c>
      <c r="AW514" s="32" t="str">
        <f t="shared" si="422"/>
        <v>1+19.7999862727311i</v>
      </c>
      <c r="AX514" s="32">
        <f t="shared" si="446"/>
        <v>19.825222732679194</v>
      </c>
      <c r="AY514" s="32">
        <f t="shared" si="447"/>
        <v>1.5203341178521339</v>
      </c>
      <c r="AZ514" s="32" t="str">
        <f t="shared" si="423"/>
        <v>1+673.199533272859i</v>
      </c>
      <c r="BA514" s="32">
        <f t="shared" si="448"/>
        <v>673.20027599429523</v>
      </c>
      <c r="BB514" s="32">
        <f t="shared" si="449"/>
        <v>1.5693108841956942</v>
      </c>
      <c r="BC514" s="59" t="str">
        <f t="shared" si="450"/>
        <v>-0.00142210820714365+0.0290131637881582i</v>
      </c>
      <c r="BD514" s="50">
        <f t="shared" si="451"/>
        <v>-30.737676513309815</v>
      </c>
      <c r="BE514" s="62">
        <f t="shared" si="452"/>
        <v>92.806162005684399</v>
      </c>
      <c r="BF514" s="59" t="str">
        <f t="shared" si="453"/>
        <v>-0.00105067906332659-0.000515325510142111i</v>
      </c>
      <c r="BG514" s="65">
        <f t="shared" si="454"/>
        <v>-58.634421254532924</v>
      </c>
      <c r="BH514" s="62">
        <f t="shared" si="455"/>
        <v>-153.8734809841271</v>
      </c>
      <c r="BI514" s="59" t="str">
        <f t="shared" si="460"/>
        <v>0.0253089437675877-0.00626051261862588i</v>
      </c>
      <c r="BJ514" s="65">
        <f t="shared" si="456"/>
        <v>-31.676593113431938</v>
      </c>
      <c r="BK514" s="62">
        <f t="shared" si="461"/>
        <v>-13.89398899401483</v>
      </c>
      <c r="BL514" s="50">
        <f t="shared" si="457"/>
        <v>-58.634421254532924</v>
      </c>
      <c r="BM514" s="62">
        <f t="shared" si="458"/>
        <v>-153.8734809841271</v>
      </c>
    </row>
    <row r="515" spans="14:65" x14ac:dyDescent="0.3">
      <c r="N515" s="11">
        <v>97</v>
      </c>
      <c r="O515" s="51">
        <f t="shared" si="459"/>
        <v>933254.30079699249</v>
      </c>
      <c r="P515" s="49" t="str">
        <f t="shared" si="411"/>
        <v>27.9103246607183</v>
      </c>
      <c r="Q515" s="18" t="str">
        <f t="shared" si="412"/>
        <v>1+2880.43065679337i</v>
      </c>
      <c r="R515" s="18">
        <f t="shared" si="424"/>
        <v>2880.4308303785187</v>
      </c>
      <c r="S515" s="18">
        <f t="shared" si="425"/>
        <v>1.5704491565002514</v>
      </c>
      <c r="T515" s="18" t="str">
        <f t="shared" si="413"/>
        <v>1+2.58007627267712i</v>
      </c>
      <c r="U515" s="18">
        <f t="shared" si="426"/>
        <v>2.7670911753737824</v>
      </c>
      <c r="V515" s="18">
        <f t="shared" si="427"/>
        <v>1.2010377536958554</v>
      </c>
      <c r="W515" s="32" t="str">
        <f t="shared" si="414"/>
        <v>1-34.0245748641483i</v>
      </c>
      <c r="X515" s="18">
        <f t="shared" si="428"/>
        <v>34.039266952830111</v>
      </c>
      <c r="Y515" s="18">
        <f t="shared" si="429"/>
        <v>-1.5414142634222094</v>
      </c>
      <c r="Z515" s="32" t="str">
        <f t="shared" si="415"/>
        <v>-16.9951154949604+15.5590859935462i</v>
      </c>
      <c r="AA515" s="18">
        <f t="shared" si="430"/>
        <v>23.041681962079259</v>
      </c>
      <c r="AB515" s="18">
        <f t="shared" si="431"/>
        <v>2.4002778675161927</v>
      </c>
      <c r="AC515" s="67" t="str">
        <f t="shared" si="432"/>
        <v>-0.0154714630721803+0.0364627035084656i</v>
      </c>
      <c r="AD515" s="65">
        <f t="shared" si="433"/>
        <v>-28.04406144117489</v>
      </c>
      <c r="AE515" s="62">
        <f t="shared" si="434"/>
        <v>112.99196247260258</v>
      </c>
      <c r="AF515" s="50" t="str">
        <f t="shared" si="416"/>
        <v>79.1527877025864</v>
      </c>
      <c r="AG515" s="50" t="str">
        <f t="shared" si="417"/>
        <v>1+2857.93064050388i</v>
      </c>
      <c r="AH515" s="50">
        <f t="shared" si="435"/>
        <v>2857.9308154556361</v>
      </c>
      <c r="AI515" s="50">
        <f t="shared" si="436"/>
        <v>1.5704464232860371</v>
      </c>
      <c r="AJ515" s="50" t="str">
        <f t="shared" si="418"/>
        <v>1+2.58007627267712i</v>
      </c>
      <c r="AK515" s="50">
        <f t="shared" si="437"/>
        <v>2.7670911753737824</v>
      </c>
      <c r="AL515" s="50">
        <f t="shared" si="438"/>
        <v>1.2010377536958554</v>
      </c>
      <c r="AM515" s="50" t="str">
        <f t="shared" si="419"/>
        <v>1-11.9037818811577i</v>
      </c>
      <c r="AN515" s="50">
        <f t="shared" si="439"/>
        <v>11.945711493007789</v>
      </c>
      <c r="AO515" s="50">
        <f t="shared" si="440"/>
        <v>-1.4869861954063779</v>
      </c>
      <c r="AP515" s="59" t="str">
        <f t="shared" si="441"/>
        <v>-0.257920497109743-0.878399125550672i</v>
      </c>
      <c r="AQ515" s="50">
        <f t="shared" si="442"/>
        <v>-0.76700010430865961</v>
      </c>
      <c r="AR515" s="62">
        <f t="shared" si="443"/>
        <v>-106.36359087406112</v>
      </c>
      <c r="AS515" s="32" t="str">
        <f t="shared" si="420"/>
        <v>-0.0000166666666666667</v>
      </c>
      <c r="AT515" s="32" t="str">
        <f t="shared" si="421"/>
        <v>0.0199369530161414i</v>
      </c>
      <c r="AU515" s="32">
        <f t="shared" si="444"/>
        <v>1.9936953016141401E-2</v>
      </c>
      <c r="AV515" s="32">
        <f t="shared" si="445"/>
        <v>1.5707963267948966</v>
      </c>
      <c r="AW515" s="32" t="str">
        <f t="shared" si="422"/>
        <v>1+20.2611872001409i</v>
      </c>
      <c r="AX515" s="32">
        <f t="shared" si="446"/>
        <v>20.285849914636394</v>
      </c>
      <c r="AY515" s="32">
        <f t="shared" si="447"/>
        <v>1.5214808948780121</v>
      </c>
      <c r="AZ515" s="32" t="str">
        <f t="shared" si="423"/>
        <v>1+688.880364804791i</v>
      </c>
      <c r="BA515" s="32">
        <f t="shared" si="448"/>
        <v>688.88109061984142</v>
      </c>
      <c r="BB515" s="32">
        <f t="shared" si="449"/>
        <v>1.5693446969493086</v>
      </c>
      <c r="BC515" s="59" t="str">
        <f t="shared" si="450"/>
        <v>-0.00135825833011359+0.0283558948908516i</v>
      </c>
      <c r="BD515" s="50">
        <f t="shared" si="451"/>
        <v>-30.93717960037544</v>
      </c>
      <c r="BE515" s="62">
        <f t="shared" si="452"/>
        <v>92.742393850134818</v>
      </c>
      <c r="BF515" s="59" t="str">
        <f t="shared" si="453"/>
        <v>-0.0010129183445255-0.000488232951461272i</v>
      </c>
      <c r="BG515" s="65">
        <f t="shared" si="454"/>
        <v>-58.981241041550348</v>
      </c>
      <c r="BH515" s="62">
        <f t="shared" si="455"/>
        <v>-154.26564367726252</v>
      </c>
      <c r="BI515" s="59" t="str">
        <f t="shared" si="460"/>
        <v>0.0252581159400372-0.00612047357679637i</v>
      </c>
      <c r="BJ515" s="65">
        <f t="shared" si="456"/>
        <v>-31.704179704684087</v>
      </c>
      <c r="BK515" s="62">
        <f t="shared" si="461"/>
        <v>-13.621197023926275</v>
      </c>
      <c r="BL515" s="50">
        <f t="shared" si="457"/>
        <v>-58.981241041550348</v>
      </c>
      <c r="BM515" s="62">
        <f t="shared" si="458"/>
        <v>-154.26564367726252</v>
      </c>
    </row>
    <row r="516" spans="14:65" x14ac:dyDescent="0.3">
      <c r="N516" s="11">
        <v>98</v>
      </c>
      <c r="O516" s="51">
        <f t="shared" si="459"/>
        <v>954992.58602143743</v>
      </c>
      <c r="P516" s="49" t="str">
        <f t="shared" si="411"/>
        <v>27.9103246607183</v>
      </c>
      <c r="Q516" s="18" t="str">
        <f t="shared" si="412"/>
        <v>1+2947.52450584731i</v>
      </c>
      <c r="R516" s="18">
        <f t="shared" si="424"/>
        <v>2947.5246754811792</v>
      </c>
      <c r="S516" s="18">
        <f t="shared" si="425"/>
        <v>1.5704570590603455</v>
      </c>
      <c r="T516" s="18" t="str">
        <f t="shared" si="413"/>
        <v>1+2.64017396938035i</v>
      </c>
      <c r="U516" s="18">
        <f t="shared" si="426"/>
        <v>2.8232106879568151</v>
      </c>
      <c r="V516" s="18">
        <f t="shared" si="427"/>
        <v>1.2087307469664612</v>
      </c>
      <c r="W516" s="32" t="str">
        <f t="shared" si="414"/>
        <v>1-34.8171090238149i</v>
      </c>
      <c r="X516" s="18">
        <f t="shared" si="428"/>
        <v>34.831466819188265</v>
      </c>
      <c r="Y516" s="18">
        <f t="shared" si="429"/>
        <v>-1.5420827090082916</v>
      </c>
      <c r="Z516" s="32" t="str">
        <f t="shared" si="415"/>
        <v>-17.8431991602461+15.9215036634894i</v>
      </c>
      <c r="AA516" s="18">
        <f t="shared" si="430"/>
        <v>23.913887914321119</v>
      </c>
      <c r="AB516" s="18">
        <f t="shared" si="431"/>
        <v>2.4130474879862978</v>
      </c>
      <c r="AC516" s="67" t="str">
        <f t="shared" si="432"/>
        <v>-0.0150027497358627+0.0359315460581728i</v>
      </c>
      <c r="AD516" s="65">
        <f t="shared" si="433"/>
        <v>-28.192553944528164</v>
      </c>
      <c r="AE516" s="62">
        <f t="shared" si="434"/>
        <v>112.66234126565257</v>
      </c>
      <c r="AF516" s="50" t="str">
        <f t="shared" si="416"/>
        <v>79.1527877025864</v>
      </c>
      <c r="AG516" s="50" t="str">
        <f t="shared" si="417"/>
        <v>1+2924.50039685207i</v>
      </c>
      <c r="AH516" s="50">
        <f t="shared" si="435"/>
        <v>2924.5005678214384</v>
      </c>
      <c r="AI516" s="50">
        <f t="shared" si="436"/>
        <v>1.5704543880616681</v>
      </c>
      <c r="AJ516" s="50" t="str">
        <f t="shared" si="418"/>
        <v>1+2.64017396938035i</v>
      </c>
      <c r="AK516" s="50">
        <f t="shared" si="437"/>
        <v>2.8232106879568151</v>
      </c>
      <c r="AL516" s="50">
        <f t="shared" si="438"/>
        <v>1.2087307469664612</v>
      </c>
      <c r="AM516" s="50" t="str">
        <f t="shared" si="419"/>
        <v>1-12.1810565806273i</v>
      </c>
      <c r="AN516" s="50">
        <f t="shared" si="439"/>
        <v>12.22203499505887</v>
      </c>
      <c r="AO516" s="50">
        <f t="shared" si="440"/>
        <v>-1.4888853265673605</v>
      </c>
      <c r="AP516" s="59" t="str">
        <f t="shared" si="441"/>
        <v>-0.257920934692005-0.897579960101904i</v>
      </c>
      <c r="AQ516" s="50">
        <f t="shared" si="442"/>
        <v>-0.59397365300528504</v>
      </c>
      <c r="AR516" s="62">
        <f t="shared" si="443"/>
        <v>-106.03208337612733</v>
      </c>
      <c r="AS516" s="32" t="str">
        <f t="shared" si="420"/>
        <v>-0.0000166666666666667</v>
      </c>
      <c r="AT516" s="32" t="str">
        <f t="shared" si="421"/>
        <v>0.0204013443088481i</v>
      </c>
      <c r="AU516" s="32">
        <f t="shared" si="444"/>
        <v>2.0401344308848102E-2</v>
      </c>
      <c r="AV516" s="32">
        <f t="shared" si="445"/>
        <v>1.5707963267948966</v>
      </c>
      <c r="AW516" s="32" t="str">
        <f t="shared" si="422"/>
        <v>1+20.7331308771927i</v>
      </c>
      <c r="AX516" s="32">
        <f t="shared" si="446"/>
        <v>20.757232859193955</v>
      </c>
      <c r="AY516" s="32">
        <f t="shared" si="447"/>
        <v>1.5226016935236226</v>
      </c>
      <c r="AZ516" s="32" t="str">
        <f t="shared" si="423"/>
        <v>1+704.926449824552i</v>
      </c>
      <c r="BA516" s="32">
        <f t="shared" si="448"/>
        <v>704.92715911805146</v>
      </c>
      <c r="BB516" s="32">
        <f t="shared" si="449"/>
        <v>1.5693777400338911</v>
      </c>
      <c r="BC516" s="59" t="str">
        <f t="shared" si="450"/>
        <v>-0.00129726851723248+0.0277133775804219i</v>
      </c>
      <c r="BD516" s="50">
        <f t="shared" si="451"/>
        <v>-31.136704999034002</v>
      </c>
      <c r="BE516" s="62">
        <f t="shared" si="452"/>
        <v>92.680070047346007</v>
      </c>
      <c r="BF516" s="59" t="str">
        <f t="shared" si="453"/>
        <v>-0.00097632190805421-0.000462389731651294i</v>
      </c>
      <c r="BG516" s="65">
        <f t="shared" si="454"/>
        <v>-59.329258943562166</v>
      </c>
      <c r="BH516" s="62">
        <f t="shared" si="455"/>
        <v>-154.65758868700141</v>
      </c>
      <c r="BI516" s="59" t="str">
        <f t="shared" si="460"/>
        <v>0.0252095650514352-0.00598345802507589i</v>
      </c>
      <c r="BJ516" s="65">
        <f t="shared" si="456"/>
        <v>-31.730678652039291</v>
      </c>
      <c r="BK516" s="62">
        <f t="shared" si="461"/>
        <v>-13.352013328781322</v>
      </c>
      <c r="BL516" s="50">
        <f t="shared" si="457"/>
        <v>-59.329258943562166</v>
      </c>
      <c r="BM516" s="62">
        <f t="shared" si="458"/>
        <v>-154.65758868700141</v>
      </c>
    </row>
    <row r="517" spans="14:65" x14ac:dyDescent="0.3">
      <c r="N517" s="11">
        <v>99</v>
      </c>
      <c r="O517" s="51">
        <f t="shared" si="459"/>
        <v>977237.22095581202</v>
      </c>
      <c r="P517" s="49" t="str">
        <f t="shared" si="411"/>
        <v>27.9103246607183</v>
      </c>
      <c r="Q517" s="18" t="str">
        <f t="shared" si="412"/>
        <v>1+3016.18117140934i</v>
      </c>
      <c r="R517" s="18">
        <f t="shared" si="424"/>
        <v>3016.1813371818707</v>
      </c>
      <c r="S517" s="18">
        <f t="shared" si="425"/>
        <v>1.5704647817362514</v>
      </c>
      <c r="T517" s="18" t="str">
        <f t="shared" si="413"/>
        <v>1+2.70167152126897i</v>
      </c>
      <c r="U517" s="18">
        <f t="shared" si="426"/>
        <v>2.8808035352720238</v>
      </c>
      <c r="V517" s="18">
        <f t="shared" si="427"/>
        <v>1.2162921961059066</v>
      </c>
      <c r="W517" s="32" t="str">
        <f t="shared" si="414"/>
        <v>1-35.6281036755448i</v>
      </c>
      <c r="X517" s="18">
        <f t="shared" si="428"/>
        <v>35.642134777751018</v>
      </c>
      <c r="Y517" s="18">
        <f t="shared" si="429"/>
        <v>-1.5427359637174574</v>
      </c>
      <c r="Z517" s="32" t="str">
        <f t="shared" si="415"/>
        <v>-18.7312517773025+16.2923631254211i</v>
      </c>
      <c r="AA517" s="18">
        <f t="shared" si="430"/>
        <v>24.825408140759322</v>
      </c>
      <c r="AB517" s="18">
        <f t="shared" si="431"/>
        <v>2.4257178087421978</v>
      </c>
      <c r="AC517" s="67" t="str">
        <f t="shared" si="432"/>
        <v>-0.014542410125598+0.0354021622246183i</v>
      </c>
      <c r="AD517" s="65">
        <f t="shared" si="433"/>
        <v>-28.342232156491932</v>
      </c>
      <c r="AE517" s="62">
        <f t="shared" si="434"/>
        <v>112.3317532694374</v>
      </c>
      <c r="AF517" s="50" t="str">
        <f t="shared" si="416"/>
        <v>79.1527877025864</v>
      </c>
      <c r="AG517" s="50" t="str">
        <f t="shared" si="417"/>
        <v>1+2992.62076202101i</v>
      </c>
      <c r="AH517" s="50">
        <f t="shared" si="435"/>
        <v>2992.6209290986399</v>
      </c>
      <c r="AI517" s="50">
        <f t="shared" si="436"/>
        <v>1.5704621715369131</v>
      </c>
      <c r="AJ517" s="50" t="str">
        <f t="shared" si="418"/>
        <v>1+2.70167152126897i</v>
      </c>
      <c r="AK517" s="50">
        <f t="shared" si="437"/>
        <v>2.8808035352720238</v>
      </c>
      <c r="AL517" s="50">
        <f t="shared" si="438"/>
        <v>1.2162921961059066</v>
      </c>
      <c r="AM517" s="50" t="str">
        <f t="shared" si="419"/>
        <v>1-12.4647898375313i</v>
      </c>
      <c r="AN517" s="50">
        <f t="shared" si="439"/>
        <v>12.504838491313018</v>
      </c>
      <c r="AO517" s="50">
        <f t="shared" si="440"/>
        <v>-1.4907418006171245</v>
      </c>
      <c r="AP517" s="59" t="str">
        <f t="shared" si="441"/>
        <v>-0.257921352579826-0.917236703415382i</v>
      </c>
      <c r="AQ517" s="50">
        <f t="shared" si="442"/>
        <v>-0.41987531343631473</v>
      </c>
      <c r="AR517" s="62">
        <f t="shared" si="443"/>
        <v>-105.70565834154279</v>
      </c>
      <c r="AS517" s="32" t="str">
        <f t="shared" si="420"/>
        <v>-0.0000166666666666667</v>
      </c>
      <c r="AT517" s="32" t="str">
        <f t="shared" si="421"/>
        <v>0.0208765526643511i</v>
      </c>
      <c r="AU517" s="32">
        <f t="shared" si="444"/>
        <v>2.0876552664351102E-2</v>
      </c>
      <c r="AV517" s="32">
        <f t="shared" si="445"/>
        <v>1.5707963267948966</v>
      </c>
      <c r="AW517" s="32" t="str">
        <f t="shared" si="422"/>
        <v>1+21.216067534671i</v>
      </c>
      <c r="AX517" s="32">
        <f t="shared" si="446"/>
        <v>21.239621504059834</v>
      </c>
      <c r="AY517" s="32">
        <f t="shared" si="447"/>
        <v>1.5236970967813577</v>
      </c>
      <c r="AZ517" s="32" t="str">
        <f t="shared" si="423"/>
        <v>1+721.346296178815i</v>
      </c>
      <c r="BA517" s="32">
        <f t="shared" si="448"/>
        <v>721.34698932683898</v>
      </c>
      <c r="BB517" s="32">
        <f t="shared" si="449"/>
        <v>1.5694100309690335</v>
      </c>
      <c r="BC517" s="59" t="str">
        <f t="shared" si="450"/>
        <v>-0.00123901124169719+0.0270852899935582i</v>
      </c>
      <c r="BD517" s="50">
        <f t="shared" si="451"/>
        <v>-31.336251709766472</v>
      </c>
      <c r="BE517" s="62">
        <f t="shared" si="452"/>
        <v>92.619158198113112</v>
      </c>
      <c r="BF517" s="59" t="str">
        <f t="shared" si="453"/>
        <v>-0.000940859620625791-0.000437749072433769i</v>
      </c>
      <c r="BG517" s="65">
        <f t="shared" si="454"/>
        <v>-59.678483866258404</v>
      </c>
      <c r="BH517" s="62">
        <f t="shared" si="455"/>
        <v>-155.04908853244947</v>
      </c>
      <c r="BI517" s="59" t="str">
        <f t="shared" si="460"/>
        <v>0.0251631895600611-0.00584940804332643i</v>
      </c>
      <c r="BJ517" s="65">
        <f t="shared" si="456"/>
        <v>-31.75612702320279</v>
      </c>
      <c r="BK517" s="62">
        <f t="shared" si="461"/>
        <v>-13.086500143429689</v>
      </c>
      <c r="BL517" s="50">
        <f t="shared" si="457"/>
        <v>-59.678483866258404</v>
      </c>
      <c r="BM517" s="62">
        <f t="shared" si="458"/>
        <v>-155.04908853244947</v>
      </c>
    </row>
    <row r="518" spans="14:65" x14ac:dyDescent="0.3">
      <c r="N518" s="11">
        <v>100</v>
      </c>
      <c r="O518" s="51">
        <f t="shared" si="459"/>
        <v>1000000</v>
      </c>
      <c r="P518" s="49" t="str">
        <f t="shared" si="411"/>
        <v>27.9103246607183</v>
      </c>
      <c r="Q518" s="18" t="str">
        <f t="shared" si="412"/>
        <v>1+3086.43705615233i</v>
      </c>
      <c r="R518" s="18">
        <f t="shared" si="424"/>
        <v>3086.4372181514177</v>
      </c>
      <c r="S518" s="18">
        <f t="shared" si="425"/>
        <v>1.5704723286226303</v>
      </c>
      <c r="T518" s="18" t="str">
        <f t="shared" si="413"/>
        <v>1+2.76460153515902i</v>
      </c>
      <c r="U518" s="18">
        <f t="shared" si="426"/>
        <v>2.9399016392055719</v>
      </c>
      <c r="V518" s="18">
        <f t="shared" si="427"/>
        <v>1.223722650659099</v>
      </c>
      <c r="W518" s="32" t="str">
        <f t="shared" si="414"/>
        <v>1-36.4579888194371i</v>
      </c>
      <c r="X518" s="18">
        <f t="shared" si="428"/>
        <v>36.47170065623758</v>
      </c>
      <c r="Y518" s="18">
        <f t="shared" si="429"/>
        <v>-1.5433743716825556</v>
      </c>
      <c r="Z518" s="32" t="str">
        <f t="shared" si="415"/>
        <v>-19.6611570247934+16.6718610139367i</v>
      </c>
      <c r="AA518" s="18">
        <f t="shared" si="430"/>
        <v>25.778131142920454</v>
      </c>
      <c r="AB518" s="18">
        <f t="shared" si="431"/>
        <v>2.4382845125867241</v>
      </c>
      <c r="AC518" s="67" t="str">
        <f t="shared" si="432"/>
        <v>-0.0140905785424308+0.034874604177122i</v>
      </c>
      <c r="AD518" s="65">
        <f t="shared" si="433"/>
        <v>-28.493103452878849</v>
      </c>
      <c r="AE518" s="62">
        <f t="shared" si="434"/>
        <v>112.00045737577128</v>
      </c>
      <c r="AF518" s="50" t="str">
        <f t="shared" si="416"/>
        <v>79.1527877025864</v>
      </c>
      <c r="AG518" s="50" t="str">
        <f t="shared" si="417"/>
        <v>1+3062.32785432999i</v>
      </c>
      <c r="AH518" s="50">
        <f t="shared" si="435"/>
        <v>3062.3280176044691</v>
      </c>
      <c r="AI518" s="50">
        <f t="shared" si="436"/>
        <v>1.57046977783867</v>
      </c>
      <c r="AJ518" s="50" t="str">
        <f t="shared" si="418"/>
        <v>1+2.76460153515902i</v>
      </c>
      <c r="AK518" s="50">
        <f t="shared" si="437"/>
        <v>2.9399016392055719</v>
      </c>
      <c r="AL518" s="50">
        <f t="shared" si="438"/>
        <v>1.223722650659099</v>
      </c>
      <c r="AM518" s="50" t="str">
        <f t="shared" si="419"/>
        <v>1-12.7551320909981i</v>
      </c>
      <c r="AN518" s="50">
        <f t="shared" si="439"/>
        <v>12.794271947196117</v>
      </c>
      <c r="AO518" s="50">
        <f t="shared" si="440"/>
        <v>-1.4925565506676186</v>
      </c>
      <c r="AP518" s="59" t="str">
        <f t="shared" si="441"/>
        <v>-0.2579217516596-0.937379777757497i</v>
      </c>
      <c r="AQ518" s="50">
        <f t="shared" si="442"/>
        <v>-0.24474229646639778</v>
      </c>
      <c r="AR518" s="62">
        <f t="shared" si="443"/>
        <v>-105.38433798353398</v>
      </c>
      <c r="AS518" s="32" t="str">
        <f t="shared" si="420"/>
        <v>-0.0000166666666666667</v>
      </c>
      <c r="AT518" s="32" t="str">
        <f t="shared" si="421"/>
        <v>0.0213628300444106i</v>
      </c>
      <c r="AU518" s="32">
        <f t="shared" si="444"/>
        <v>2.13628300444106E-2</v>
      </c>
      <c r="AV518" s="32">
        <f t="shared" si="445"/>
        <v>1.5707963267948966</v>
      </c>
      <c r="AW518" s="32" t="str">
        <f t="shared" si="422"/>
        <v>1+21.7102532319841i</v>
      </c>
      <c r="AX518" s="32">
        <f t="shared" si="446"/>
        <v>21.733271622028656</v>
      </c>
      <c r="AY518" s="32">
        <f t="shared" si="447"/>
        <v>1.524767674927479</v>
      </c>
      <c r="AZ518" s="32" t="str">
        <f t="shared" si="423"/>
        <v>1+738.148609887458i</v>
      </c>
      <c r="BA518" s="32">
        <f t="shared" si="448"/>
        <v>738.14928725752122</v>
      </c>
      <c r="BB518" s="32">
        <f t="shared" si="449"/>
        <v>1.5694415868755476</v>
      </c>
      <c r="BC518" s="59" t="str">
        <f t="shared" si="450"/>
        <v>-0.00118336461153401+0.0264713166718379i</v>
      </c>
      <c r="BD518" s="50">
        <f t="shared" si="451"/>
        <v>-31.535818777630173</v>
      </c>
      <c r="BE518" s="62">
        <f t="shared" si="452"/>
        <v>92.559626608963384</v>
      </c>
      <c r="BF518" s="59" t="str">
        <f t="shared" si="453"/>
        <v>-0.000906502398974444-0.000414265539110552i</v>
      </c>
      <c r="BG518" s="65">
        <f t="shared" si="454"/>
        <v>-60.028922230509025</v>
      </c>
      <c r="BH518" s="62">
        <f t="shared" si="455"/>
        <v>-155.43991601526534</v>
      </c>
      <c r="BI518" s="59" t="str">
        <f t="shared" si="460"/>
        <v>0.0251188924122546-0.00571826630817057i</v>
      </c>
      <c r="BJ518" s="65">
        <f t="shared" si="456"/>
        <v>-31.780561074096561</v>
      </c>
      <c r="BK518" s="62">
        <f t="shared" si="461"/>
        <v>-12.82471137457058</v>
      </c>
      <c r="BL518" s="50">
        <f t="shared" si="457"/>
        <v>-60.028922230509025</v>
      </c>
      <c r="BM518" s="62">
        <f t="shared" si="458"/>
        <v>-155.43991601526534</v>
      </c>
    </row>
    <row r="519" spans="14:65" x14ac:dyDescent="0.3">
      <c r="N519" s="11">
        <v>1</v>
      </c>
      <c r="O519" s="51">
        <f>10^(6+(N519/100))</f>
        <v>1023292.9922807553</v>
      </c>
      <c r="P519" s="49" t="str">
        <f t="shared" si="411"/>
        <v>27.9103246607183</v>
      </c>
      <c r="Q519" s="18" t="str">
        <f t="shared" si="412"/>
        <v>1+3158.32941067633i</v>
      </c>
      <c r="R519" s="18">
        <f t="shared" si="424"/>
        <v>3158.3295689878687</v>
      </c>
      <c r="S519" s="18">
        <f t="shared" si="425"/>
        <v>1.5704797037209377</v>
      </c>
      <c r="T519" s="18" t="str">
        <f t="shared" si="413"/>
        <v>1+2.82899737737685i</v>
      </c>
      <c r="U519" s="18">
        <f t="shared" si="426"/>
        <v>3.0005376453570949</v>
      </c>
      <c r="V519" s="18">
        <f t="shared" si="427"/>
        <v>1.2310227673909369</v>
      </c>
      <c r="W519" s="32" t="str">
        <f t="shared" si="414"/>
        <v>1-37.3072044715801i</v>
      </c>
      <c r="X519" s="18">
        <f t="shared" si="428"/>
        <v>37.320604302238813</v>
      </c>
      <c r="Y519" s="18">
        <f t="shared" si="429"/>
        <v>-1.5439982693132077</v>
      </c>
      <c r="Z519" s="32" t="str">
        <f t="shared" si="415"/>
        <v>-20.6348873564236+17.0601985438402i</v>
      </c>
      <c r="AA519" s="18">
        <f t="shared" si="430"/>
        <v>26.774035007214323</v>
      </c>
      <c r="AB519" s="18">
        <f t="shared" si="431"/>
        <v>2.4507434318943186</v>
      </c>
      <c r="AC519" s="67" t="str">
        <f t="shared" si="432"/>
        <v>-0.0136473798466517+0.034348941139737i</v>
      </c>
      <c r="AD519" s="65">
        <f t="shared" si="433"/>
        <v>-28.645172752879212</v>
      </c>
      <c r="AE519" s="62">
        <f t="shared" si="434"/>
        <v>111.66871049774807</v>
      </c>
      <c r="AF519" s="50" t="str">
        <f t="shared" si="416"/>
        <v>79.1527877025864</v>
      </c>
      <c r="AG519" s="50" t="str">
        <f t="shared" si="417"/>
        <v>1+3133.65863340204i</v>
      </c>
      <c r="AH519" s="50">
        <f t="shared" si="435"/>
        <v>3133.6587929599391</v>
      </c>
      <c r="AI519" s="50">
        <f t="shared" si="436"/>
        <v>1.5704772109998972</v>
      </c>
      <c r="AJ519" s="50" t="str">
        <f t="shared" si="418"/>
        <v>1+2.82899737737685i</v>
      </c>
      <c r="AK519" s="50">
        <f t="shared" si="437"/>
        <v>3.0005376453570949</v>
      </c>
      <c r="AL519" s="50">
        <f t="shared" si="438"/>
        <v>1.2310227673909369</v>
      </c>
      <c r="AM519" s="50" t="str">
        <f t="shared" si="419"/>
        <v>1-13.0522372843338i</v>
      </c>
      <c r="AN519" s="50">
        <f t="shared" si="439"/>
        <v>13.09048884215381</v>
      </c>
      <c r="AO519" s="50">
        <f t="shared" si="440"/>
        <v>-1.4943304910842734</v>
      </c>
      <c r="AP519" s="59" t="str">
        <f t="shared" si="441"/>
        <v>-0.257922132777832-0.958019863253748i</v>
      </c>
      <c r="AQ519" s="50">
        <f t="shared" si="442"/>
        <v>-6.8610940370086332E-2</v>
      </c>
      <c r="AR519" s="62">
        <f t="shared" si="443"/>
        <v>-105.06813729259559</v>
      </c>
      <c r="AS519" s="32" t="str">
        <f t="shared" si="420"/>
        <v>-0.0000166666666666667</v>
      </c>
      <c r="AT519" s="32" t="str">
        <f t="shared" si="421"/>
        <v>0.0218604342797301i</v>
      </c>
      <c r="AU519" s="32">
        <f t="shared" si="444"/>
        <v>2.1860434279730102E-2</v>
      </c>
      <c r="AV519" s="32">
        <f t="shared" si="445"/>
        <v>1.5707963267948966</v>
      </c>
      <c r="AW519" s="32" t="str">
        <f t="shared" si="422"/>
        <v>1+22.2159499929299i</v>
      </c>
      <c r="AX519" s="32">
        <f t="shared" si="446"/>
        <v>22.238444956614256</v>
      </c>
      <c r="AY519" s="32">
        <f t="shared" si="447"/>
        <v>1.5258139857748683</v>
      </c>
      <c r="AZ519" s="32" t="str">
        <f t="shared" si="423"/>
        <v>1+755.342299759617i</v>
      </c>
      <c r="BA519" s="32">
        <f t="shared" si="448"/>
        <v>755.34296171086896</v>
      </c>
      <c r="BB519" s="32">
        <f t="shared" si="449"/>
        <v>1.5694724244845413</v>
      </c>
      <c r="BC519" s="59" t="str">
        <f t="shared" si="450"/>
        <v>-0.00113021212514513+0.0258711484766101i</v>
      </c>
      <c r="BD519" s="50">
        <f t="shared" si="451"/>
        <v>-31.735405290288373</v>
      </c>
      <c r="BE519" s="62">
        <f t="shared" si="452"/>
        <v>92.501444278194839</v>
      </c>
      <c r="BF519" s="59" t="str">
        <f t="shared" si="453"/>
        <v>-0.00087322212206133-0.00039189498009145i</v>
      </c>
      <c r="BG519" s="65">
        <f t="shared" si="454"/>
        <v>-60.380578043167581</v>
      </c>
      <c r="BH519" s="62">
        <f t="shared" si="455"/>
        <v>-155.82984522405704</v>
      </c>
      <c r="BI519" s="59" t="str">
        <f t="shared" si="460"/>
        <v>0.0250765808475882-0.00558997612691997i</v>
      </c>
      <c r="BJ519" s="65">
        <f t="shared" si="456"/>
        <v>-31.804016230658462</v>
      </c>
      <c r="BK519" s="62">
        <f t="shared" si="461"/>
        <v>-12.566693014400752</v>
      </c>
      <c r="BL519" s="50">
        <f t="shared" si="457"/>
        <v>-60.380578043167581</v>
      </c>
      <c r="BM519" s="62">
        <f t="shared" si="458"/>
        <v>-155.82984522405704</v>
      </c>
    </row>
    <row r="520" spans="14:65" x14ac:dyDescent="0.3">
      <c r="N520" s="11">
        <v>2</v>
      </c>
      <c r="O520" s="51">
        <f t="shared" ref="O520:O560" si="462">10^(6+(N520/100))</f>
        <v>1047128.5480509007</v>
      </c>
      <c r="P520" s="49" t="str">
        <f t="shared" si="411"/>
        <v>27.9103246607183</v>
      </c>
      <c r="Q520" s="18" t="str">
        <f t="shared" si="412"/>
        <v>1+3231.89635325929i</v>
      </c>
      <c r="R520" s="18">
        <f t="shared" si="424"/>
        <v>3231.8965079672184</v>
      </c>
      <c r="S520" s="18">
        <f t="shared" si="425"/>
        <v>1.5704869109415451</v>
      </c>
      <c r="T520" s="18" t="str">
        <f t="shared" si="413"/>
        <v>1+2.89489319145036i</v>
      </c>
      <c r="U520" s="18">
        <f t="shared" si="426"/>
        <v>3.0627449436584904</v>
      </c>
      <c r="V520" s="18">
        <f t="shared" si="427"/>
        <v>1.2381933036764474</v>
      </c>
      <c r="W520" s="32" t="str">
        <f t="shared" si="414"/>
        <v>1-38.1762008973531i</v>
      </c>
      <c r="X520" s="18">
        <f t="shared" si="428"/>
        <v>38.189295816433479</v>
      </c>
      <c r="Y520" s="18">
        <f t="shared" si="429"/>
        <v>-1.5446079854642745</v>
      </c>
      <c r="Z520" s="32" t="str">
        <f t="shared" si="415"/>
        <v>-21.6545081847766+17.45758161683i</v>
      </c>
      <c r="AA520" s="18">
        <f t="shared" si="430"/>
        <v>27.815191544061626</v>
      </c>
      <c r="AB520" s="18">
        <f t="shared" si="431"/>
        <v>2.4630905580726075</v>
      </c>
      <c r="AC520" s="67" t="str">
        <f t="shared" si="432"/>
        <v>-0.0132129283688345+0.0338252580192396i</v>
      </c>
      <c r="AD520" s="65">
        <f t="shared" si="433"/>
        <v>-28.79844260037585</v>
      </c>
      <c r="AE520" s="62">
        <f t="shared" si="434"/>
        <v>111.3367666391419</v>
      </c>
      <c r="AF520" s="50" t="str">
        <f t="shared" si="416"/>
        <v>79.1527877025864</v>
      </c>
      <c r="AG520" s="50" t="str">
        <f t="shared" si="417"/>
        <v>1+3206.65091976039i</v>
      </c>
      <c r="AH520" s="50">
        <f t="shared" si="435"/>
        <v>3206.6510756863081</v>
      </c>
      <c r="AI520" s="50">
        <f t="shared" si="436"/>
        <v>1.5704844749617517</v>
      </c>
      <c r="AJ520" s="50" t="str">
        <f t="shared" si="418"/>
        <v>1+2.89489319145036i</v>
      </c>
      <c r="AK520" s="50">
        <f t="shared" si="437"/>
        <v>3.0627449436584904</v>
      </c>
      <c r="AL520" s="50">
        <f t="shared" si="438"/>
        <v>1.2381933036764474</v>
      </c>
      <c r="AM520" s="50" t="str">
        <f t="shared" si="419"/>
        <v>1-13.3562629466443i</v>
      </c>
      <c r="AN520" s="50">
        <f t="shared" si="439"/>
        <v>13.393646251111138</v>
      </c>
      <c r="AO520" s="50">
        <f t="shared" si="440"/>
        <v>-1.4960645177500211</v>
      </c>
      <c r="AP520" s="59" t="str">
        <f t="shared" si="441"/>
        <v>-0.257922496742917-0.979167903551423i</v>
      </c>
      <c r="AQ520" s="50">
        <f t="shared" si="442"/>
        <v>0.10848330196279235</v>
      </c>
      <c r="AR520" s="62">
        <f t="shared" si="443"/>
        <v>-104.75706443045767</v>
      </c>
      <c r="AS520" s="32" t="str">
        <f t="shared" si="420"/>
        <v>-0.0000166666666666667</v>
      </c>
      <c r="AT520" s="32" t="str">
        <f t="shared" si="421"/>
        <v>0.0223696292066618i</v>
      </c>
      <c r="AU520" s="32">
        <f t="shared" si="444"/>
        <v>2.2369629206661801E-2</v>
      </c>
      <c r="AV520" s="32">
        <f t="shared" si="445"/>
        <v>1.5707963267948966</v>
      </c>
      <c r="AW520" s="32" t="str">
        <f t="shared" si="422"/>
        <v>1+22.7334259446248i</v>
      </c>
      <c r="AX520" s="32">
        <f t="shared" si="446"/>
        <v>22.755409360847363</v>
      </c>
      <c r="AY520" s="32">
        <f t="shared" si="447"/>
        <v>1.5268365749224442</v>
      </c>
      <c r="AZ520" s="32" t="str">
        <f t="shared" si="423"/>
        <v>1+772.936482117244i</v>
      </c>
      <c r="BA520" s="32">
        <f t="shared" si="448"/>
        <v>772.93712900065862</v>
      </c>
      <c r="BB520" s="32">
        <f t="shared" si="449"/>
        <v>1.5695025601462884</v>
      </c>
      <c r="BC520" s="59" t="str">
        <f t="shared" si="450"/>
        <v>-0.00107944243706043+0.0252844825018566i</v>
      </c>
      <c r="BD520" s="50">
        <f t="shared" si="451"/>
        <v>-31.935010376125582</v>
      </c>
      <c r="BE520" s="62">
        <f t="shared" si="452"/>
        <v>92.444580882093788</v>
      </c>
      <c r="BF520" s="59" t="str">
        <f t="shared" si="453"/>
        <v>-0.000840991548909089-0.000370594475090566i</v>
      </c>
      <c r="BG520" s="65">
        <f t="shared" si="454"/>
        <v>-60.733452976501432</v>
      </c>
      <c r="BH520" s="62">
        <f t="shared" si="455"/>
        <v>-156.21865247876434</v>
      </c>
      <c r="BI520" s="59" t="str">
        <f t="shared" si="460"/>
        <v>0.0250361662121825-0.00546448146763055i</v>
      </c>
      <c r="BJ520" s="65">
        <f t="shared" si="456"/>
        <v>-31.826527074162776</v>
      </c>
      <c r="BK520" s="62">
        <f t="shared" si="461"/>
        <v>-12.312483548363859</v>
      </c>
      <c r="BL520" s="50">
        <f t="shared" si="457"/>
        <v>-60.733452976501432</v>
      </c>
      <c r="BM520" s="62">
        <f t="shared" si="458"/>
        <v>-156.21865247876434</v>
      </c>
    </row>
    <row r="521" spans="14:65" x14ac:dyDescent="0.3">
      <c r="N521" s="11">
        <v>3</v>
      </c>
      <c r="O521" s="51">
        <f t="shared" si="462"/>
        <v>1071519.3052376076</v>
      </c>
      <c r="P521" s="49" t="str">
        <f t="shared" si="411"/>
        <v>27.9103246607183</v>
      </c>
      <c r="Q521" s="18" t="str">
        <f t="shared" si="412"/>
        <v>1+3307.17689006795i</v>
      </c>
      <c r="R521" s="18">
        <f t="shared" si="424"/>
        <v>3307.1770412542951</v>
      </c>
      <c r="S521" s="18">
        <f t="shared" si="425"/>
        <v>1.5704939541058134</v>
      </c>
      <c r="T521" s="18" t="str">
        <f t="shared" si="413"/>
        <v>1+2.96232391621242i</v>
      </c>
      <c r="U521" s="18">
        <f t="shared" si="426"/>
        <v>3.1265576893068983</v>
      </c>
      <c r="V521" s="18">
        <f t="shared" si="427"/>
        <v>1.2452351110169237</v>
      </c>
      <c r="W521" s="32" t="str">
        <f t="shared" si="414"/>
        <v>1-39.0654388501637i</v>
      </c>
      <c r="X521" s="18">
        <f t="shared" si="428"/>
        <v>39.078235791241646</v>
      </c>
      <c r="Y521" s="18">
        <f t="shared" si="429"/>
        <v>-1.5452038416009775</v>
      </c>
      <c r="Z521" s="32" t="str">
        <f t="shared" si="415"/>
        <v>-22.7221822623323+17.8642209306714i</v>
      </c>
      <c r="AA521" s="18">
        <f t="shared" si="430"/>
        <v>28.903770622921961</v>
      </c>
      <c r="AB521" s="18">
        <f t="shared" si="431"/>
        <v>2.4753220500597384</v>
      </c>
      <c r="AC521" s="67" t="str">
        <f t="shared" si="432"/>
        <v>-0.0127873269678861+0.0333036539891554i</v>
      </c>
      <c r="AD521" s="65">
        <f t="shared" si="433"/>
        <v>-28.952913252822867</v>
      </c>
      <c r="AE521" s="62">
        <f t="shared" si="434"/>
        <v>111.00487602646761</v>
      </c>
      <c r="AF521" s="50" t="str">
        <f t="shared" si="416"/>
        <v>79.1527877025864</v>
      </c>
      <c r="AG521" s="50" t="str">
        <f t="shared" si="417"/>
        <v>1+3281.34341488144i</v>
      </c>
      <c r="AH521" s="50">
        <f t="shared" si="435"/>
        <v>3281.3435672580504</v>
      </c>
      <c r="AI521" s="50">
        <f t="shared" si="436"/>
        <v>1.5704915735756795</v>
      </c>
      <c r="AJ521" s="50" t="str">
        <f t="shared" si="418"/>
        <v>1+2.96232391621242i</v>
      </c>
      <c r="AK521" s="50">
        <f t="shared" si="437"/>
        <v>3.1265576893068983</v>
      </c>
      <c r="AL521" s="50">
        <f t="shared" si="438"/>
        <v>1.2452351110169237</v>
      </c>
      <c r="AM521" s="50" t="str">
        <f t="shared" si="419"/>
        <v>1-13.6673702763602i</v>
      </c>
      <c r="AN521" s="50">
        <f t="shared" si="439"/>
        <v>13.703904927834779</v>
      </c>
      <c r="AO521" s="50">
        <f t="shared" si="440"/>
        <v>-1.4977595083337745</v>
      </c>
      <c r="AP521" s="59" t="str">
        <f t="shared" si="441"/>
        <v>-0.25792284432688-1.00083511162216i</v>
      </c>
      <c r="AQ521" s="50">
        <f t="shared" si="442"/>
        <v>0.28650587258398008</v>
      </c>
      <c r="AR521" s="62">
        <f t="shared" si="443"/>
        <v>-104.45112111708613</v>
      </c>
      <c r="AS521" s="32" t="str">
        <f t="shared" si="420"/>
        <v>-0.0000166666666666667</v>
      </c>
      <c r="AT521" s="32" t="str">
        <f t="shared" si="421"/>
        <v>0.0228906848070959i</v>
      </c>
      <c r="AU521" s="32">
        <f t="shared" si="444"/>
        <v>2.2890684807095898E-2</v>
      </c>
      <c r="AV521" s="32">
        <f t="shared" si="445"/>
        <v>1.5707963267948966</v>
      </c>
      <c r="AW521" s="32" t="str">
        <f t="shared" si="422"/>
        <v>1+23.2629554596681i</v>
      </c>
      <c r="AX521" s="32">
        <f t="shared" si="446"/>
        <v>23.284438939310991</v>
      </c>
      <c r="AY521" s="32">
        <f t="shared" si="447"/>
        <v>1.5278359760011611</v>
      </c>
      <c r="AZ521" s="32" t="str">
        <f t="shared" si="423"/>
        <v>1+790.940485628714i</v>
      </c>
      <c r="BA521" s="32">
        <f t="shared" si="448"/>
        <v>790.94111778727631</v>
      </c>
      <c r="BB521" s="32">
        <f t="shared" si="449"/>
        <v>1.5695320098388963</v>
      </c>
      <c r="BC521" s="59" t="str">
        <f t="shared" si="450"/>
        <v>-0.00103094913350428+0.0247110219853327i</v>
      </c>
      <c r="BD521" s="50">
        <f t="shared" si="451"/>
        <v>-32.134633202444427</v>
      </c>
      <c r="BE521" s="62">
        <f t="shared" si="452"/>
        <v>92.389006761336915</v>
      </c>
      <c r="BF521" s="59" t="str">
        <f t="shared" si="453"/>
        <v>-0.000809784242260554-0.000350322291059717i</v>
      </c>
      <c r="BG521" s="65">
        <f t="shared" si="454"/>
        <v>-61.087546455267301</v>
      </c>
      <c r="BH521" s="62">
        <f t="shared" si="455"/>
        <v>-156.60611721219547</v>
      </c>
      <c r="BI521" s="59" t="str">
        <f t="shared" si="460"/>
        <v>0.0249975637798579-0.00534172698557355i</v>
      </c>
      <c r="BJ521" s="65">
        <f t="shared" si="456"/>
        <v>-31.848127329860439</v>
      </c>
      <c r="BK521" s="62">
        <f t="shared" si="461"/>
        <v>-12.062114355749207</v>
      </c>
      <c r="BL521" s="50">
        <f t="shared" si="457"/>
        <v>-61.087546455267301</v>
      </c>
      <c r="BM521" s="62">
        <f t="shared" si="458"/>
        <v>-156.60611721219547</v>
      </c>
    </row>
    <row r="522" spans="14:65" x14ac:dyDescent="0.3">
      <c r="N522" s="11">
        <v>4</v>
      </c>
      <c r="O522" s="51">
        <f t="shared" si="462"/>
        <v>1096478.196143186</v>
      </c>
      <c r="P522" s="49" t="str">
        <f t="shared" si="411"/>
        <v>27.9103246607183</v>
      </c>
      <c r="Q522" s="18" t="str">
        <f t="shared" si="412"/>
        <v>1+3384.21093583939i</v>
      </c>
      <c r="R522" s="18">
        <f t="shared" si="424"/>
        <v>3384.2110835843146</v>
      </c>
      <c r="S522" s="18">
        <f t="shared" si="425"/>
        <v>1.5705008369481188</v>
      </c>
      <c r="T522" s="18" t="str">
        <f t="shared" si="413"/>
        <v>1+3.03132530432585i</v>
      </c>
      <c r="U522" s="18">
        <f t="shared" si="426"/>
        <v>3.1920108240177085</v>
      </c>
      <c r="V522" s="18">
        <f t="shared" si="427"/>
        <v>1.252149128700375</v>
      </c>
      <c r="W522" s="32" t="str">
        <f t="shared" si="414"/>
        <v>1-39.9753898157448i</v>
      </c>
      <c r="X522" s="18">
        <f t="shared" si="428"/>
        <v>39.987895555039564</v>
      </c>
      <c r="Y522" s="18">
        <f t="shared" si="429"/>
        <v>-1.5457861519607141</v>
      </c>
      <c r="Z522" s="32" t="str">
        <f t="shared" si="415"/>
        <v>-23.8401742689549+18.2803320909112i</v>
      </c>
      <c r="AA522" s="18">
        <f t="shared" si="430"/>
        <v>30.042044712837662</v>
      </c>
      <c r="AB522" s="18">
        <f t="shared" si="431"/>
        <v>2.4874342418384212</v>
      </c>
      <c r="AC522" s="67" t="str">
        <f t="shared" si="432"/>
        <v>-0.012370666235889+0.032784241044317i</v>
      </c>
      <c r="AD522" s="65">
        <f t="shared" si="433"/>
        <v>-29.108582776699606</v>
      </c>
      <c r="AE522" s="62">
        <f t="shared" si="434"/>
        <v>110.67328430584189</v>
      </c>
      <c r="AF522" s="50" t="str">
        <f t="shared" si="416"/>
        <v>79.1527877025864</v>
      </c>
      <c r="AG522" s="50" t="str">
        <f t="shared" si="417"/>
        <v>1+3357.77572171477i</v>
      </c>
      <c r="AH522" s="50">
        <f t="shared" si="435"/>
        <v>3357.775870622866</v>
      </c>
      <c r="AI522" s="50">
        <f t="shared" si="436"/>
        <v>1.5704985106054565</v>
      </c>
      <c r="AJ522" s="50" t="str">
        <f t="shared" si="418"/>
        <v>1+3.03132530432585i</v>
      </c>
      <c r="AK522" s="50">
        <f t="shared" si="437"/>
        <v>3.1920108240177085</v>
      </c>
      <c r="AL522" s="50">
        <f t="shared" si="438"/>
        <v>1.252149128700375</v>
      </c>
      <c r="AM522" s="50" t="str">
        <f t="shared" si="419"/>
        <v>1-13.9857242267057i</v>
      </c>
      <c r="AN522" s="50">
        <f t="shared" si="439"/>
        <v>14.021429390239172</v>
      </c>
      <c r="AO522" s="50">
        <f t="shared" si="440"/>
        <v>-1.4994163225625856</v>
      </c>
      <c r="AP522" s="59" t="str">
        <f t="shared" si="441"/>
        <v>-0.257923176266993-1.02303297570717i</v>
      </c>
      <c r="AQ522" s="50">
        <f t="shared" si="442"/>
        <v>0.4654231150018745</v>
      </c>
      <c r="AR522" s="62">
        <f t="shared" si="443"/>
        <v>-104.15030300962231</v>
      </c>
      <c r="AS522" s="32" t="str">
        <f t="shared" si="420"/>
        <v>-0.0000166666666666667</v>
      </c>
      <c r="AT522" s="32" t="str">
        <f t="shared" si="421"/>
        <v>0.0234238773516088i</v>
      </c>
      <c r="AU522" s="32">
        <f t="shared" si="444"/>
        <v>2.34238773516088E-2</v>
      </c>
      <c r="AV522" s="32">
        <f t="shared" si="445"/>
        <v>1.5707963267948966</v>
      </c>
      <c r="AW522" s="32" t="str">
        <f t="shared" si="422"/>
        <v>1+23.8048193016176i</v>
      </c>
      <c r="AX522" s="32">
        <f t="shared" si="446"/>
        <v>23.825814193489084</v>
      </c>
      <c r="AY522" s="32">
        <f t="shared" si="447"/>
        <v>1.5288127109165162</v>
      </c>
      <c r="AZ522" s="32" t="str">
        <f t="shared" si="423"/>
        <v>1+809.363856255i</v>
      </c>
      <c r="BA522" s="32">
        <f t="shared" si="448"/>
        <v>809.36447402388762</v>
      </c>
      <c r="BB522" s="32">
        <f t="shared" si="449"/>
        <v>1.5695607891767775</v>
      </c>
      <c r="BC522" s="59" t="str">
        <f t="shared" si="450"/>
        <v>-0.00098463051739868+0.0241504762182637i</v>
      </c>
      <c r="BD522" s="50">
        <f t="shared" si="451"/>
        <v>-32.334272973741264</v>
      </c>
      <c r="BE522" s="62">
        <f t="shared" si="452"/>
        <v>92.334692907581754</v>
      </c>
      <c r="BF522" s="59" t="str">
        <f t="shared" si="453"/>
        <v>-0.000779574498178193-0.000331037844955904i</v>
      </c>
      <c r="BG522" s="65">
        <f t="shared" si="454"/>
        <v>-61.442855750440863</v>
      </c>
      <c r="BH522" s="62">
        <f t="shared" si="455"/>
        <v>-156.99202278657634</v>
      </c>
      <c r="BI522" s="59" t="str">
        <f t="shared" si="460"/>
        <v>0.0249606925808124-0.00522165804638859i</v>
      </c>
      <c r="BJ522" s="65">
        <f t="shared" si="456"/>
        <v>-31.868849858739395</v>
      </c>
      <c r="BK522" s="62">
        <f t="shared" si="461"/>
        <v>-11.815610102040573</v>
      </c>
      <c r="BL522" s="50">
        <f t="shared" si="457"/>
        <v>-61.442855750440863</v>
      </c>
      <c r="BM522" s="62">
        <f t="shared" si="458"/>
        <v>-156.99202278657634</v>
      </c>
    </row>
    <row r="523" spans="14:65" x14ac:dyDescent="0.3">
      <c r="N523" s="11">
        <v>5</v>
      </c>
      <c r="O523" s="51">
        <f t="shared" si="462"/>
        <v>1122018.4543019643</v>
      </c>
      <c r="P523" s="49" t="str">
        <f t="shared" si="411"/>
        <v>27.9103246607183</v>
      </c>
      <c r="Q523" s="18" t="str">
        <f t="shared" si="412"/>
        <v>1+3463.03933504434i</v>
      </c>
      <c r="R523" s="18">
        <f t="shared" si="424"/>
        <v>3463.0394794261797</v>
      </c>
      <c r="S523" s="18">
        <f t="shared" si="425"/>
        <v>1.5705075631178325</v>
      </c>
      <c r="T523" s="18" t="str">
        <f t="shared" si="413"/>
        <v>1+3.10193394123996i</v>
      </c>
      <c r="U523" s="18">
        <f t="shared" si="426"/>
        <v>3.2591400976049605</v>
      </c>
      <c r="V523" s="18">
        <f t="shared" si="427"/>
        <v>1.2589363776221281</v>
      </c>
      <c r="W523" s="32" t="str">
        <f t="shared" si="414"/>
        <v>1-40.9065362621431i</v>
      </c>
      <c r="X523" s="18">
        <f t="shared" si="428"/>
        <v>40.918757422067799</v>
      </c>
      <c r="Y523" s="18">
        <f t="shared" si="429"/>
        <v>-1.5463552237116172</v>
      </c>
      <c r="Z523" s="32" t="str">
        <f t="shared" si="415"/>
        <v>-25.010855615582+18.7061357251945i</v>
      </c>
      <c r="AA523" s="18">
        <f t="shared" si="430"/>
        <v>31.232393638542781</v>
      </c>
      <c r="AB523" s="18">
        <f t="shared" si="431"/>
        <v>2.4994236489566868</v>
      </c>
      <c r="AC523" s="67" t="str">
        <f t="shared" si="432"/>
        <v>-0.0119630238479929+0.0322671425400137i</v>
      </c>
      <c r="AD523" s="65">
        <f t="shared" si="433"/>
        <v>-29.265447148556767</v>
      </c>
      <c r="AE523" s="62">
        <f t="shared" si="434"/>
        <v>110.34223180611856</v>
      </c>
      <c r="AF523" s="50" t="str">
        <f t="shared" si="416"/>
        <v>79.1527877025864</v>
      </c>
      <c r="AG523" s="50" t="str">
        <f t="shared" si="417"/>
        <v>1+3435.98836568118i</v>
      </c>
      <c r="AH523" s="50">
        <f t="shared" si="435"/>
        <v>3435.9885111997137</v>
      </c>
      <c r="AI523" s="50">
        <f t="shared" si="436"/>
        <v>1.5705052897291853</v>
      </c>
      <c r="AJ523" s="50" t="str">
        <f t="shared" si="418"/>
        <v>1+3.10193394123996i</v>
      </c>
      <c r="AK523" s="50">
        <f t="shared" si="437"/>
        <v>3.2591400976049605</v>
      </c>
      <c r="AL523" s="50">
        <f t="shared" si="438"/>
        <v>1.2589363776221281</v>
      </c>
      <c r="AM523" s="50" t="str">
        <f t="shared" si="419"/>
        <v>1-14.3114935931591i</v>
      </c>
      <c r="AN523" s="50">
        <f t="shared" si="439"/>
        <v>14.346388007684512</v>
      </c>
      <c r="AO523" s="50">
        <f t="shared" si="440"/>
        <v>-1.5010358024968031</v>
      </c>
      <c r="AP523" s="59" t="str">
        <f t="shared" si="441"/>
        <v>-0.257923493267339-1.04577326540844i</v>
      </c>
      <c r="AQ523" s="50">
        <f t="shared" si="442"/>
        <v>0.64520227785616002</v>
      </c>
      <c r="AR523" s="62">
        <f t="shared" si="443"/>
        <v>-103.85460007231625</v>
      </c>
      <c r="AS523" s="32" t="str">
        <f t="shared" si="420"/>
        <v>-0.0000166666666666667</v>
      </c>
      <c r="AT523" s="32" t="str">
        <f t="shared" si="421"/>
        <v>0.0239694895459451i</v>
      </c>
      <c r="AU523" s="32">
        <f t="shared" si="444"/>
        <v>2.3969489545945102E-2</v>
      </c>
      <c r="AV523" s="32">
        <f t="shared" si="445"/>
        <v>1.5707963267948966</v>
      </c>
      <c r="AW523" s="32" t="str">
        <f t="shared" si="422"/>
        <v>1+24.359304773855i</v>
      </c>
      <c r="AX523" s="32">
        <f t="shared" si="446"/>
        <v>24.379822170507211</v>
      </c>
      <c r="AY523" s="32">
        <f t="shared" si="447"/>
        <v>1.5297672900875166</v>
      </c>
      <c r="AZ523" s="32" t="str">
        <f t="shared" si="423"/>
        <v>1+828.216362311069i</v>
      </c>
      <c r="BA523" s="32">
        <f t="shared" si="448"/>
        <v>828.21696601783026</v>
      </c>
      <c r="BB523" s="32">
        <f t="shared" si="449"/>
        <v>1.5695889134189274</v>
      </c>
      <c r="BC523" s="59" t="str">
        <f t="shared" si="450"/>
        <v>-0.000940389402435635+0.0236025604538531i</v>
      </c>
      <c r="BD523" s="50">
        <f t="shared" si="451"/>
        <v>-32.533928930057371</v>
      </c>
      <c r="BE523" s="62">
        <f t="shared" si="452"/>
        <v>92.281610950249529</v>
      </c>
      <c r="BF523" s="59" t="str">
        <f t="shared" si="453"/>
        <v>-0.000750337281626031-0.000312701672474648i</v>
      </c>
      <c r="BG523" s="65">
        <f t="shared" si="454"/>
        <v>-61.799376078614131</v>
      </c>
      <c r="BH523" s="62">
        <f t="shared" si="455"/>
        <v>-157.37615724363187</v>
      </c>
      <c r="BI523" s="59" t="str">
        <f t="shared" si="460"/>
        <v>0.0249254752375339-0.00510422074617074i</v>
      </c>
      <c r="BJ523" s="65">
        <f t="shared" si="456"/>
        <v>-31.888726652201193</v>
      </c>
      <c r="BK523" s="62">
        <f t="shared" si="461"/>
        <v>-11.572989122066708</v>
      </c>
      <c r="BL523" s="50">
        <f t="shared" si="457"/>
        <v>-61.799376078614131</v>
      </c>
      <c r="BM523" s="62">
        <f t="shared" si="458"/>
        <v>-157.37615724363187</v>
      </c>
    </row>
    <row r="524" spans="14:65" x14ac:dyDescent="0.3">
      <c r="N524" s="11">
        <v>6</v>
      </c>
      <c r="O524" s="51">
        <f t="shared" si="462"/>
        <v>1148153.6214968837</v>
      </c>
      <c r="P524" s="49" t="str">
        <f t="shared" si="411"/>
        <v>27.9103246607183</v>
      </c>
      <c r="Q524" s="18" t="str">
        <f t="shared" si="412"/>
        <v>1+3543.70388354348i</v>
      </c>
      <c r="R524" s="18">
        <f t="shared" si="424"/>
        <v>3543.7040246387874</v>
      </c>
      <c r="S524" s="18">
        <f t="shared" si="425"/>
        <v>1.5705141361812565</v>
      </c>
      <c r="T524" s="18" t="str">
        <f t="shared" si="413"/>
        <v>1+3.17418726458867i</v>
      </c>
      <c r="U524" s="18">
        <f t="shared" si="426"/>
        <v>3.3279820898972554</v>
      </c>
      <c r="V524" s="18">
        <f t="shared" si="427"/>
        <v>1.2655979542790321</v>
      </c>
      <c r="W524" s="32" t="str">
        <f t="shared" si="414"/>
        <v>1-41.8593718955296i</v>
      </c>
      <c r="X524" s="18">
        <f t="shared" si="428"/>
        <v>41.87131494816294</v>
      </c>
      <c r="Y524" s="18">
        <f t="shared" si="429"/>
        <v>-1.5469113571078987</v>
      </c>
      <c r="Z524" s="32" t="str">
        <f t="shared" si="415"/>
        <v>-26.2367094743059+19.1418576002442i</v>
      </c>
      <c r="AA524" s="18">
        <f t="shared" si="430"/>
        <v>32.477309562634034</v>
      </c>
      <c r="AB524" s="18">
        <f t="shared" si="431"/>
        <v>2.5112869740542019</v>
      </c>
      <c r="AC524" s="67" t="str">
        <f t="shared" si="432"/>
        <v>-0.0115644640541982+0.0317524917292042i</v>
      </c>
      <c r="AD524" s="65">
        <f t="shared" si="433"/>
        <v>-29.423500360682937</v>
      </c>
      <c r="AE524" s="62">
        <f t="shared" si="434"/>
        <v>110.01195286913695</v>
      </c>
      <c r="AF524" s="50" t="str">
        <f t="shared" si="416"/>
        <v>79.1527877025864</v>
      </c>
      <c r="AG524" s="50" t="str">
        <f t="shared" si="417"/>
        <v>1+3516.02281615975i</v>
      </c>
      <c r="AH524" s="50">
        <f t="shared" si="435"/>
        <v>3516.0229583658779</v>
      </c>
      <c r="AI524" s="50">
        <f t="shared" si="436"/>
        <v>1.5705119145412445</v>
      </c>
      <c r="AJ524" s="50" t="str">
        <f t="shared" si="418"/>
        <v>1+3.17418726458867i</v>
      </c>
      <c r="AK524" s="50">
        <f t="shared" si="437"/>
        <v>3.3279820898972554</v>
      </c>
      <c r="AL524" s="50">
        <f t="shared" si="438"/>
        <v>1.2655979542790321</v>
      </c>
      <c r="AM524" s="50" t="str">
        <f t="shared" si="419"/>
        <v>1-14.6448511029506i</v>
      </c>
      <c r="AN524" s="50">
        <f t="shared" si="439"/>
        <v>14.678953090312449</v>
      </c>
      <c r="AO524" s="50">
        <f t="shared" si="440"/>
        <v>-1.5026187728075715</v>
      </c>
      <c r="AP524" s="59" t="str">
        <f t="shared" si="441"/>
        <v>-0.257923796000323-1.06906803792916i</v>
      </c>
      <c r="AQ524" s="50">
        <f t="shared" si="442"/>
        <v>0.82581151595106306</v>
      </c>
      <c r="AR524" s="62">
        <f t="shared" si="443"/>
        <v>-103.56399693664544</v>
      </c>
      <c r="AS524" s="32" t="str">
        <f t="shared" si="420"/>
        <v>-0.0000166666666666667</v>
      </c>
      <c r="AT524" s="32" t="str">
        <f t="shared" si="421"/>
        <v>0.0245278106809125i</v>
      </c>
      <c r="AU524" s="32">
        <f t="shared" si="444"/>
        <v>2.4527810680912501E-2</v>
      </c>
      <c r="AV524" s="32">
        <f t="shared" si="445"/>
        <v>1.5707963267948966</v>
      </c>
      <c r="AW524" s="32" t="str">
        <f t="shared" si="422"/>
        <v>1+24.9267058719169i</v>
      </c>
      <c r="AX524" s="32">
        <f t="shared" si="446"/>
        <v>24.946756615340934</v>
      </c>
      <c r="AY524" s="32">
        <f t="shared" si="447"/>
        <v>1.5307002126820435</v>
      </c>
      <c r="AZ524" s="32" t="str">
        <f t="shared" si="423"/>
        <v>1+847.507999645175i</v>
      </c>
      <c r="BA524" s="32">
        <f t="shared" si="448"/>
        <v>847.5085896099024</v>
      </c>
      <c r="BB524" s="32">
        <f t="shared" si="449"/>
        <v>1.569616397477013</v>
      </c>
      <c r="BC524" s="59" t="str">
        <f t="shared" si="450"/>
        <v>-0.000898132915863399+0.0230669958148424i</v>
      </c>
      <c r="BD524" s="50">
        <f t="shared" si="451"/>
        <v>-32.733600345401527</v>
      </c>
      <c r="BE524" s="62">
        <f t="shared" si="452"/>
        <v>92.229733143502941</v>
      </c>
      <c r="BF524" s="59" t="str">
        <f t="shared" si="453"/>
        <v>-0.000722048168006977-0.000295275401921764i</v>
      </c>
      <c r="BG524" s="65">
        <f t="shared" si="454"/>
        <v>-62.157100706084456</v>
      </c>
      <c r="BH524" s="62">
        <f t="shared" si="455"/>
        <v>-157.75831398736014</v>
      </c>
      <c r="BI524" s="59" t="str">
        <f t="shared" si="460"/>
        <v>0.024891837807666-0.00498936192872604i</v>
      </c>
      <c r="BJ524" s="65">
        <f t="shared" si="456"/>
        <v>-31.907788829450471</v>
      </c>
      <c r="BK524" s="62">
        <f t="shared" si="461"/>
        <v>-11.334263793142528</v>
      </c>
      <c r="BL524" s="50">
        <f t="shared" si="457"/>
        <v>-62.157100706084456</v>
      </c>
      <c r="BM524" s="62">
        <f t="shared" si="458"/>
        <v>-157.75831398736014</v>
      </c>
    </row>
    <row r="525" spans="14:65" x14ac:dyDescent="0.3">
      <c r="N525" s="11">
        <v>7</v>
      </c>
      <c r="O525" s="51">
        <f t="shared" si="462"/>
        <v>1174897.5549395324</v>
      </c>
      <c r="P525" s="49" t="str">
        <f t="shared" si="411"/>
        <v>27.9103246607183</v>
      </c>
      <c r="Q525" s="18" t="str">
        <f t="shared" si="412"/>
        <v>1+3626.24735074814i</v>
      </c>
      <c r="R525" s="18">
        <f t="shared" si="424"/>
        <v>3626.2474886317268</v>
      </c>
      <c r="S525" s="18">
        <f t="shared" si="425"/>
        <v>1.5705205596235137</v>
      </c>
      <c r="T525" s="18" t="str">
        <f t="shared" si="413"/>
        <v>1+3.24812358404041i</v>
      </c>
      <c r="U525" s="18">
        <f t="shared" si="426"/>
        <v>3.3985742329982314</v>
      </c>
      <c r="V525" s="18">
        <f t="shared" si="427"/>
        <v>1.2721350249484726</v>
      </c>
      <c r="W525" s="32" t="str">
        <f t="shared" si="414"/>
        <v>1-42.8344019219694i</v>
      </c>
      <c r="X525" s="18">
        <f t="shared" si="428"/>
        <v>42.84607319245039</v>
      </c>
      <c r="Y525" s="18">
        <f t="shared" si="429"/>
        <v>-1.5474548456420321</v>
      </c>
      <c r="Z525" s="32" t="str">
        <f t="shared" si="415"/>
        <v>-27.5203360455143+19.587728741566i</v>
      </c>
      <c r="AA525" s="18">
        <f t="shared" si="430"/>
        <v>33.779402204763841</v>
      </c>
      <c r="AB525" s="18">
        <f t="shared" si="431"/>
        <v>2.5230211114012482</v>
      </c>
      <c r="AC525" s="67" t="str">
        <f t="shared" si="432"/>
        <v>-0.0111750373085713+0.0312404303105144i</v>
      </c>
      <c r="AD525" s="65">
        <f t="shared" si="433"/>
        <v>-29.582734530443279</v>
      </c>
      <c r="AE525" s="62">
        <f t="shared" si="434"/>
        <v>109.68267524731118</v>
      </c>
      <c r="AF525" s="50" t="str">
        <f t="shared" si="416"/>
        <v>79.1527877025864</v>
      </c>
      <c r="AG525" s="50" t="str">
        <f t="shared" si="417"/>
        <v>1+3597.92150847552i</v>
      </c>
      <c r="AH525" s="50">
        <f t="shared" si="435"/>
        <v>3597.9216474446412</v>
      </c>
      <c r="AI525" s="50">
        <f t="shared" si="436"/>
        <v>1.5705183885541945</v>
      </c>
      <c r="AJ525" s="50" t="str">
        <f t="shared" si="418"/>
        <v>1+3.24812358404041i</v>
      </c>
      <c r="AK525" s="50">
        <f t="shared" si="437"/>
        <v>3.3985742329982314</v>
      </c>
      <c r="AL525" s="50">
        <f t="shared" si="438"/>
        <v>1.2721350249484726</v>
      </c>
      <c r="AM525" s="50" t="str">
        <f t="shared" si="419"/>
        <v>1-14.9859735066445i</v>
      </c>
      <c r="AN525" s="50">
        <f t="shared" si="439"/>
        <v>15.019300980466795</v>
      </c>
      <c r="AO525" s="50">
        <f t="shared" si="440"/>
        <v>-1.5041660410560773</v>
      </c>
      <c r="AP525" s="59" t="str">
        <f t="shared" si="441"/>
        <v>-0.257924085108081-1.09292964446664i</v>
      </c>
      <c r="AQ525" s="50">
        <f t="shared" si="442"/>
        <v>1.0072198888435515</v>
      </c>
      <c r="AR525" s="62">
        <f t="shared" si="443"/>
        <v>-103.27847325094024</v>
      </c>
      <c r="AS525" s="32" t="str">
        <f t="shared" si="420"/>
        <v>-0.0000166666666666667</v>
      </c>
      <c r="AT525" s="32" t="str">
        <f t="shared" si="421"/>
        <v>0.0250991367857668i</v>
      </c>
      <c r="AU525" s="32">
        <f t="shared" si="444"/>
        <v>2.50991367857668E-2</v>
      </c>
      <c r="AV525" s="32">
        <f t="shared" si="445"/>
        <v>1.5707963267948966</v>
      </c>
      <c r="AW525" s="32" t="str">
        <f t="shared" si="422"/>
        <v>1+25.5073234393761i</v>
      </c>
      <c r="AX525" s="32">
        <f t="shared" si="446"/>
        <v>25.526918126576611</v>
      </c>
      <c r="AY525" s="32">
        <f t="shared" si="447"/>
        <v>1.5316119668485892</v>
      </c>
      <c r="AZ525" s="32" t="str">
        <f t="shared" si="423"/>
        <v>1+867.248996938789i</v>
      </c>
      <c r="BA525" s="32">
        <f t="shared" si="448"/>
        <v>867.2495734742887</v>
      </c>
      <c r="BB525" s="32">
        <f t="shared" si="449"/>
        <v>1.5696432559232796</v>
      </c>
      <c r="BC525" s="59" t="str">
        <f t="shared" si="450"/>
        <v>-0.000857772309642358+0.0225435092003365i</v>
      </c>
      <c r="BD525" s="50">
        <f t="shared" si="451"/>
        <v>-32.933286526242014</v>
      </c>
      <c r="BE525" s="62">
        <f t="shared" si="452"/>
        <v>92.179032353421761</v>
      </c>
      <c r="BF525" s="59" t="str">
        <f t="shared" si="453"/>
        <v>-0.00069468329056504-0.000278721732441552i</v>
      </c>
      <c r="BG525" s="65">
        <f t="shared" si="454"/>
        <v>-62.51602105668529</v>
      </c>
      <c r="BH525" s="62">
        <f t="shared" si="455"/>
        <v>-158.13829239926704</v>
      </c>
      <c r="BI525" s="59" t="str">
        <f t="shared" si="460"/>
        <v>0.0248597096335498-0.00487702920021165i</v>
      </c>
      <c r="BJ525" s="65">
        <f t="shared" si="456"/>
        <v>-31.926066637398446</v>
      </c>
      <c r="BK525" s="62">
        <f t="shared" si="461"/>
        <v>-11.099440897518463</v>
      </c>
      <c r="BL525" s="50">
        <f t="shared" si="457"/>
        <v>-62.51602105668529</v>
      </c>
      <c r="BM525" s="62">
        <f t="shared" si="458"/>
        <v>-158.13829239926704</v>
      </c>
    </row>
    <row r="526" spans="14:65" x14ac:dyDescent="0.3">
      <c r="N526" s="11">
        <v>8</v>
      </c>
      <c r="O526" s="51">
        <f t="shared" si="462"/>
        <v>1202264.4346174158</v>
      </c>
      <c r="P526" s="49" t="str">
        <f t="shared" si="411"/>
        <v>27.9103246607183</v>
      </c>
      <c r="Q526" s="18" t="str">
        <f t="shared" si="412"/>
        <v>1+3710.71350229723i</v>
      </c>
      <c r="R526" s="18">
        <f t="shared" si="424"/>
        <v>3710.7136370422031</v>
      </c>
      <c r="S526" s="18">
        <f t="shared" si="425"/>
        <v>1.570526836850396</v>
      </c>
      <c r="T526" s="18" t="str">
        <f t="shared" si="413"/>
        <v>1+3.3237821016104i</v>
      </c>
      <c r="U526" s="18">
        <f t="shared" si="426"/>
        <v>3.4709548339017102</v>
      </c>
      <c r="V526" s="18">
        <f t="shared" si="427"/>
        <v>1.2785488200613344</v>
      </c>
      <c r="W526" s="32" t="str">
        <f t="shared" si="414"/>
        <v>1-43.8321433152886i</v>
      </c>
      <c r="X526" s="18">
        <f t="shared" si="428"/>
        <v>43.843548985135762</v>
      </c>
      <c r="Y526" s="18">
        <f t="shared" si="429"/>
        <v>-1.5479859761938113</v>
      </c>
      <c r="Z526" s="32" t="str">
        <f t="shared" si="415"/>
        <v>-28.8644580732631+20.0439855559408i</v>
      </c>
      <c r="AA526" s="18">
        <f t="shared" si="430"/>
        <v>35.14140430930339</v>
      </c>
      <c r="AB526" s="18">
        <f t="shared" si="431"/>
        <v>2.5346231504654311</v>
      </c>
      <c r="AC526" s="67" t="str">
        <f t="shared" si="432"/>
        <v>-0.010794780030269+0.0307311069988732i</v>
      </c>
      <c r="AD526" s="65">
        <f t="shared" si="433"/>
        <v>-29.743140012371548</v>
      </c>
      <c r="AE526" s="62">
        <f t="shared" si="434"/>
        <v>109.35461956822121</v>
      </c>
      <c r="AF526" s="50" t="str">
        <f t="shared" si="416"/>
        <v>79.1527877025864</v>
      </c>
      <c r="AG526" s="50" t="str">
        <f t="shared" si="417"/>
        <v>1+3681.7278663992i</v>
      </c>
      <c r="AH526" s="50">
        <f t="shared" si="435"/>
        <v>3681.7280022049977</v>
      </c>
      <c r="AI526" s="50">
        <f t="shared" si="436"/>
        <v>1.5705247152006407</v>
      </c>
      <c r="AJ526" s="50" t="str">
        <f t="shared" si="418"/>
        <v>1+3.3237821016104i</v>
      </c>
      <c r="AK526" s="50">
        <f t="shared" si="437"/>
        <v>3.4709548339017102</v>
      </c>
      <c r="AL526" s="50">
        <f t="shared" si="438"/>
        <v>1.2785488200613344</v>
      </c>
      <c r="AM526" s="50" t="str">
        <f t="shared" si="419"/>
        <v>1-15.3350416718543i</v>
      </c>
      <c r="AN526" s="50">
        <f t="shared" si="439"/>
        <v>15.367612146247964</v>
      </c>
      <c r="AO526" s="50">
        <f t="shared" si="440"/>
        <v>-1.5056783979739916</v>
      </c>
      <c r="AP526" s="59" t="str">
        <f t="shared" si="441"/>
        <v>-0.257924361203846-1.117370736761i</v>
      </c>
      <c r="AQ526" s="50">
        <f t="shared" si="442"/>
        <v>1.1893973571790168</v>
      </c>
      <c r="AR526" s="62">
        <f t="shared" si="443"/>
        <v>-102.99800401896537</v>
      </c>
      <c r="AS526" s="32" t="str">
        <f t="shared" si="420"/>
        <v>-0.0000166666666666667</v>
      </c>
      <c r="AT526" s="32" t="str">
        <f t="shared" si="421"/>
        <v>0.0256837707851712i</v>
      </c>
      <c r="AU526" s="32">
        <f t="shared" si="444"/>
        <v>2.56837707851712E-2</v>
      </c>
      <c r="AV526" s="32">
        <f t="shared" si="445"/>
        <v>1.5707963267948966</v>
      </c>
      <c r="AW526" s="32" t="str">
        <f t="shared" si="422"/>
        <v>1+26.1014653273522i</v>
      </c>
      <c r="AX526" s="32">
        <f t="shared" si="446"/>
        <v>26.120614315803703</v>
      </c>
      <c r="AY526" s="32">
        <f t="shared" si="447"/>
        <v>1.532503029944325</v>
      </c>
      <c r="AZ526" s="32" t="str">
        <f t="shared" si="423"/>
        <v>1+887.449821129976i</v>
      </c>
      <c r="BA526" s="32">
        <f t="shared" si="448"/>
        <v>887.450384541934</v>
      </c>
      <c r="BB526" s="32">
        <f t="shared" si="449"/>
        <v>1.5696695029982759</v>
      </c>
      <c r="BC526" s="59" t="str">
        <f t="shared" si="450"/>
        <v>-0.000819222779638017+0.0220318331920975i</v>
      </c>
      <c r="BD526" s="50">
        <f t="shared" si="451"/>
        <v>-33.132986810064594</v>
      </c>
      <c r="BE526" s="62">
        <f t="shared" si="452"/>
        <v>92.129482045378083</v>
      </c>
      <c r="BF526" s="59" t="str">
        <f t="shared" si="453"/>
        <v>-0.000668219293505696-0.000263004415869242i</v>
      </c>
      <c r="BG526" s="65">
        <f t="shared" si="454"/>
        <v>-62.876126822436149</v>
      </c>
      <c r="BH526" s="62">
        <f t="shared" si="455"/>
        <v>-158.51589838640066</v>
      </c>
      <c r="BI526" s="59" t="str">
        <f t="shared" si="460"/>
        <v>0.0248290231981712-0.00476717094136591i</v>
      </c>
      <c r="BJ526" s="65">
        <f t="shared" si="456"/>
        <v>-31.943589452885579</v>
      </c>
      <c r="BK526" s="62">
        <f t="shared" si="461"/>
        <v>-10.868521973587288</v>
      </c>
      <c r="BL526" s="50">
        <f t="shared" si="457"/>
        <v>-62.876126822436149</v>
      </c>
      <c r="BM526" s="62">
        <f t="shared" si="458"/>
        <v>-158.51589838640066</v>
      </c>
    </row>
    <row r="527" spans="14:65" x14ac:dyDescent="0.3">
      <c r="N527" s="11">
        <v>9</v>
      </c>
      <c r="O527" s="51">
        <f t="shared" si="462"/>
        <v>1230268.770812382</v>
      </c>
      <c r="P527" s="49" t="str">
        <f t="shared" si="411"/>
        <v>27.9103246607183</v>
      </c>
      <c r="Q527" s="18" t="str">
        <f t="shared" si="412"/>
        <v>1+3797.14712326232i</v>
      </c>
      <c r="R527" s="18">
        <f t="shared" si="424"/>
        <v>3797.1472549401228</v>
      </c>
      <c r="S527" s="18">
        <f t="shared" si="425"/>
        <v>1.5705329711901703</v>
      </c>
      <c r="T527" s="18" t="str">
        <f t="shared" si="413"/>
        <v>1+3.40120293244611i</v>
      </c>
      <c r="U527" s="18">
        <f t="shared" si="426"/>
        <v>3.5451630974723884</v>
      </c>
      <c r="V527" s="18">
        <f t="shared" si="427"/>
        <v>1.2848406287761094</v>
      </c>
      <c r="W527" s="32" t="str">
        <f t="shared" si="414"/>
        <v>1-44.8531250911804i</v>
      </c>
      <c r="X527" s="18">
        <f t="shared" si="428"/>
        <v>44.864271201537164</v>
      </c>
      <c r="Y527" s="18">
        <f t="shared" si="429"/>
        <v>-1.5485050291763447</v>
      </c>
      <c r="Z527" s="32" t="str">
        <f t="shared" si="415"/>
        <v>-30.2719266205829+20.5108699567708i</v>
      </c>
      <c r="AA527" s="18">
        <f t="shared" si="430"/>
        <v>36.566177373435124</v>
      </c>
      <c r="AB527" s="18">
        <f t="shared" si="431"/>
        <v>2.5460903785283842</v>
      </c>
      <c r="AC527" s="67" t="str">
        <f t="shared" si="432"/>
        <v>-0.0104237144897275+0.0302246761296521i</v>
      </c>
      <c r="AD527" s="65">
        <f t="shared" si="433"/>
        <v>-29.90470551213679</v>
      </c>
      <c r="AE527" s="62">
        <f t="shared" si="434"/>
        <v>109.02799886533825</v>
      </c>
      <c r="AF527" s="50" t="str">
        <f t="shared" si="416"/>
        <v>79.1527877025864</v>
      </c>
      <c r="AG527" s="50" t="str">
        <f t="shared" si="417"/>
        <v>1+3767.48632517107i</v>
      </c>
      <c r="AH527" s="50">
        <f t="shared" si="435"/>
        <v>3767.4864578855509</v>
      </c>
      <c r="AI527" s="50">
        <f t="shared" si="436"/>
        <v>1.5705308978350527</v>
      </c>
      <c r="AJ527" s="50" t="str">
        <f t="shared" si="418"/>
        <v>1+3.40120293244611i</v>
      </c>
      <c r="AK527" s="50">
        <f t="shared" si="437"/>
        <v>3.5451630974723884</v>
      </c>
      <c r="AL527" s="50">
        <f t="shared" si="438"/>
        <v>1.2848406287761094</v>
      </c>
      <c r="AM527" s="50" t="str">
        <f t="shared" si="419"/>
        <v>1-15.6922406791418i</v>
      </c>
      <c r="AN527" s="50">
        <f t="shared" si="439"/>
        <v>15.724071277252362</v>
      </c>
      <c r="AO527" s="50">
        <f t="shared" si="440"/>
        <v>-1.5071566177446039</v>
      </c>
      <c r="AP527" s="59" t="str">
        <f t="shared" si="441"/>
        <v>-0.257924624873258-1.14240427380339i</v>
      </c>
      <c r="AQ527" s="50">
        <f t="shared" si="442"/>
        <v>1.3723147769651991</v>
      </c>
      <c r="AR527" s="62">
        <f t="shared" si="443"/>
        <v>-102.72255992701214</v>
      </c>
      <c r="AS527" s="32" t="str">
        <f t="shared" si="420"/>
        <v>-0.0000166666666666667</v>
      </c>
      <c r="AT527" s="32" t="str">
        <f t="shared" si="421"/>
        <v>0.0262820226598108i</v>
      </c>
      <c r="AU527" s="32">
        <f t="shared" si="444"/>
        <v>2.6282022659810798E-2</v>
      </c>
      <c r="AV527" s="32">
        <f t="shared" si="445"/>
        <v>1.5707963267948966</v>
      </c>
      <c r="AW527" s="32" t="str">
        <f t="shared" si="422"/>
        <v>1+26.7094465577386i</v>
      </c>
      <c r="AX527" s="32">
        <f t="shared" si="446"/>
        <v>26.728159970725528</v>
      </c>
      <c r="AY527" s="32">
        <f t="shared" si="447"/>
        <v>1.5333738687594833</v>
      </c>
      <c r="AZ527" s="32" t="str">
        <f t="shared" si="423"/>
        <v>1+908.121182963111i</v>
      </c>
      <c r="BA527" s="32">
        <f t="shared" si="448"/>
        <v>908.12173355025493</v>
      </c>
      <c r="BB527" s="32">
        <f t="shared" si="449"/>
        <v>1.5696951526184038</v>
      </c>
      <c r="BC527" s="59" t="str">
        <f t="shared" si="450"/>
        <v>-0.000782403292529455+0.02153170596049i</v>
      </c>
      <c r="BD527" s="50">
        <f t="shared" si="451"/>
        <v>-33.332700563993868</v>
      </c>
      <c r="BE527" s="62">
        <f t="shared" si="452"/>
        <v>92.081056271612781</v>
      </c>
      <c r="BF527" s="59" t="str">
        <f t="shared" si="453"/>
        <v>-0.00064263329063756-0.000248088241528388i</v>
      </c>
      <c r="BG527" s="65">
        <f t="shared" si="454"/>
        <v>-63.237406076130654</v>
      </c>
      <c r="BH527" s="62">
        <f t="shared" si="455"/>
        <v>-158.89094486304893</v>
      </c>
      <c r="BI527" s="59" t="str">
        <f t="shared" si="460"/>
        <v>0.024799713987267-0.00465973631751718i</v>
      </c>
      <c r="BJ527" s="65">
        <f t="shared" si="456"/>
        <v>-31.960385787028656</v>
      </c>
      <c r="BK527" s="62">
        <f t="shared" si="461"/>
        <v>-10.641503655399346</v>
      </c>
      <c r="BL527" s="50">
        <f t="shared" si="457"/>
        <v>-63.237406076130654</v>
      </c>
      <c r="BM527" s="62">
        <f t="shared" si="458"/>
        <v>-158.89094486304893</v>
      </c>
    </row>
    <row r="528" spans="14:65" x14ac:dyDescent="0.3">
      <c r="N528" s="11">
        <v>10</v>
      </c>
      <c r="O528" s="51">
        <f t="shared" si="462"/>
        <v>1258925.4117941677</v>
      </c>
      <c r="P528" s="49" t="str">
        <f t="shared" si="411"/>
        <v>27.9103246607183</v>
      </c>
      <c r="Q528" s="18" t="str">
        <f t="shared" si="412"/>
        <v>1+3885.59404189335i</v>
      </c>
      <c r="R528" s="18">
        <f t="shared" si="424"/>
        <v>3885.594170573801</v>
      </c>
      <c r="S528" s="18">
        <f t="shared" si="425"/>
        <v>1.570538965895343</v>
      </c>
      <c r="T528" s="18" t="str">
        <f t="shared" si="413"/>
        <v>1+3.48042712609686i</v>
      </c>
      <c r="U528" s="18">
        <f t="shared" si="426"/>
        <v>3.6212391498036753</v>
      </c>
      <c r="V528" s="18">
        <f t="shared" si="427"/>
        <v>1.2910117937595518</v>
      </c>
      <c r="W528" s="32" t="str">
        <f t="shared" si="414"/>
        <v>1-45.897888587697i</v>
      </c>
      <c r="X528" s="18">
        <f t="shared" si="428"/>
        <v>45.908781042504785</v>
      </c>
      <c r="Y528" s="18">
        <f t="shared" si="429"/>
        <v>-1.5490122786790232</v>
      </c>
      <c r="Z528" s="32" t="str">
        <f t="shared" si="415"/>
        <v>-31.7457271169652+20.9886294923454i</v>
      </c>
      <c r="AA528" s="18">
        <f t="shared" si="430"/>
        <v>38.056717648159974</v>
      </c>
      <c r="AB528" s="18">
        <f t="shared" si="431"/>
        <v>2.5574202823812611</v>
      </c>
      <c r="AC528" s="67" t="str">
        <f t="shared" si="432"/>
        <v>-0.0100618488125096+0.0297212963061204i</v>
      </c>
      <c r="AD528" s="65">
        <f t="shared" si="433"/>
        <v>-30.067418201548808</v>
      </c>
      <c r="AE528" s="62">
        <f t="shared" si="434"/>
        <v>108.70301817354013</v>
      </c>
      <c r="AF528" s="50" t="str">
        <f t="shared" si="416"/>
        <v>79.1527877025864</v>
      </c>
      <c r="AG528" s="50" t="str">
        <f t="shared" si="417"/>
        <v>1+3855.24235506112i</v>
      </c>
      <c r="AH528" s="50">
        <f t="shared" si="435"/>
        <v>3855.2424847546504</v>
      </c>
      <c r="AI528" s="50">
        <f t="shared" si="436"/>
        <v>1.5705369397355435</v>
      </c>
      <c r="AJ528" s="50" t="str">
        <f t="shared" si="418"/>
        <v>1+3.48042712609686i</v>
      </c>
      <c r="AK528" s="50">
        <f t="shared" si="437"/>
        <v>3.6212391498036753</v>
      </c>
      <c r="AL528" s="50">
        <f t="shared" si="438"/>
        <v>1.2910117937595518</v>
      </c>
      <c r="AM528" s="50" t="str">
        <f t="shared" si="419"/>
        <v>1-16.0577599201488i</v>
      </c>
      <c r="AN528" s="50">
        <f t="shared" si="439"/>
        <v>16.088867382545523</v>
      </c>
      <c r="AO528" s="50">
        <f t="shared" si="440"/>
        <v>-1.508601458284178</v>
      </c>
      <c r="AP528" s="59" t="str">
        <f t="shared" si="441"/>
        <v>-0.257924876675593-1.16804352870697i</v>
      </c>
      <c r="AQ528" s="50">
        <f t="shared" si="442"/>
        <v>1.5559438919647597</v>
      </c>
      <c r="AR528" s="62">
        <f t="shared" si="443"/>
        <v>-102.45210765916725</v>
      </c>
      <c r="AS528" s="32" t="str">
        <f t="shared" si="420"/>
        <v>-0.0000166666666666667</v>
      </c>
      <c r="AT528" s="32" t="str">
        <f t="shared" si="421"/>
        <v>0.0268942096107484i</v>
      </c>
      <c r="AU528" s="32">
        <f t="shared" si="444"/>
        <v>2.6894209610748399E-2</v>
      </c>
      <c r="AV528" s="32">
        <f t="shared" si="445"/>
        <v>1.5707963267948966</v>
      </c>
      <c r="AW528" s="32" t="str">
        <f t="shared" si="422"/>
        <v>1+27.3315894902312i</v>
      </c>
      <c r="AX528" s="32">
        <f t="shared" si="446"/>
        <v>27.349877222073893</v>
      </c>
      <c r="AY528" s="32">
        <f t="shared" si="447"/>
        <v>1.5342249397380394</v>
      </c>
      <c r="AZ528" s="32" t="str">
        <f t="shared" si="423"/>
        <v>1+929.274042667859i</v>
      </c>
      <c r="BA528" s="32">
        <f t="shared" si="448"/>
        <v>929.27458072211687</v>
      </c>
      <c r="BB528" s="32">
        <f t="shared" si="449"/>
        <v>1.5697202183832961</v>
      </c>
      <c r="BC528" s="59" t="str">
        <f t="shared" si="450"/>
        <v>-0.00074723642012277+0.0210428711702485i</v>
      </c>
      <c r="BD528" s="50">
        <f t="shared" si="451"/>
        <v>-33.532427183474873</v>
      </c>
      <c r="BE528" s="62">
        <f t="shared" si="452"/>
        <v>92.033729659014043</v>
      </c>
      <c r="BF528" s="59" t="str">
        <f t="shared" si="453"/>
        <v>-0.000617902829295998-0.000233939023349351i</v>
      </c>
      <c r="BG528" s="65">
        <f t="shared" si="454"/>
        <v>-63.599845385023677</v>
      </c>
      <c r="BH528" s="62">
        <f t="shared" si="455"/>
        <v>-159.26325216744578</v>
      </c>
      <c r="BI528" s="59" t="str">
        <f t="shared" si="460"/>
        <v>0.0247717203573309-0.00455467528654817i</v>
      </c>
      <c r="BJ528" s="65">
        <f t="shared" si="456"/>
        <v>-31.976483291510114</v>
      </c>
      <c r="BK528" s="62">
        <f t="shared" si="461"/>
        <v>-10.418378000153204</v>
      </c>
      <c r="BL528" s="50">
        <f t="shared" si="457"/>
        <v>-63.599845385023677</v>
      </c>
      <c r="BM528" s="62">
        <f t="shared" si="458"/>
        <v>-159.26325216744578</v>
      </c>
    </row>
    <row r="529" spans="14:65" x14ac:dyDescent="0.3">
      <c r="N529" s="11">
        <v>11</v>
      </c>
      <c r="O529" s="51">
        <f t="shared" si="462"/>
        <v>1288249.5516931366</v>
      </c>
      <c r="P529" s="49" t="str">
        <f t="shared" si="411"/>
        <v>27.9103246607183</v>
      </c>
      <c r="Q529" s="18" t="str">
        <f t="shared" si="412"/>
        <v>1+3976.10115391732i</v>
      </c>
      <c r="R529" s="18">
        <f t="shared" si="424"/>
        <v>3976.1012796686464</v>
      </c>
      <c r="S529" s="18">
        <f t="shared" si="425"/>
        <v>1.5705448241443842</v>
      </c>
      <c r="T529" s="18" t="str">
        <f t="shared" si="413"/>
        <v>1+3.56149668827876i</v>
      </c>
      <c r="U529" s="18">
        <f t="shared" si="426"/>
        <v>3.6992240619649652</v>
      </c>
      <c r="V529" s="18">
        <f t="shared" si="427"/>
        <v>1.2970637061776453</v>
      </c>
      <c r="W529" s="32" t="str">
        <f t="shared" si="414"/>
        <v>1-46.9669877522732i</v>
      </c>
      <c r="X529" s="18">
        <f t="shared" si="428"/>
        <v>46.977632321373761</v>
      </c>
      <c r="Y529" s="18">
        <f t="shared" si="429"/>
        <v>-1.5495079926075184</v>
      </c>
      <c r="Z529" s="32" t="str">
        <f t="shared" si="415"/>
        <v>-33.2889856908588+21.4775174770943i</v>
      </c>
      <c r="AA529" s="18">
        <f t="shared" si="430"/>
        <v>39.616162425266452</v>
      </c>
      <c r="AB529" s="18">
        <f t="shared" si="431"/>
        <v>2.5686105491337985</v>
      </c>
      <c r="AC529" s="67" t="str">
        <f t="shared" si="432"/>
        <v>-0.00970917709259323+0.0292211290989016i</v>
      </c>
      <c r="AD529" s="65">
        <f t="shared" si="433"/>
        <v>-30.231263833818307</v>
      </c>
      <c r="AE529" s="62">
        <f t="shared" si="434"/>
        <v>108.37987418763986</v>
      </c>
      <c r="AF529" s="50" t="str">
        <f t="shared" si="416"/>
        <v>79.1527877025864</v>
      </c>
      <c r="AG529" s="50" t="str">
        <f t="shared" si="417"/>
        <v>1+3945.04248547801i</v>
      </c>
      <c r="AH529" s="50">
        <f t="shared" si="435"/>
        <v>3945.0426122193553</v>
      </c>
      <c r="AI529" s="50">
        <f t="shared" si="436"/>
        <v>1.5705428441056066</v>
      </c>
      <c r="AJ529" s="50" t="str">
        <f t="shared" si="418"/>
        <v>1+3.56149668827876i</v>
      </c>
      <c r="AK529" s="50">
        <f t="shared" si="437"/>
        <v>3.6992240619649652</v>
      </c>
      <c r="AL529" s="50">
        <f t="shared" si="438"/>
        <v>1.2970637061776453</v>
      </c>
      <c r="AM529" s="50" t="str">
        <f t="shared" si="419"/>
        <v>1-16.4317931980151i</v>
      </c>
      <c r="AN529" s="50">
        <f t="shared" si="439"/>
        <v>16.46219389092278</v>
      </c>
      <c r="AO529" s="50">
        <f t="shared" si="440"/>
        <v>-1.5100136615231032</v>
      </c>
      <c r="AP529" s="59" t="str">
        <f t="shared" si="441"/>
        <v>-0.257925117144959-1.19430209574447i</v>
      </c>
      <c r="AQ529" s="50">
        <f t="shared" si="442"/>
        <v>1.7402573243846431</v>
      </c>
      <c r="AR529" s="62">
        <f t="shared" si="443"/>
        <v>-102.18661020051812</v>
      </c>
      <c r="AS529" s="32" t="str">
        <f t="shared" si="420"/>
        <v>-0.0000166666666666667</v>
      </c>
      <c r="AT529" s="32" t="str">
        <f t="shared" si="421"/>
        <v>0.0275206562276086i</v>
      </c>
      <c r="AU529" s="32">
        <f t="shared" si="444"/>
        <v>2.75206562276086E-2</v>
      </c>
      <c r="AV529" s="32">
        <f t="shared" si="445"/>
        <v>1.5707963267948966</v>
      </c>
      <c r="AW529" s="32" t="str">
        <f t="shared" si="422"/>
        <v>1+27.9682239932479i</v>
      </c>
      <c r="AX529" s="32">
        <f t="shared" si="446"/>
        <v>27.986095714416603</v>
      </c>
      <c r="AY529" s="32">
        <f t="shared" si="447"/>
        <v>1.535056689194682</v>
      </c>
      <c r="AZ529" s="32" t="str">
        <f t="shared" si="423"/>
        <v>1+950.919615770429i</v>
      </c>
      <c r="BA529" s="32">
        <f t="shared" si="448"/>
        <v>950.92014157708343</v>
      </c>
      <c r="BB529" s="32">
        <f t="shared" si="449"/>
        <v>1.5697447135830274</v>
      </c>
      <c r="BC529" s="59" t="str">
        <f t="shared" si="450"/>
        <v>-0.000713648180769698+0.0205650778862207i</v>
      </c>
      <c r="BD529" s="50">
        <f t="shared" si="451"/>
        <v>-33.732166091012694</v>
      </c>
      <c r="BE529" s="62">
        <f t="shared" si="452"/>
        <v>91.987477397099042</v>
      </c>
      <c r="BF529" s="59" t="str">
        <f t="shared" si="453"/>
        <v>-0.000594005859273321-0.000220523588741757i</v>
      </c>
      <c r="BG529" s="65">
        <f t="shared" si="454"/>
        <v>-63.963429924830997</v>
      </c>
      <c r="BH529" s="62">
        <f t="shared" si="455"/>
        <v>-159.63264841526109</v>
      </c>
      <c r="BI529" s="59" t="str">
        <f t="shared" si="460"/>
        <v>0.0247449834092869-0.0044519386049812i</v>
      </c>
      <c r="BJ529" s="65">
        <f t="shared" si="456"/>
        <v>-31.991908766628061</v>
      </c>
      <c r="BK529" s="62">
        <f t="shared" si="461"/>
        <v>-10.199132803419085</v>
      </c>
      <c r="BL529" s="50">
        <f t="shared" si="457"/>
        <v>-63.963429924830997</v>
      </c>
      <c r="BM529" s="62">
        <f t="shared" si="458"/>
        <v>-159.63264841526109</v>
      </c>
    </row>
    <row r="530" spans="14:65" x14ac:dyDescent="0.3">
      <c r="N530" s="11">
        <v>12</v>
      </c>
      <c r="O530" s="51">
        <f t="shared" si="462"/>
        <v>1318256.7385564097</v>
      </c>
      <c r="P530" s="49" t="str">
        <f t="shared" si="411"/>
        <v>27.9103246607183</v>
      </c>
      <c r="Q530" s="18" t="str">
        <f t="shared" si="412"/>
        <v>1+4068.71644740302i</v>
      </c>
      <c r="R530" s="18">
        <f t="shared" si="424"/>
        <v>4068.716570291896</v>
      </c>
      <c r="S530" s="18">
        <f t="shared" si="425"/>
        <v>1.5705505490434137</v>
      </c>
      <c r="T530" s="18" t="str">
        <f t="shared" si="413"/>
        <v>1+3.64445460314678i</v>
      </c>
      <c r="U530" s="18">
        <f t="shared" si="426"/>
        <v>3.7791598741516288</v>
      </c>
      <c r="V530" s="18">
        <f t="shared" si="427"/>
        <v>1.3029978008991854</v>
      </c>
      <c r="W530" s="32" t="str">
        <f t="shared" si="414"/>
        <v>1-48.0609894354372i</v>
      </c>
      <c r="X530" s="18">
        <f t="shared" si="428"/>
        <v>48.071391757605753</v>
      </c>
      <c r="Y530" s="18">
        <f t="shared" si="429"/>
        <v>-1.5499924328208545</v>
      </c>
      <c r="Z530" s="32" t="str">
        <f t="shared" si="415"/>
        <v>-34.9049758006071+21.977793125898i</v>
      </c>
      <c r="AA530" s="18">
        <f t="shared" si="430"/>
        <v>41.247796623889336</v>
      </c>
      <c r="AB530" s="18">
        <f t="shared" si="431"/>
        <v>2.5796590661767942</v>
      </c>
      <c r="AC530" s="67" t="str">
        <f t="shared" si="432"/>
        <v>-0.00936567960633597+0.0287243378049701i</v>
      </c>
      <c r="AD530" s="65">
        <f t="shared" si="433"/>
        <v>-30.396226858339798</v>
      </c>
      <c r="AE530" s="62">
        <f t="shared" si="434"/>
        <v>108.05875498176975</v>
      </c>
      <c r="AF530" s="50" t="str">
        <f t="shared" si="416"/>
        <v>79.1527877025864</v>
      </c>
      <c r="AG530" s="50" t="str">
        <f t="shared" si="417"/>
        <v>1+4036.9343296395i</v>
      </c>
      <c r="AH530" s="50">
        <f t="shared" si="435"/>
        <v>4036.93445349586</v>
      </c>
      <c r="AI530" s="50">
        <f t="shared" si="436"/>
        <v>1.5705486140758156</v>
      </c>
      <c r="AJ530" s="50" t="str">
        <f t="shared" si="418"/>
        <v>1+3.64445460314678i</v>
      </c>
      <c r="AK530" s="50">
        <f t="shared" si="437"/>
        <v>3.7791598741516288</v>
      </c>
      <c r="AL530" s="50">
        <f t="shared" si="438"/>
        <v>1.3029978008991854</v>
      </c>
      <c r="AM530" s="50" t="str">
        <f t="shared" si="419"/>
        <v>1-16.8145388301354i</v>
      </c>
      <c r="AN530" s="50">
        <f t="shared" si="439"/>
        <v>16.844248753510239</v>
      </c>
      <c r="AO530" s="50">
        <f t="shared" si="440"/>
        <v>-1.5113939536864514</v>
      </c>
      <c r="AP530" s="59" t="str">
        <f t="shared" si="441"/>
        <v>-0.257925346791419-1.2211938975561i</v>
      </c>
      <c r="AQ530" s="50">
        <f t="shared" si="442"/>
        <v>1.9252285640319906</v>
      </c>
      <c r="AR530" s="62">
        <f t="shared" si="443"/>
        <v>-101.92602712813868</v>
      </c>
      <c r="AS530" s="32" t="str">
        <f t="shared" si="420"/>
        <v>-0.0000166666666666667</v>
      </c>
      <c r="AT530" s="32" t="str">
        <f t="shared" si="421"/>
        <v>0.0281616946606796i</v>
      </c>
      <c r="AU530" s="32">
        <f t="shared" si="444"/>
        <v>2.8161694660679599E-2</v>
      </c>
      <c r="AV530" s="32">
        <f t="shared" si="445"/>
        <v>1.5707963267948966</v>
      </c>
      <c r="AW530" s="32" t="str">
        <f t="shared" si="422"/>
        <v>1+28.6196876188291i</v>
      </c>
      <c r="AX530" s="32">
        <f t="shared" si="446"/>
        <v>28.637152780948032</v>
      </c>
      <c r="AY530" s="32">
        <f t="shared" si="447"/>
        <v>1.535869553528072</v>
      </c>
      <c r="AZ530" s="32" t="str">
        <f t="shared" si="423"/>
        <v>1+973.069379040188i</v>
      </c>
      <c r="BA530" s="32">
        <f t="shared" si="448"/>
        <v>973.06989287802821</v>
      </c>
      <c r="BB530" s="32">
        <f t="shared" si="449"/>
        <v>1.5697686512051587</v>
      </c>
      <c r="BC530" s="59" t="str">
        <f t="shared" si="450"/>
        <v>-0.00068156788760237+0.0200980804792274i</v>
      </c>
      <c r="BD530" s="50">
        <f t="shared" si="451"/>
        <v>-33.931916734968112</v>
      </c>
      <c r="BE530" s="62">
        <f t="shared" si="452"/>
        <v>91.942275226198802</v>
      </c>
      <c r="BF530" s="59" t="str">
        <f t="shared" si="453"/>
        <v>-0.000570920706451552-0.000207809768711309i</v>
      </c>
      <c r="BG530" s="65">
        <f t="shared" si="454"/>
        <v>-64.328143593307914</v>
      </c>
      <c r="BH530" s="62">
        <f t="shared" si="455"/>
        <v>-159.99896979203149</v>
      </c>
      <c r="BI530" s="59" t="str">
        <f t="shared" si="460"/>
        <v>0.0247194468675956-0.00435147783233636i</v>
      </c>
      <c r="BJ530" s="65">
        <f t="shared" si="456"/>
        <v>-32.00668817093613</v>
      </c>
      <c r="BK530" s="62">
        <f t="shared" si="461"/>
        <v>-9.9837519019398844</v>
      </c>
      <c r="BL530" s="50">
        <f t="shared" si="457"/>
        <v>-64.328143593307914</v>
      </c>
      <c r="BM530" s="62">
        <f t="shared" si="458"/>
        <v>-159.99896979203149</v>
      </c>
    </row>
    <row r="531" spans="14:65" x14ac:dyDescent="0.3">
      <c r="N531" s="11">
        <v>13</v>
      </c>
      <c r="O531" s="51">
        <f t="shared" si="462"/>
        <v>1348962.8825916562</v>
      </c>
      <c r="P531" s="49" t="str">
        <f t="shared" ref="P531:P560" si="463">COMPLEX(Adc,0)</f>
        <v>27.9103246607183</v>
      </c>
      <c r="Q531" s="18" t="str">
        <f t="shared" ref="Q531:Q560" si="464">IMSUM(COMPLEX(1,0),IMDIV(COMPLEX(0,2*PI()*O531),COMPLEX(wp_lf,0)))</f>
        <v>1+4163.48902820495i</v>
      </c>
      <c r="R531" s="18">
        <f t="shared" si="424"/>
        <v>4163.4891482965349</v>
      </c>
      <c r="S531" s="18">
        <f t="shared" si="425"/>
        <v>1.570556143627847</v>
      </c>
      <c r="T531" s="18" t="str">
        <f t="shared" ref="T531:T560" si="465">IMSUM(COMPLEX(1,0),IMDIV(COMPLEX(0,2*PI()*O531),COMPLEX(wz_esr,0)))</f>
        <v>1+3.72934485608543i</v>
      </c>
      <c r="U531" s="18">
        <f t="shared" si="426"/>
        <v>3.8610896202511089</v>
      </c>
      <c r="V531" s="18">
        <f t="shared" si="427"/>
        <v>1.3088155519128868</v>
      </c>
      <c r="W531" s="32" t="str">
        <f t="shared" ref="W531:W560" si="466">IMSUB(COMPLEX(1,0),IMDIV(COMPLEX(0,2*PI()*O531),COMPLEX(wz_rhp,0)))</f>
        <v>1-49.1804736913622i</v>
      </c>
      <c r="X531" s="18">
        <f t="shared" si="428"/>
        <v>49.190639277272759</v>
      </c>
      <c r="Y531" s="18">
        <f t="shared" si="429"/>
        <v>-1.5504658552656072</v>
      </c>
      <c r="Z531" s="32" t="str">
        <f t="shared" ref="Z531:Z560" si="467">IMSUM(COMPLEX(1,0),IMDIV(COMPLEX(0,2*PI()*O531),COMPLEX(Q*(wsl/2),0)),IMDIV(IMPOWER(COMPLEX(0,2*PI()*O531),2),IMPOWER(COMPLEX(wsl/2,0),2)))</f>
        <v>-36.5971251778923+22.4897216915275i</v>
      </c>
      <c r="AA531" s="18">
        <f t="shared" si="430"/>
        <v>42.955059690898821</v>
      </c>
      <c r="AB531" s="18">
        <f t="shared" si="431"/>
        <v>2.5905639203422552</v>
      </c>
      <c r="AC531" s="67" t="str">
        <f t="shared" si="432"/>
        <v>-0.00903132311795294+0.0282310862725476i</v>
      </c>
      <c r="AD531" s="65">
        <f t="shared" si="433"/>
        <v>-30.562290534326394</v>
      </c>
      <c r="AE531" s="62">
        <f t="shared" si="434"/>
        <v>107.73983978713908</v>
      </c>
      <c r="AF531" s="50" t="str">
        <f t="shared" ref="AF531:AF560" si="468">COMPLEX($B$72,0)</f>
        <v>79.1527877025864</v>
      </c>
      <c r="AG531" s="50" t="str">
        <f t="shared" ref="AG531:AG560" si="469">IMSUM(COMPLEX(1,0),IMDIV(COMPLEX(0,2*PI()*O531),COMPLEX(wp_lf_DCM,0)))</f>
        <v>1+4130.96660981769i</v>
      </c>
      <c r="AH531" s="50">
        <f t="shared" si="435"/>
        <v>4130.9667308547359</v>
      </c>
      <c r="AI531" s="50">
        <f t="shared" si="436"/>
        <v>1.5705542527054837</v>
      </c>
      <c r="AJ531" s="50" t="str">
        <f t="shared" ref="AJ531:AJ560" si="470">IMSUM(COMPLEX(1,0),IMDIV(COMPLEX(0,2*PI()*O531),COMPLEX(wz1_dcm,0)))</f>
        <v>1+3.72934485608543i</v>
      </c>
      <c r="AK531" s="50">
        <f t="shared" si="437"/>
        <v>3.8610896202511089</v>
      </c>
      <c r="AL531" s="50">
        <f t="shared" si="438"/>
        <v>1.3088155519128868</v>
      </c>
      <c r="AM531" s="50" t="str">
        <f t="shared" ref="AM531:AM560" si="471">IMSUB(COMPLEX(1,0),IMDIV(COMPLEX(0,2*PI()*O531),COMPLEX(wz2_dcm,0)))</f>
        <v>1-17.2061997533102i</v>
      </c>
      <c r="AN531" s="50">
        <f t="shared" si="439"/>
        <v>17.235234548761213</v>
      </c>
      <c r="AO531" s="50">
        <f t="shared" si="440"/>
        <v>-1.5127430455735797</v>
      </c>
      <c r="AP531" s="59" t="str">
        <f t="shared" si="441"/>
        <v>-0.25792556610209-1.2487331925315i</v>
      </c>
      <c r="AQ531" s="50">
        <f t="shared" si="442"/>
        <v>2.1108319560979365</v>
      </c>
      <c r="AR531" s="62">
        <f t="shared" si="443"/>
        <v>-101.67031488978571</v>
      </c>
      <c r="AS531" s="32" t="str">
        <f t="shared" ref="AS531:AS560" si="472">COMPLEX(Adc_ea,0)</f>
        <v>-0.0000166666666666667</v>
      </c>
      <c r="AT531" s="32" t="str">
        <f t="shared" ref="AT531:AT560" si="473">COMPLEX(0,2*PI()*O531*wp0_ea)</f>
        <v>0.0288176647970238i</v>
      </c>
      <c r="AU531" s="32">
        <f t="shared" si="444"/>
        <v>2.8817664797023801E-2</v>
      </c>
      <c r="AV531" s="32">
        <f t="shared" si="445"/>
        <v>1.5707963267948966</v>
      </c>
      <c r="AW531" s="32" t="str">
        <f t="shared" ref="AW531:AW560" si="474">IMSUM(COMPLEX(1,0),IMDIV(COMPLEX(0,2*PI()*O531),COMPLEX(wp1_ea,0)))</f>
        <v>1+29.286325781612i</v>
      </c>
      <c r="AX531" s="32">
        <f t="shared" si="446"/>
        <v>29.303393622355614</v>
      </c>
      <c r="AY531" s="32">
        <f t="shared" si="447"/>
        <v>1.5366639594303932</v>
      </c>
      <c r="AZ531" s="32" t="str">
        <f t="shared" ref="AZ531:AZ560" si="475">IMSUM(COMPLEX(1,0),IMDIV(COMPLEX(0,2*PI()*O531),COMPLEX(wz_ea,0)))</f>
        <v>1+995.735076574808i</v>
      </c>
      <c r="BA531" s="32">
        <f t="shared" si="448"/>
        <v>995.73557871627679</v>
      </c>
      <c r="BB531" s="32">
        <f t="shared" si="449"/>
        <v>1.5697920439416249</v>
      </c>
      <c r="BC531" s="59" t="str">
        <f t="shared" si="450"/>
        <v>-0.000650928003305331+0.0196416385321725i</v>
      </c>
      <c r="BD531" s="50">
        <f t="shared" si="451"/>
        <v>-34.1316785884053</v>
      </c>
      <c r="BE531" s="62">
        <f t="shared" si="452"/>
        <v>91.898099425846283</v>
      </c>
      <c r="BF531" s="59" t="str">
        <f t="shared" si="453"/>
        <v>-0.000548626050811583-0.000195766388768615i</v>
      </c>
      <c r="BG531" s="65">
        <f t="shared" si="454"/>
        <v>-64.693969122731687</v>
      </c>
      <c r="BH531" s="62">
        <f t="shared" si="455"/>
        <v>-160.3620607870146</v>
      </c>
      <c r="BI531" s="59" t="str">
        <f t="shared" si="460"/>
        <v>0.0246950569645737-0.0042532453339076i</v>
      </c>
      <c r="BJ531" s="65">
        <f t="shared" si="456"/>
        <v>-32.020846632307368</v>
      </c>
      <c r="BK531" s="62">
        <f t="shared" si="461"/>
        <v>-9.772215463939439</v>
      </c>
      <c r="BL531" s="50">
        <f t="shared" si="457"/>
        <v>-64.693969122731687</v>
      </c>
      <c r="BM531" s="62">
        <f t="shared" si="458"/>
        <v>-160.3620607870146</v>
      </c>
    </row>
    <row r="532" spans="14:65" x14ac:dyDescent="0.3">
      <c r="N532" s="11">
        <v>14</v>
      </c>
      <c r="O532" s="51">
        <f t="shared" si="462"/>
        <v>1380384.2646028849</v>
      </c>
      <c r="P532" s="49" t="str">
        <f t="shared" si="463"/>
        <v>27.9103246607183</v>
      </c>
      <c r="Q532" s="18" t="str">
        <f t="shared" si="464"/>
        <v>1+4260.46914599993i</v>
      </c>
      <c r="R532" s="18">
        <f t="shared" ref="R532:R560" si="476">IMABS(Q532)</f>
        <v>4260.4692633578961</v>
      </c>
      <c r="S532" s="18">
        <f t="shared" ref="S532:S560" si="477">IMARGUMENT(Q532)</f>
        <v>1.5705616108640055</v>
      </c>
      <c r="T532" s="18" t="str">
        <f t="shared" si="465"/>
        <v>1+3.81621245703049i</v>
      </c>
      <c r="U532" s="18">
        <f t="shared" ref="U532:U560" si="478">IMABS(T532)</f>
        <v>3.9450573528397141</v>
      </c>
      <c r="V532" s="18">
        <f t="shared" ref="V532:V560" si="479">IMARGUMENT(T532)</f>
        <v>1.3145184679577682</v>
      </c>
      <c r="W532" s="32" t="str">
        <f t="shared" si="466"/>
        <v>1-50.3260340854188i</v>
      </c>
      <c r="X532" s="18">
        <f t="shared" ref="X532:X560" si="480">IMABS(W532)</f>
        <v>50.335968320543259</v>
      </c>
      <c r="Y532" s="18">
        <f t="shared" ref="Y532:Y560" si="481">IMARGUMENT(W532)</f>
        <v>-1.5509285101072756</v>
      </c>
      <c r="Z532" s="32" t="str">
        <f t="shared" si="467"/>
        <v>-38.3690230984142+23.0135746052845i</v>
      </c>
      <c r="AA532" s="18">
        <f t="shared" ref="AA532:AA560" si="482">IMABS(Z532)</f>
        <v>44.74155282999952</v>
      </c>
      <c r="AB532" s="18">
        <f t="shared" ref="AB532:AB560" si="483">IMARGUMENT(Z532)</f>
        <v>2.601323396309128</v>
      </c>
      <c r="AC532" s="67" t="str">
        <f t="shared" ref="AC532:AC560" si="484">(IMDIV(IMPRODUCT(P532,T532,W532),IMPRODUCT(Q532,Z532)))</f>
        <v>-0.00870606126709906+0.0277415377971134i</v>
      </c>
      <c r="AD532" s="65">
        <f t="shared" ref="AD532:AD560" si="485">20*LOG(IMABS(AC532))</f>
        <v>-30.729437042681145</v>
      </c>
      <c r="AE532" s="62">
        <f t="shared" ref="AE532:AE560" si="486">(180/PI())*IMARGUMENT(AC532)</f>
        <v>107.42329882539759</v>
      </c>
      <c r="AF532" s="50" t="str">
        <f t="shared" si="468"/>
        <v>79.1527877025864</v>
      </c>
      <c r="AG532" s="50" t="str">
        <f t="shared" si="469"/>
        <v>1+4227.18918317222i</v>
      </c>
      <c r="AH532" s="50">
        <f t="shared" ref="AH532:AH560" si="487">IMABS(AG532)</f>
        <v>4227.1893014541256</v>
      </c>
      <c r="AI532" s="50">
        <f t="shared" ref="AI532:AI560" si="488">IMARGUMENT(AG532)</f>
        <v>1.5705597629842853</v>
      </c>
      <c r="AJ532" s="50" t="str">
        <f t="shared" si="470"/>
        <v>1+3.81621245703049i</v>
      </c>
      <c r="AK532" s="50">
        <f t="shared" ref="AK532:AK560" si="489">IMABS(AJ532)</f>
        <v>3.9450573528397141</v>
      </c>
      <c r="AL532" s="50">
        <f t="shared" ref="AL532:AL560" si="490">IMARGUMENT(AJ532)</f>
        <v>1.3145184679577682</v>
      </c>
      <c r="AM532" s="50" t="str">
        <f t="shared" si="471"/>
        <v>1-17.6069836313451i</v>
      </c>
      <c r="AN532" s="50">
        <f t="shared" ref="AN532:AN560" si="491">IMABS(AM532)</f>
        <v>17.635358589902683</v>
      </c>
      <c r="AO532" s="50">
        <f t="shared" ref="AO532:AO560" si="492">IMARGUMENT(AM532)</f>
        <v>-1.514061632836452</v>
      </c>
      <c r="AP532" s="59" t="str">
        <f t="shared" ref="AP532:AP560" si="493">(IMDIV(IMPRODUCT(AF532,AJ532,AM532),IMPRODUCT(AG532)))</f>
        <v>-0.257925775542154-1.27693458236974i</v>
      </c>
      <c r="AQ532" s="50">
        <f t="shared" ref="AQ532:AQ560" si="494">20*LOG(IMABS(AP532))</f>
        <v>2.2970426877241827</v>
      </c>
      <c r="AR532" s="62">
        <f t="shared" ref="AR532:AR560" si="495">(180/PI())*IMARGUMENT(AP532)</f>
        <v>-101.4194270702981</v>
      </c>
      <c r="AS532" s="32" t="str">
        <f t="shared" si="472"/>
        <v>-0.0000166666666666667</v>
      </c>
      <c r="AT532" s="32" t="str">
        <f t="shared" si="473"/>
        <v>0.0294889144406901i</v>
      </c>
      <c r="AU532" s="32">
        <f t="shared" ref="AU532:AU560" si="496">IMABS(AT532)</f>
        <v>2.94889144406901E-2</v>
      </c>
      <c r="AV532" s="32">
        <f t="shared" ref="AV532:AV560" si="497">IMARGUMENT(AT532)</f>
        <v>1.5707963267948966</v>
      </c>
      <c r="AW532" s="32" t="str">
        <f t="shared" si="474"/>
        <v>1+29.9684919419747i</v>
      </c>
      <c r="AX532" s="32">
        <f t="shared" ref="AX532:AX560" si="498">IMABS(AW532)</f>
        <v>29.985171489858157</v>
      </c>
      <c r="AY532" s="32">
        <f t="shared" ref="AY532:AY560" si="499">IMARGUMENT(AW532)</f>
        <v>1.5374403240932053</v>
      </c>
      <c r="AZ532" s="32" t="str">
        <f t="shared" si="475"/>
        <v>1+1018.92872602714i</v>
      </c>
      <c r="BA532" s="32">
        <f t="shared" ref="BA532:BA560" si="500">IMABS(AZ532)</f>
        <v>1018.9292167384792</v>
      </c>
      <c r="BB532" s="32">
        <f t="shared" ref="BB532:BB560" si="501">IMARGUMENT(AZ532)</f>
        <v>1.5698149041954617</v>
      </c>
      <c r="BC532" s="59" t="str">
        <f t="shared" ref="BC532:BC560" si="502">IMPRODUCT(AS532,IMDIV(AZ532,IMPRODUCT(AT532,AW532)))</f>
        <v>-0.000621664001156166+0.0191955167465165i</v>
      </c>
      <c r="BD532" s="50">
        <f t="shared" ref="BD532:BD560" si="503">20*LOG(IMABS(BC532))</f>
        <v>-34.331451147991075</v>
      </c>
      <c r="BE532" s="62">
        <f t="shared" ref="BE532:BE560" si="504">(180/PI())*IMARGUMENT(BC532)</f>
        <v>91.854926803367505</v>
      </c>
      <c r="BF532" s="59" t="str">
        <f t="shared" ref="BF532:BF560" si="505">IMPRODUCT(AC532,BC532)</f>
        <v>-0.000527100908476995-0.000184363260233977i</v>
      </c>
      <c r="BG532" s="65">
        <f t="shared" ref="BG532:BG560" si="506">20*LOG(IMABS(BF532))</f>
        <v>-65.06088819067223</v>
      </c>
      <c r="BH532" s="62">
        <f t="shared" ref="BH532:BH560" si="507">(180/PI())*IMARGUMENT(BF532)</f>
        <v>-160.72177437123489</v>
      </c>
      <c r="BI532" s="59" t="str">
        <f t="shared" si="460"/>
        <v>0.0246717623297092-0.00415719428208702i</v>
      </c>
      <c r="BJ532" s="65">
        <f t="shared" ref="BJ532:BJ560" si="508">20*LOG(IMABS(BI532))</f>
        <v>-32.03440846026691</v>
      </c>
      <c r="BK532" s="62">
        <f t="shared" si="461"/>
        <v>-9.5645002669305956</v>
      </c>
      <c r="BL532" s="50">
        <f t="shared" ref="BL532:BL560" si="509">IF($B$31=0,BJ532,BG532)</f>
        <v>-65.06088819067223</v>
      </c>
      <c r="BM532" s="62">
        <f t="shared" ref="BM532:BM560" si="510">IF($B$31=0,BK532,BH532)</f>
        <v>-160.72177437123489</v>
      </c>
    </row>
    <row r="533" spans="14:65" x14ac:dyDescent="0.3">
      <c r="N533" s="11">
        <v>15</v>
      </c>
      <c r="O533" s="51">
        <f t="shared" si="462"/>
        <v>1412537.5446227565</v>
      </c>
      <c r="P533" s="49" t="str">
        <f t="shared" si="463"/>
        <v>27.9103246607183</v>
      </c>
      <c r="Q533" s="18" t="str">
        <f t="shared" si="464"/>
        <v>1+4359.7082209301i</v>
      </c>
      <c r="R533" s="18">
        <f t="shared" si="476"/>
        <v>4359.7083356166722</v>
      </c>
      <c r="S533" s="18">
        <f t="shared" si="477"/>
        <v>1.570566953650689</v>
      </c>
      <c r="T533" s="18" t="str">
        <f t="shared" si="465"/>
        <v>1+3.90510346433383i</v>
      </c>
      <c r="U533" s="18">
        <f t="shared" si="478"/>
        <v>4.0311081686246135</v>
      </c>
      <c r="V533" s="18">
        <f t="shared" si="479"/>
        <v>1.3201080883654448</v>
      </c>
      <c r="W533" s="32" t="str">
        <f t="shared" si="466"/>
        <v>1-51.4982780088915i</v>
      </c>
      <c r="X533" s="18">
        <f t="shared" si="480"/>
        <v>51.507986156333835</v>
      </c>
      <c r="Y533" s="18">
        <f t="shared" si="481"/>
        <v>-1.5513806418588778</v>
      </c>
      <c r="Z533" s="32" t="str">
        <f t="shared" si="467"/>
        <v>-40.2244279952249+23.549629620918i</v>
      </c>
      <c r="AA533" s="18">
        <f t="shared" si="482"/>
        <v>46.611046575092594</v>
      </c>
      <c r="AB533" s="18">
        <f t="shared" si="483"/>
        <v>2.6119359743053345</v>
      </c>
      <c r="AC533" s="67" t="str">
        <f t="shared" si="484"/>
        <v>-0.00838983502904233+0.0272558540925947i</v>
      </c>
      <c r="AD533" s="65">
        <f t="shared" si="485"/>
        <v>-30.897647595554197</v>
      </c>
      <c r="AE533" s="62">
        <f t="shared" si="486"/>
        <v>107.10929319462306</v>
      </c>
      <c r="AF533" s="50" t="str">
        <f t="shared" si="468"/>
        <v>79.1527877025864</v>
      </c>
      <c r="AG533" s="50" t="str">
        <f t="shared" si="469"/>
        <v>1+4325.65306818515i</v>
      </c>
      <c r="AH533" s="50">
        <f t="shared" si="487"/>
        <v>4325.6531837746306</v>
      </c>
      <c r="AI533" s="50">
        <f t="shared" si="488"/>
        <v>1.570565147833842</v>
      </c>
      <c r="AJ533" s="50" t="str">
        <f t="shared" si="470"/>
        <v>1+3.90510346433383i</v>
      </c>
      <c r="AK533" s="50">
        <f t="shared" si="489"/>
        <v>4.0311081686246135</v>
      </c>
      <c r="AL533" s="50">
        <f t="shared" si="490"/>
        <v>1.3201080883654448</v>
      </c>
      <c r="AM533" s="50" t="str">
        <f t="shared" si="471"/>
        <v>1-18.0171029651574i</v>
      </c>
      <c r="AN533" s="50">
        <f t="shared" si="491"/>
        <v>18.044833034890722</v>
      </c>
      <c r="AO533" s="50">
        <f t="shared" si="492"/>
        <v>-1.5153503962563819</v>
      </c>
      <c r="AP533" s="59" t="str">
        <f t="shared" si="493"/>
        <v>-0.257925975555863-1.30581301982132i</v>
      </c>
      <c r="AQ533" s="50">
        <f t="shared" si="494"/>
        <v>2.4838367734983406</v>
      </c>
      <c r="AR533" s="62">
        <f t="shared" si="495"/>
        <v>-101.17331464576375</v>
      </c>
      <c r="AS533" s="32" t="str">
        <f t="shared" si="472"/>
        <v>-0.0000166666666666667</v>
      </c>
      <c r="AT533" s="32" t="str">
        <f t="shared" si="473"/>
        <v>0.030175799497125i</v>
      </c>
      <c r="AU533" s="32">
        <f t="shared" si="496"/>
        <v>3.0175799497125001E-2</v>
      </c>
      <c r="AV533" s="32">
        <f t="shared" si="497"/>
        <v>1.5707963267948966</v>
      </c>
      <c r="AW533" s="32" t="str">
        <f t="shared" si="474"/>
        <v>1+30.666547793445i</v>
      </c>
      <c r="AX533" s="32">
        <f t="shared" si="498"/>
        <v>30.682847872510902</v>
      </c>
      <c r="AY533" s="32">
        <f t="shared" si="499"/>
        <v>1.5381990554096079</v>
      </c>
      <c r="AZ533" s="32" t="str">
        <f t="shared" si="475"/>
        <v>1+1042.66262497713i</v>
      </c>
      <c r="BA533" s="32">
        <f t="shared" si="500"/>
        <v>1042.6631045185206</v>
      </c>
      <c r="BB533" s="32">
        <f t="shared" si="501"/>
        <v>1.5698372440873827</v>
      </c>
      <c r="BC533" s="59" t="str">
        <f t="shared" si="502"/>
        <v>-0.00059371423207597+0.0187594848492229i</v>
      </c>
      <c r="BD533" s="50">
        <f t="shared" si="503"/>
        <v>-34.531233932942946</v>
      </c>
      <c r="BE533" s="62">
        <f t="shared" si="504"/>
        <v>91.812734682675085</v>
      </c>
      <c r="BF533" s="59" t="str">
        <f t="shared" si="505"/>
        <v>-0.000506324617441148-0.000173571171596959i</v>
      </c>
      <c r="BG533" s="65">
        <f t="shared" si="506"/>
        <v>-65.428881528497143</v>
      </c>
      <c r="BH533" s="62">
        <f t="shared" si="507"/>
        <v>-161.07797212270179</v>
      </c>
      <c r="BI533" s="59" t="str">
        <f t="shared" si="460"/>
        <v>0.0246495138837656-0.00406327865636323i</v>
      </c>
      <c r="BJ533" s="65">
        <f t="shared" si="508"/>
        <v>-32.047397159444621</v>
      </c>
      <c r="BK533" s="62">
        <f t="shared" si="461"/>
        <v>-9.3605799630887017</v>
      </c>
      <c r="BL533" s="50">
        <f t="shared" si="509"/>
        <v>-65.428881528497143</v>
      </c>
      <c r="BM533" s="62">
        <f t="shared" si="510"/>
        <v>-161.07797212270179</v>
      </c>
    </row>
    <row r="534" spans="14:65" x14ac:dyDescent="0.3">
      <c r="N534" s="11">
        <v>16</v>
      </c>
      <c r="O534" s="51">
        <f t="shared" si="462"/>
        <v>1445439.7707459298</v>
      </c>
      <c r="P534" s="49" t="str">
        <f t="shared" si="463"/>
        <v>27.9103246607183</v>
      </c>
      <c r="Q534" s="18" t="str">
        <f t="shared" si="464"/>
        <v>1+4461.25887086657i</v>
      </c>
      <c r="R534" s="18">
        <f t="shared" si="476"/>
        <v>4461.2589829425579</v>
      </c>
      <c r="S534" s="18">
        <f t="shared" si="477"/>
        <v>1.5705721748207124</v>
      </c>
      <c r="T534" s="18" t="str">
        <f t="shared" si="465"/>
        <v>1+3.9960650091841i</v>
      </c>
      <c r="U534" s="18">
        <f t="shared" si="478"/>
        <v>4.1192882343465023</v>
      </c>
      <c r="V534" s="18">
        <f t="shared" si="479"/>
        <v>1.3255859791120388</v>
      </c>
      <c r="W534" s="32" t="str">
        <f t="shared" si="466"/>
        <v>1-52.6978270010248i</v>
      </c>
      <c r="X534" s="18">
        <f t="shared" si="480"/>
        <v>52.707314204291784</v>
      </c>
      <c r="Y534" s="18">
        <f t="shared" si="481"/>
        <v>-1.55182248950682</v>
      </c>
      <c r="Z534" s="32" t="str">
        <f t="shared" si="467"/>
        <v>-42.1672754308687+24.0981709618927i</v>
      </c>
      <c r="AA534" s="18">
        <f t="shared" si="482"/>
        <v>48.567488724159411</v>
      </c>
      <c r="AB534" s="18">
        <f t="shared" si="483"/>
        <v>2.6224003271590606</v>
      </c>
      <c r="AC534" s="67" t="str">
        <f t="shared" si="484"/>
        <v>-0.0080825732379336+0.0267741943407149i</v>
      </c>
      <c r="AD534" s="65">
        <f t="shared" si="485"/>
        <v>-31.066902543095331</v>
      </c>
      <c r="AE534" s="62">
        <f t="shared" si="486"/>
        <v>106.79797480476128</v>
      </c>
      <c r="AF534" s="50" t="str">
        <f t="shared" si="468"/>
        <v>79.1527877025864</v>
      </c>
      <c r="AG534" s="50" t="str">
        <f t="shared" si="469"/>
        <v>1+4426.41047171161i</v>
      </c>
      <c r="AH534" s="50">
        <f t="shared" si="487"/>
        <v>4426.4105846699531</v>
      </c>
      <c r="AI534" s="50">
        <f t="shared" si="488"/>
        <v>1.570570410109271</v>
      </c>
      <c r="AJ534" s="50" t="str">
        <f t="shared" si="470"/>
        <v>1+3.9960650091841i</v>
      </c>
      <c r="AK534" s="50">
        <f t="shared" si="489"/>
        <v>4.1192882343465023</v>
      </c>
      <c r="AL534" s="50">
        <f t="shared" si="490"/>
        <v>1.3255859791120388</v>
      </c>
      <c r="AM534" s="50" t="str">
        <f t="shared" si="471"/>
        <v>1-18.4367752054464i</v>
      </c>
      <c r="AN534" s="50">
        <f t="shared" si="491"/>
        <v>18.463874998931374</v>
      </c>
      <c r="AO534" s="50">
        <f t="shared" si="492"/>
        <v>-1.5166100020189255</v>
      </c>
      <c r="AP534" s="59" t="str">
        <f t="shared" si="493"/>
        <v>-0.257926166567475-1.33538381661632i</v>
      </c>
      <c r="AQ534" s="50">
        <f t="shared" si="494"/>
        <v>2.6711910400163124</v>
      </c>
      <c r="AR534" s="62">
        <f t="shared" si="495"/>
        <v>-100.93192622556703</v>
      </c>
      <c r="AS534" s="32" t="str">
        <f t="shared" si="472"/>
        <v>-0.0000166666666666667</v>
      </c>
      <c r="AT534" s="32" t="str">
        <f t="shared" si="473"/>
        <v>0.0308786841618771i</v>
      </c>
      <c r="AU534" s="32">
        <f t="shared" si="496"/>
        <v>3.0878684161877099E-2</v>
      </c>
      <c r="AV534" s="32">
        <f t="shared" si="497"/>
        <v>1.5707963267948966</v>
      </c>
      <c r="AW534" s="32" t="str">
        <f t="shared" si="474"/>
        <v>1+31.3808634544751i</v>
      </c>
      <c r="AX534" s="32">
        <f t="shared" si="498"/>
        <v>31.396792688878442</v>
      </c>
      <c r="AY534" s="32">
        <f t="shared" si="499"/>
        <v>1.53894055217274</v>
      </c>
      <c r="AZ534" s="32" t="str">
        <f t="shared" si="475"/>
        <v>1+1066.94935745215i</v>
      </c>
      <c r="BA534" s="32">
        <f t="shared" si="500"/>
        <v>1066.9498260778507</v>
      </c>
      <c r="BB534" s="32">
        <f t="shared" si="501"/>
        <v>1.5698590754622048</v>
      </c>
      <c r="BC534" s="59" t="str">
        <f t="shared" si="502"/>
        <v>-0.000567019797440496+0.0183333175002772i</v>
      </c>
      <c r="BD534" s="50">
        <f t="shared" si="503"/>
        <v>-34.731026484022635</v>
      </c>
      <c r="BE534" s="62">
        <f t="shared" si="504"/>
        <v>91.771500893263266</v>
      </c>
      <c r="BF534" s="59" t="str">
        <f t="shared" si="505"/>
        <v>-0.00048627682662228-0.000163361879641985i</v>
      </c>
      <c r="BG534" s="65">
        <f t="shared" si="506"/>
        <v>-65.797929027117959</v>
      </c>
      <c r="BH534" s="62">
        <f t="shared" si="507"/>
        <v>-161.43052430197542</v>
      </c>
      <c r="BI534" s="59" t="str">
        <f t="shared" si="460"/>
        <v>0.0246282647374806-0.0039714532421078i</v>
      </c>
      <c r="BJ534" s="65">
        <f t="shared" si="508"/>
        <v>-32.059835444006332</v>
      </c>
      <c r="BK534" s="62">
        <f t="shared" si="461"/>
        <v>-9.1604253323037739</v>
      </c>
      <c r="BL534" s="50">
        <f t="shared" si="509"/>
        <v>-65.797929027117959</v>
      </c>
      <c r="BM534" s="62">
        <f t="shared" si="510"/>
        <v>-161.43052430197542</v>
      </c>
    </row>
    <row r="535" spans="14:65" x14ac:dyDescent="0.3">
      <c r="N535" s="11">
        <v>17</v>
      </c>
      <c r="O535" s="51">
        <f t="shared" si="462"/>
        <v>1479108.3881682095</v>
      </c>
      <c r="P535" s="49" t="str">
        <f t="shared" si="463"/>
        <v>27.9103246607183</v>
      </c>
      <c r="Q535" s="18" t="str">
        <f t="shared" si="464"/>
        <v>1+4565.17493930811i</v>
      </c>
      <c r="R535" s="18">
        <f t="shared" si="476"/>
        <v>4565.1750488329362</v>
      </c>
      <c r="S535" s="18">
        <f t="shared" si="477"/>
        <v>1.5705772771424078</v>
      </c>
      <c r="T535" s="18" t="str">
        <f t="shared" si="465"/>
        <v>1+4.08914532059642i</v>
      </c>
      <c r="U535" s="18">
        <f t="shared" si="478"/>
        <v>4.2096448131588966</v>
      </c>
      <c r="V535" s="18">
        <f t="shared" si="479"/>
        <v>1.3309537290765883</v>
      </c>
      <c r="W535" s="32" t="str">
        <f t="shared" si="466"/>
        <v>1-53.9253170785722i</v>
      </c>
      <c r="X535" s="18">
        <f t="shared" si="480"/>
        <v>53.934588364282064</v>
      </c>
      <c r="Y535" s="18">
        <f t="shared" si="481"/>
        <v>-1.5522542866340847</v>
      </c>
      <c r="Z535" s="32" t="str">
        <f t="shared" si="467"/>
        <v>-44.2016864452388+24.6594894720883i</v>
      </c>
      <c r="AA535" s="18">
        <f t="shared" si="482"/>
        <v>50.615012650667602</v>
      </c>
      <c r="AB535" s="18">
        <f t="shared" si="483"/>
        <v>2.6327153167536568</v>
      </c>
      <c r="AC535" s="67" t="str">
        <f t="shared" si="484"/>
        <v>-0.00778419316382321+0.0262967143204401i</v>
      </c>
      <c r="AD535" s="65">
        <f t="shared" si="485"/>
        <v>-31.237181476972061</v>
      </c>
      <c r="AE535" s="62">
        <f t="shared" si="486"/>
        <v>106.48948635922277</v>
      </c>
      <c r="AF535" s="50" t="str">
        <f t="shared" si="468"/>
        <v>79.1527877025864</v>
      </c>
      <c r="AG535" s="50" t="str">
        <f t="shared" si="469"/>
        <v>1+4529.51481666063i</v>
      </c>
      <c r="AH535" s="50">
        <f t="shared" si="487"/>
        <v>4529.5149270477268</v>
      </c>
      <c r="AI535" s="50">
        <f t="shared" si="488"/>
        <v>1.5705755526006993</v>
      </c>
      <c r="AJ535" s="50" t="str">
        <f t="shared" si="470"/>
        <v>1+4.08914532059642i</v>
      </c>
      <c r="AK535" s="50">
        <f t="shared" si="489"/>
        <v>4.2096448131588966</v>
      </c>
      <c r="AL535" s="50">
        <f t="shared" si="490"/>
        <v>1.3309537290765883</v>
      </c>
      <c r="AM535" s="50" t="str">
        <f t="shared" si="471"/>
        <v>1-18.8662228679888i</v>
      </c>
      <c r="AN535" s="50">
        <f t="shared" si="491"/>
        <v>18.892706669628456</v>
      </c>
      <c r="AO535" s="50">
        <f t="shared" si="492"/>
        <v>-1.5178411019866809</v>
      </c>
      <c r="AP535" s="59" t="str">
        <f t="shared" si="493"/>
        <v>-0.25792634898215-1.36566265158291i</v>
      </c>
      <c r="AQ535" s="50">
        <f t="shared" si="494"/>
        <v>2.8590831096415155</v>
      </c>
      <c r="AR535" s="62">
        <f t="shared" si="495"/>
        <v>-100.69520828248298</v>
      </c>
      <c r="AS535" s="32" t="str">
        <f t="shared" si="472"/>
        <v>-0.0000166666666666667</v>
      </c>
      <c r="AT535" s="32" t="str">
        <f t="shared" si="473"/>
        <v>0.0315979411136996i</v>
      </c>
      <c r="AU535" s="32">
        <f t="shared" si="496"/>
        <v>3.1597941113699603E-2</v>
      </c>
      <c r="AV535" s="32">
        <f t="shared" si="497"/>
        <v>1.5707963267948966</v>
      </c>
      <c r="AW535" s="32" t="str">
        <f t="shared" si="474"/>
        <v>1+32.1118176646836i</v>
      </c>
      <c r="AX535" s="32">
        <f t="shared" si="498"/>
        <v>32.127384483177053</v>
      </c>
      <c r="AY535" s="32">
        <f t="shared" si="499"/>
        <v>1.5396652042706329</v>
      </c>
      <c r="AZ535" s="32" t="str">
        <f t="shared" si="475"/>
        <v>1+1091.80180059924i</v>
      </c>
      <c r="BA535" s="32">
        <f t="shared" si="500"/>
        <v>1091.8022585577219</v>
      </c>
      <c r="BB535" s="32">
        <f t="shared" si="501"/>
        <v>1.5698804098951291</v>
      </c>
      <c r="BC535" s="59" t="str">
        <f t="shared" si="502"/>
        <v>-0.00054152442741211+0.0179167942008627i</v>
      </c>
      <c r="BD535" s="50">
        <f t="shared" si="503"/>
        <v>-34.930828362575099</v>
      </c>
      <c r="BE535" s="62">
        <f t="shared" si="504"/>
        <v>91.731203759403584</v>
      </c>
      <c r="BF535" s="59" t="str">
        <f t="shared" si="505"/>
        <v>-0.0004669374878923-0.000153708100101179i</v>
      </c>
      <c r="BG535" s="65">
        <f t="shared" si="506"/>
        <v>-66.168009839547153</v>
      </c>
      <c r="BH535" s="62">
        <f t="shared" si="507"/>
        <v>-161.77930988137368</v>
      </c>
      <c r="BI535" s="59" t="str">
        <f t="shared" si="460"/>
        <v>0.0246079700946625-0.00388167362825653i</v>
      </c>
      <c r="BJ535" s="65">
        <f t="shared" si="508"/>
        <v>-32.071745252933589</v>
      </c>
      <c r="BK535" s="62">
        <f t="shared" si="461"/>
        <v>-8.9640045230793977</v>
      </c>
      <c r="BL535" s="50">
        <f t="shared" si="509"/>
        <v>-66.168009839547153</v>
      </c>
      <c r="BM535" s="62">
        <f t="shared" si="510"/>
        <v>-161.77930988137368</v>
      </c>
    </row>
    <row r="536" spans="14:65" x14ac:dyDescent="0.3">
      <c r="N536" s="11">
        <v>18</v>
      </c>
      <c r="O536" s="51">
        <f t="shared" si="462"/>
        <v>1513561.2484362102</v>
      </c>
      <c r="P536" s="49" t="str">
        <f t="shared" si="463"/>
        <v>27.9103246607183</v>
      </c>
      <c r="Q536" s="18" t="str">
        <f t="shared" si="464"/>
        <v>1+4671.51152392971i</v>
      </c>
      <c r="R536" s="18">
        <f t="shared" si="476"/>
        <v>4671.5116309614468</v>
      </c>
      <c r="S536" s="18">
        <f t="shared" si="477"/>
        <v>1.5705822633210931</v>
      </c>
      <c r="T536" s="18" t="str">
        <f t="shared" si="465"/>
        <v>1+4.18439375098395i</v>
      </c>
      <c r="U536" s="18">
        <f t="shared" si="478"/>
        <v>4.3022262914999638</v>
      </c>
      <c r="V536" s="18">
        <f t="shared" si="479"/>
        <v>1.3362129465020824</v>
      </c>
      <c r="W536" s="32" t="str">
        <f t="shared" si="466"/>
        <v>1-55.1813990730206i</v>
      </c>
      <c r="X536" s="18">
        <f t="shared" si="480"/>
        <v>55.190459353550949</v>
      </c>
      <c r="Y536" s="18">
        <f t="shared" si="481"/>
        <v>-1.5526762615407907</v>
      </c>
      <c r="Z536" s="32" t="str">
        <f t="shared" si="467"/>
        <v>-46.3319762968549+25.2338827700091i</v>
      </c>
      <c r="AA536" s="18">
        <f t="shared" si="482"/>
        <v>52.757946010273045</v>
      </c>
      <c r="AB536" s="18">
        <f t="shared" si="483"/>
        <v>2.6428799899413034</v>
      </c>
      <c r="AC536" s="67" t="str">
        <f t="shared" si="484"/>
        <v>-0.00749460113432057+0.0258235656184879i</v>
      </c>
      <c r="AD536" s="65">
        <f t="shared" si="485"/>
        <v>-31.408463330284739</v>
      </c>
      <c r="AE536" s="62">
        <f t="shared" si="486"/>
        <v>106.18396137925401</v>
      </c>
      <c r="AF536" s="50" t="str">
        <f t="shared" si="468"/>
        <v>79.1527877025864</v>
      </c>
      <c r="AG536" s="50" t="str">
        <f t="shared" si="469"/>
        <v>1+4635.02077032067i</v>
      </c>
      <c r="AH536" s="50">
        <f t="shared" si="487"/>
        <v>4635.0208781950505</v>
      </c>
      <c r="AI536" s="50">
        <f t="shared" si="488"/>
        <v>1.5705805780347428</v>
      </c>
      <c r="AJ536" s="50" t="str">
        <f t="shared" si="470"/>
        <v>1+4.18439375098395i</v>
      </c>
      <c r="AK536" s="50">
        <f t="shared" si="489"/>
        <v>4.3022262914999638</v>
      </c>
      <c r="AL536" s="50">
        <f t="shared" si="490"/>
        <v>1.3362129465020824</v>
      </c>
      <c r="AM536" s="50" t="str">
        <f t="shared" si="471"/>
        <v>1-19.3056736516199i</v>
      </c>
      <c r="AN536" s="50">
        <f t="shared" si="491"/>
        <v>19.331555424819051</v>
      </c>
      <c r="AO536" s="50">
        <f t="shared" si="492"/>
        <v>-1.5190443339697739</v>
      </c>
      <c r="AP536" s="59" t="str">
        <f t="shared" si="493"/>
        <v>-0.25792652318681-1.39666557896042i</v>
      </c>
      <c r="AQ536" s="50">
        <f t="shared" si="494"/>
        <v>3.0474913835818724</v>
      </c>
      <c r="AR536" s="62">
        <f t="shared" si="495"/>
        <v>-100.46310537102772</v>
      </c>
      <c r="AS536" s="32" t="str">
        <f t="shared" si="472"/>
        <v>-0.0000166666666666667</v>
      </c>
      <c r="AT536" s="32" t="str">
        <f t="shared" si="473"/>
        <v>0.0323339517121487i</v>
      </c>
      <c r="AU536" s="32">
        <f t="shared" si="496"/>
        <v>3.2333951712148701E-2</v>
      </c>
      <c r="AV536" s="32">
        <f t="shared" si="497"/>
        <v>1.5707963267948966</v>
      </c>
      <c r="AW536" s="32" t="str">
        <f t="shared" si="474"/>
        <v>1+32.8597979856681i</v>
      </c>
      <c r="AX536" s="32">
        <f t="shared" si="498"/>
        <v>32.875010625989425</v>
      </c>
      <c r="AY536" s="32">
        <f t="shared" si="499"/>
        <v>1.5403733928774417</v>
      </c>
      <c r="AZ536" s="32" t="str">
        <f t="shared" si="475"/>
        <v>1+1117.23313151271i</v>
      </c>
      <c r="BA536" s="32">
        <f t="shared" si="500"/>
        <v>1117.2335790467887</v>
      </c>
      <c r="BB536" s="32">
        <f t="shared" si="501"/>
        <v>1.5699012586978764</v>
      </c>
      <c r="BC536" s="59" t="str">
        <f t="shared" si="502"/>
        <v>-0.000517174364561901+0.0175096992022764i</v>
      </c>
      <c r="BD536" s="50">
        <f t="shared" si="503"/>
        <v>-35.130639149609394</v>
      </c>
      <c r="BE536" s="62">
        <f t="shared" si="504"/>
        <v>91.6918220895395</v>
      </c>
      <c r="BF536" s="59" t="str">
        <f t="shared" si="505"/>
        <v>-0.000448286850730683-0.000144583497642457i</v>
      </c>
      <c r="BG536" s="65">
        <f t="shared" si="506"/>
        <v>-66.539102479894126</v>
      </c>
      <c r="BH536" s="62">
        <f t="shared" si="507"/>
        <v>-162.12421653120643</v>
      </c>
      <c r="BI536" s="59" t="str">
        <f t="shared" si="460"/>
        <v>0.024588587159503-0.00379389620398568i</v>
      </c>
      <c r="BJ536" s="65">
        <f t="shared" si="508"/>
        <v>-32.083147766027516</v>
      </c>
      <c r="BK536" s="62">
        <f t="shared" si="461"/>
        <v>-8.7712832814882127</v>
      </c>
      <c r="BL536" s="50">
        <f t="shared" si="509"/>
        <v>-66.539102479894126</v>
      </c>
      <c r="BM536" s="62">
        <f t="shared" si="510"/>
        <v>-162.12421653120643</v>
      </c>
    </row>
    <row r="537" spans="14:65" x14ac:dyDescent="0.3">
      <c r="N537" s="11">
        <v>19</v>
      </c>
      <c r="O537" s="51">
        <f t="shared" si="462"/>
        <v>1548816.6189124861</v>
      </c>
      <c r="P537" s="49" t="str">
        <f t="shared" si="463"/>
        <v>27.9103246607183</v>
      </c>
      <c r="Q537" s="18" t="str">
        <f t="shared" si="464"/>
        <v>1+4780.32500579606i</v>
      </c>
      <c r="R537" s="18">
        <f t="shared" si="476"/>
        <v>4780.3251103914581</v>
      </c>
      <c r="S537" s="18">
        <f t="shared" si="477"/>
        <v>1.5705871360005048</v>
      </c>
      <c r="T537" s="18" t="str">
        <f t="shared" si="465"/>
        <v>1+4.28186080232526i</v>
      </c>
      <c r="U537" s="18">
        <f t="shared" si="478"/>
        <v>4.3970822064739155</v>
      </c>
      <c r="V537" s="18">
        <f t="shared" si="479"/>
        <v>1.3413652556546765</v>
      </c>
      <c r="W537" s="32" t="str">
        <f t="shared" si="466"/>
        <v>1-56.4667389756698i</v>
      </c>
      <c r="X537" s="18">
        <f t="shared" si="480"/>
        <v>56.475593051746046</v>
      </c>
      <c r="Y537" s="18">
        <f t="shared" si="481"/>
        <v>-1.55308863736217</v>
      </c>
      <c r="Z537" s="32" t="str">
        <f t="shared" si="467"/>
        <v>-48.5626636161055+25.8216554065844i</v>
      </c>
      <c r="AA537" s="18">
        <f t="shared" si="482"/>
        <v>55.000819861411209</v>
      </c>
      <c r="AB537" s="18">
        <f t="shared" si="483"/>
        <v>2.6528935739708399</v>
      </c>
      <c r="AC537" s="67" t="str">
        <f t="shared" si="484"/>
        <v>-0.00721369319212704+0.0253548949209692i</v>
      </c>
      <c r="AD537" s="65">
        <f t="shared" si="485"/>
        <v>-31.58072647356741</v>
      </c>
      <c r="AE537" s="62">
        <f t="shared" si="486"/>
        <v>105.88152426764879</v>
      </c>
      <c r="AF537" s="50" t="str">
        <f t="shared" si="468"/>
        <v>79.1527877025864</v>
      </c>
      <c r="AG537" s="50" t="str">
        <f t="shared" si="469"/>
        <v>1+4742.9842733449i</v>
      </c>
      <c r="AH537" s="50">
        <f t="shared" si="487"/>
        <v>4742.9843787637601</v>
      </c>
      <c r="AI537" s="50">
        <f t="shared" si="488"/>
        <v>1.5705854890759519</v>
      </c>
      <c r="AJ537" s="50" t="str">
        <f t="shared" si="470"/>
        <v>1+4.28186080232526i</v>
      </c>
      <c r="AK537" s="50">
        <f t="shared" si="489"/>
        <v>4.3970822064739155</v>
      </c>
      <c r="AL537" s="50">
        <f t="shared" si="490"/>
        <v>1.3413652556546765</v>
      </c>
      <c r="AM537" s="50" t="str">
        <f t="shared" si="471"/>
        <v>1-19.7553605589619i</v>
      </c>
      <c r="AN537" s="50">
        <f t="shared" si="491"/>
        <v>19.780653953158058</v>
      </c>
      <c r="AO537" s="50">
        <f t="shared" si="492"/>
        <v>-1.5202203219938244</v>
      </c>
      <c r="AP537" s="59" t="str">
        <f t="shared" si="493"/>
        <v>-0.257926689550971-1.42840903691156i</v>
      </c>
      <c r="AQ537" s="50">
        <f t="shared" si="494"/>
        <v>3.2363950243990232</v>
      </c>
      <c r="AR537" s="62">
        <f t="shared" si="495"/>
        <v>-100.23556033430782</v>
      </c>
      <c r="AS537" s="32" t="str">
        <f t="shared" si="472"/>
        <v>-0.0000166666666666667</v>
      </c>
      <c r="AT537" s="32" t="str">
        <f t="shared" si="473"/>
        <v>0.0330871061997861i</v>
      </c>
      <c r="AU537" s="32">
        <f t="shared" si="496"/>
        <v>3.3087106199786102E-2</v>
      </c>
      <c r="AV537" s="32">
        <f t="shared" si="497"/>
        <v>1.5707963267948966</v>
      </c>
      <c r="AW537" s="32" t="str">
        <f t="shared" si="474"/>
        <v>1+33.6252010064954i</v>
      </c>
      <c r="AX537" s="32">
        <f t="shared" si="498"/>
        <v>33.640067519659041</v>
      </c>
      <c r="AY537" s="32">
        <f t="shared" si="499"/>
        <v>1.5410654906410852</v>
      </c>
      <c r="AZ537" s="32" t="str">
        <f t="shared" si="475"/>
        <v>1+1143.25683422084i</v>
      </c>
      <c r="BA537" s="32">
        <f t="shared" si="500"/>
        <v>1143.2572715678027</v>
      </c>
      <c r="BB537" s="32">
        <f t="shared" si="501"/>
        <v>1.5699216329246852</v>
      </c>
      <c r="BC537" s="59" t="str">
        <f t="shared" si="502"/>
        <v>-0.000493918252560074+0.0171118214156539i</v>
      </c>
      <c r="BD537" s="50">
        <f t="shared" si="503"/>
        <v>-35.33045844492095</v>
      </c>
      <c r="BE537" s="62">
        <f t="shared" si="504"/>
        <v>91.65333516587927</v>
      </c>
      <c r="BF537" s="59" t="str">
        <f t="shared" si="505"/>
        <v>-0.000430305459164335-0.000135962675044206i</v>
      </c>
      <c r="BG537" s="65">
        <f t="shared" si="506"/>
        <v>-66.91118491848836</v>
      </c>
      <c r="BH537" s="62">
        <f t="shared" si="507"/>
        <v>-162.46514056647189</v>
      </c>
      <c r="BI537" s="59" t="str">
        <f t="shared" si="460"/>
        <v>0.0245700750479284-0.00370807815447464i</v>
      </c>
      <c r="BJ537" s="65">
        <f t="shared" si="508"/>
        <v>-32.094063420521934</v>
      </c>
      <c r="BK537" s="62">
        <f t="shared" si="461"/>
        <v>-8.5822251684285522</v>
      </c>
      <c r="BL537" s="50">
        <f t="shared" si="509"/>
        <v>-66.91118491848836</v>
      </c>
      <c r="BM537" s="62">
        <f t="shared" si="510"/>
        <v>-162.46514056647189</v>
      </c>
    </row>
    <row r="538" spans="14:65" x14ac:dyDescent="0.3">
      <c r="N538" s="11">
        <v>20</v>
      </c>
      <c r="O538" s="51">
        <f t="shared" si="462"/>
        <v>1584893.1924611153</v>
      </c>
      <c r="P538" s="49" t="str">
        <f t="shared" si="463"/>
        <v>27.9103246607183</v>
      </c>
      <c r="Q538" s="18" t="str">
        <f t="shared" si="464"/>
        <v>1+4891.67307925556i</v>
      </c>
      <c r="R538" s="18">
        <f t="shared" si="476"/>
        <v>4891.6731814700761</v>
      </c>
      <c r="S538" s="18">
        <f t="shared" si="477"/>
        <v>1.5705918977642015</v>
      </c>
      <c r="T538" s="18" t="str">
        <f t="shared" si="465"/>
        <v>1+4.38159815294108i</v>
      </c>
      <c r="U538" s="18">
        <f t="shared" si="478"/>
        <v>4.4942632737587456</v>
      </c>
      <c r="V538" s="18">
        <f t="shared" si="479"/>
        <v>1.3464122936760843</v>
      </c>
      <c r="W538" s="32" t="str">
        <f t="shared" si="466"/>
        <v>1-57.7820182907493i</v>
      </c>
      <c r="X538" s="18">
        <f t="shared" si="480"/>
        <v>57.790670853975101</v>
      </c>
      <c r="Y538" s="18">
        <f t="shared" si="481"/>
        <v>-1.5534916321840107</v>
      </c>
      <c r="Z538" s="32" t="str">
        <f t="shared" si="467"/>
        <v>-50.8984799898675+26.4231190266462i</v>
      </c>
      <c r="AA538" s="18">
        <f t="shared" si="482"/>
        <v>57.348378219224784</v>
      </c>
      <c r="AB538" s="18">
        <f t="shared" si="483"/>
        <v>2.6627554714846777</v>
      </c>
      <c r="AC538" s="67" t="str">
        <f t="shared" si="484"/>
        <v>-0.00694135578009026+0.0248908433854145i</v>
      </c>
      <c r="AD538" s="65">
        <f t="shared" si="485"/>
        <v>-31.753948806620286</v>
      </c>
      <c r="AE538" s="62">
        <f t="shared" si="486"/>
        <v>105.5822904083639</v>
      </c>
      <c r="AF538" s="50" t="str">
        <f t="shared" si="468"/>
        <v>79.1527877025864</v>
      </c>
      <c r="AG538" s="50" t="str">
        <f t="shared" si="469"/>
        <v>1+4853.46256941165i</v>
      </c>
      <c r="AH538" s="50">
        <f t="shared" si="487"/>
        <v>4853.4626724308837</v>
      </c>
      <c r="AI538" s="50">
        <f t="shared" si="488"/>
        <v>1.570590288328225</v>
      </c>
      <c r="AJ538" s="50" t="str">
        <f t="shared" si="470"/>
        <v>1+4.38159815294108i</v>
      </c>
      <c r="AK538" s="50">
        <f t="shared" si="489"/>
        <v>4.4942632737587456</v>
      </c>
      <c r="AL538" s="50">
        <f t="shared" si="490"/>
        <v>1.3464122936760843</v>
      </c>
      <c r="AM538" s="50" t="str">
        <f t="shared" si="471"/>
        <v>1-20.2155220199653i</v>
      </c>
      <c r="AN538" s="50">
        <f t="shared" si="491"/>
        <v>20.2402403775178</v>
      </c>
      <c r="AO538" s="50">
        <f t="shared" si="492"/>
        <v>-1.5213696765652234</v>
      </c>
      <c r="AP538" s="59" t="str">
        <f t="shared" si="493"/>
        <v>-0.257926848427512-1.46090985623815i</v>
      </c>
      <c r="AQ538" s="50">
        <f t="shared" si="494"/>
        <v>3.4257739380542223</v>
      </c>
      <c r="AR538" s="62">
        <f t="shared" si="495"/>
        <v>-100.01251449964435</v>
      </c>
      <c r="AS538" s="32" t="str">
        <f t="shared" si="472"/>
        <v>-0.0000166666666666667</v>
      </c>
      <c r="AT538" s="32" t="str">
        <f t="shared" si="473"/>
        <v>0.0338578039090901i</v>
      </c>
      <c r="AU538" s="32">
        <f t="shared" si="496"/>
        <v>3.3857803909090101E-2</v>
      </c>
      <c r="AV538" s="32">
        <f t="shared" si="497"/>
        <v>1.5707963267948966</v>
      </c>
      <c r="AW538" s="32" t="str">
        <f t="shared" si="474"/>
        <v>1+34.4084325539785i</v>
      </c>
      <c r="AX538" s="32">
        <f t="shared" si="498"/>
        <v>34.422960808473285</v>
      </c>
      <c r="AY538" s="32">
        <f t="shared" si="499"/>
        <v>1.5417418618673269</v>
      </c>
      <c r="AZ538" s="32" t="str">
        <f t="shared" si="475"/>
        <v>1+1169.88670683527i</v>
      </c>
      <c r="BA538" s="32">
        <f t="shared" si="500"/>
        <v>1169.8871342270043</v>
      </c>
      <c r="BB538" s="32">
        <f t="shared" si="501"/>
        <v>1.5699415433781727</v>
      </c>
      <c r="BC538" s="59" t="str">
        <f t="shared" si="502"/>
        <v>-0.000471707029721326+0.0167229543225712i</v>
      </c>
      <c r="BD538" s="50">
        <f t="shared" si="503"/>
        <v>-35.530285866251816</v>
      </c>
      <c r="BE538" s="62">
        <f t="shared" si="504"/>
        <v>91.615722734184587</v>
      </c>
      <c r="BF538" s="59" t="str">
        <f t="shared" si="505"/>
        <v>-0.000412974150667295-0.000127821161447758i</v>
      </c>
      <c r="BG538" s="65">
        <f t="shared" si="506"/>
        <v>-67.284234672872088</v>
      </c>
      <c r="BH538" s="62">
        <f t="shared" si="507"/>
        <v>-162.80198685745145</v>
      </c>
      <c r="BI538" s="59" t="str">
        <f t="shared" si="460"/>
        <v>0.0245523947028218-0.00362417745584132i</v>
      </c>
      <c r="BJ538" s="65">
        <f t="shared" si="508"/>
        <v>-32.104511928197581</v>
      </c>
      <c r="BK538" s="62">
        <f t="shared" si="461"/>
        <v>-8.3967917654597652</v>
      </c>
      <c r="BL538" s="50">
        <f t="shared" si="509"/>
        <v>-67.284234672872088</v>
      </c>
      <c r="BM538" s="62">
        <f t="shared" si="510"/>
        <v>-162.80198685745145</v>
      </c>
    </row>
    <row r="539" spans="14:65" x14ac:dyDescent="0.3">
      <c r="N539" s="11">
        <v>21</v>
      </c>
      <c r="O539" s="51">
        <f t="shared" si="462"/>
        <v>1621810.0973589318</v>
      </c>
      <c r="P539" s="49" t="str">
        <f t="shared" si="463"/>
        <v>27.9103246607183</v>
      </c>
      <c r="Q539" s="18" t="str">
        <f t="shared" si="464"/>
        <v>1+5005.61478253061i</v>
      </c>
      <c r="R539" s="18">
        <f t="shared" si="476"/>
        <v>5005.6148824184393</v>
      </c>
      <c r="S539" s="18">
        <f t="shared" si="477"/>
        <v>1.5705965511369322</v>
      </c>
      <c r="T539" s="18" t="str">
        <f t="shared" si="465"/>
        <v>1+4.48365868489489i</v>
      </c>
      <c r="U539" s="18">
        <f t="shared" si="478"/>
        <v>4.5938214160580273</v>
      </c>
      <c r="V539" s="18">
        <f t="shared" si="479"/>
        <v>1.3513557076237426</v>
      </c>
      <c r="W539" s="32" t="str">
        <f t="shared" si="466"/>
        <v>1-59.1279343967619i</v>
      </c>
      <c r="X539" s="18">
        <f t="shared" si="480"/>
        <v>59.136390032092585</v>
      </c>
      <c r="Y539" s="18">
        <f t="shared" si="481"/>
        <v>-1.5538854591556148</v>
      </c>
      <c r="Z539" s="32" t="str">
        <f t="shared" si="467"/>
        <v>-53.3443799978382+27.0385925341672i</v>
      </c>
      <c r="AA539" s="18">
        <f t="shared" si="482"/>
        <v>59.805588063177531</v>
      </c>
      <c r="AB539" s="18">
        <f t="shared" si="483"/>
        <v>2.6724652551389925</v>
      </c>
      <c r="AC539" s="67" t="str">
        <f t="shared" si="484"/>
        <v>-0.00667746644590316+0.0244315460917107i</v>
      </c>
      <c r="AD539" s="65">
        <f t="shared" si="485"/>
        <v>-31.928107845971887</v>
      </c>
      <c r="AE539" s="62">
        <f t="shared" si="486"/>
        <v>105.28636629862433</v>
      </c>
      <c r="AF539" s="50" t="str">
        <f t="shared" si="468"/>
        <v>79.1527877025864</v>
      </c>
      <c r="AG539" s="50" t="str">
        <f t="shared" si="469"/>
        <v>1+4966.51423557586i</v>
      </c>
      <c r="AH539" s="50">
        <f t="shared" si="487"/>
        <v>4966.5143362500894</v>
      </c>
      <c r="AI539" s="50">
        <f t="shared" si="488"/>
        <v>1.5705949783361883</v>
      </c>
      <c r="AJ539" s="50" t="str">
        <f t="shared" si="470"/>
        <v>1+4.48365868489489i</v>
      </c>
      <c r="AK539" s="50">
        <f t="shared" si="489"/>
        <v>4.5938214160580273</v>
      </c>
      <c r="AL539" s="50">
        <f t="shared" si="490"/>
        <v>1.3513557076237426</v>
      </c>
      <c r="AM539" s="50" t="str">
        <f t="shared" si="471"/>
        <v>1-20.6864020183277i</v>
      </c>
      <c r="AN539" s="50">
        <f t="shared" si="491"/>
        <v>20.710558381267084</v>
      </c>
      <c r="AO539" s="50">
        <f t="shared" si="492"/>
        <v>-1.5224929949335546</v>
      </c>
      <c r="AP539" s="59" t="str">
        <f t="shared" si="493"/>
        <v>-0.257927000153432-1.49418526930499i</v>
      </c>
      <c r="AQ539" s="50">
        <f t="shared" si="494"/>
        <v>3.6156087555885046</v>
      </c>
      <c r="AR539" s="62">
        <f t="shared" si="495"/>
        <v>-99.793907863274526</v>
      </c>
      <c r="AS539" s="32" t="str">
        <f t="shared" si="472"/>
        <v>-0.0000166666666666667</v>
      </c>
      <c r="AT539" s="32" t="str">
        <f t="shared" si="473"/>
        <v>0.0346464534741879i</v>
      </c>
      <c r="AU539" s="32">
        <f t="shared" si="496"/>
        <v>3.4646453474187898E-2</v>
      </c>
      <c r="AV539" s="32">
        <f t="shared" si="497"/>
        <v>1.5707963267948966</v>
      </c>
      <c r="AW539" s="32" t="str">
        <f t="shared" si="474"/>
        <v>1+35.209907907851i</v>
      </c>
      <c r="AX539" s="32">
        <f t="shared" si="498"/>
        <v>35.224105593745719</v>
      </c>
      <c r="AY539" s="32">
        <f t="shared" si="499"/>
        <v>1.5424028627003268</v>
      </c>
      <c r="AZ539" s="32" t="str">
        <f t="shared" si="475"/>
        <v>1+1197.13686886693i</v>
      </c>
      <c r="BA539" s="32">
        <f t="shared" si="500"/>
        <v>1197.1372865300441</v>
      </c>
      <c r="BB539" s="32">
        <f t="shared" si="501"/>
        <v>1.5699610006150617</v>
      </c>
      <c r="BC539" s="59" t="str">
        <f t="shared" si="502"/>
        <v>-0.000450493827200161+0.016342895886577i</v>
      </c>
      <c r="BD539" s="50">
        <f t="shared" si="503"/>
        <v>-35.73012104848911</v>
      </c>
      <c r="BE539" s="62">
        <f t="shared" si="504"/>
        <v>91.578964993753772</v>
      </c>
      <c r="BF539" s="59" t="str">
        <f t="shared" si="505"/>
        <v>-0.00039627405670972-0.000120135399614779i</v>
      </c>
      <c r="BG539" s="65">
        <f t="shared" si="506"/>
        <v>-67.658228894460976</v>
      </c>
      <c r="BH539" s="62">
        <f t="shared" si="507"/>
        <v>-163.13466870762187</v>
      </c>
      <c r="BI539" s="59" t="str">
        <f t="shared" si="460"/>
        <v>0.0245355088129458-0.00354215286932936i</v>
      </c>
      <c r="BJ539" s="65">
        <f t="shared" si="508"/>
        <v>-32.114512292900613</v>
      </c>
      <c r="BK539" s="62">
        <f t="shared" si="461"/>
        <v>-8.2149428695207796</v>
      </c>
      <c r="BL539" s="50">
        <f t="shared" si="509"/>
        <v>-67.658228894460976</v>
      </c>
      <c r="BM539" s="62">
        <f t="shared" si="510"/>
        <v>-163.13466870762187</v>
      </c>
    </row>
    <row r="540" spans="14:65" x14ac:dyDescent="0.3">
      <c r="N540" s="11">
        <v>22</v>
      </c>
      <c r="O540" s="51">
        <f t="shared" si="462"/>
        <v>1659586.9074375622</v>
      </c>
      <c r="P540" s="49" t="str">
        <f t="shared" si="463"/>
        <v>27.9103246607183</v>
      </c>
      <c r="Q540" s="18" t="str">
        <f t="shared" si="464"/>
        <v>1+5122.21052902054i</v>
      </c>
      <c r="R540" s="18">
        <f t="shared" si="476"/>
        <v>5122.2106266346445</v>
      </c>
      <c r="S540" s="18">
        <f t="shared" si="477"/>
        <v>1.570601098585976</v>
      </c>
      <c r="T540" s="18" t="str">
        <f t="shared" si="465"/>
        <v>1+4.5880965120317i</v>
      </c>
      <c r="U540" s="18">
        <f t="shared" si="478"/>
        <v>4.6958097921143969</v>
      </c>
      <c r="V540" s="18">
        <f t="shared" si="479"/>
        <v>1.3561971516929685</v>
      </c>
      <c r="W540" s="32" t="str">
        <f t="shared" si="466"/>
        <v>1-60.5052009162428i</v>
      </c>
      <c r="X540" s="18">
        <f t="shared" si="480"/>
        <v>60.513464104403319</v>
      </c>
      <c r="Y540" s="18">
        <f t="shared" si="481"/>
        <v>-1.5542703266003162</v>
      </c>
      <c r="Z540" s="32" t="str">
        <f t="shared" si="467"/>
        <v>-55.9055517218629+27.6684022613481i</v>
      </c>
      <c r="AA540" s="18">
        <f t="shared" si="482"/>
        <v>62.377649819640204</v>
      </c>
      <c r="AB540" s="18">
        <f t="shared" si="483"/>
        <v>2.6820226618999219</v>
      </c>
      <c r="AC540" s="67" t="str">
        <f t="shared" si="484"/>
        <v>-0.00642189455909698+0.02397713156983i</v>
      </c>
      <c r="AD540" s="65">
        <f t="shared" si="485"/>
        <v>-32.103180807820088</v>
      </c>
      <c r="AE540" s="62">
        <f t="shared" si="486"/>
        <v>104.99384971015746</v>
      </c>
      <c r="AF540" s="50" t="str">
        <f t="shared" si="468"/>
        <v>79.1527877025864</v>
      </c>
      <c r="AG540" s="50" t="str">
        <f t="shared" si="469"/>
        <v>1+5082.19921332741i</v>
      </c>
      <c r="AH540" s="50">
        <f t="shared" si="487"/>
        <v>5082.1993117100137</v>
      </c>
      <c r="AI540" s="50">
        <f t="shared" si="488"/>
        <v>1.5705995615865451</v>
      </c>
      <c r="AJ540" s="50" t="str">
        <f t="shared" si="470"/>
        <v>1+4.5880965120317i</v>
      </c>
      <c r="AK540" s="50">
        <f t="shared" si="489"/>
        <v>4.6958097921143969</v>
      </c>
      <c r="AL540" s="50">
        <f t="shared" si="490"/>
        <v>1.3561971516929685</v>
      </c>
      <c r="AM540" s="50" t="str">
        <f t="shared" si="471"/>
        <v>1-21.1682502208572i</v>
      </c>
      <c r="AN540" s="50">
        <f t="shared" si="491"/>
        <v>21.191857337496895</v>
      </c>
      <c r="AO540" s="50">
        <f t="shared" si="492"/>
        <v>-1.5235908613510214</v>
      </c>
      <c r="AP540" s="59" t="str">
        <f t="shared" si="493"/>
        <v>-0.257927145050561-1.52825291917675i</v>
      </c>
      <c r="AQ540" s="50">
        <f t="shared" si="494"/>
        <v>3.8058808145280225</v>
      </c>
      <c r="AR540" s="62">
        <f t="shared" si="495"/>
        <v>-99.579679264451187</v>
      </c>
      <c r="AS540" s="32" t="str">
        <f t="shared" si="472"/>
        <v>-0.0000166666666666667</v>
      </c>
      <c r="AT540" s="32" t="str">
        <f t="shared" si="473"/>
        <v>0.0354534730475176i</v>
      </c>
      <c r="AU540" s="32">
        <f t="shared" si="496"/>
        <v>3.54534730475176E-2</v>
      </c>
      <c r="AV540" s="32">
        <f t="shared" si="497"/>
        <v>1.5707963267948966</v>
      </c>
      <c r="AW540" s="32" t="str">
        <f t="shared" si="474"/>
        <v>1+36.0300520209548i</v>
      </c>
      <c r="AX540" s="32">
        <f t="shared" si="498"/>
        <v>36.04392665391368</v>
      </c>
      <c r="AY540" s="32">
        <f t="shared" si="499"/>
        <v>1.5430488412997077</v>
      </c>
      <c r="AZ540" s="32" t="str">
        <f t="shared" si="475"/>
        <v>1+1225.02176871246i</v>
      </c>
      <c r="BA540" s="32">
        <f t="shared" si="500"/>
        <v>1225.0221768684041</v>
      </c>
      <c r="BB540" s="32">
        <f t="shared" si="501"/>
        <v>1.5699800149517777</v>
      </c>
      <c r="BC540" s="59" t="str">
        <f t="shared" si="502"/>
        <v>-0.000430233871639329+0.0159714484657102i</v>
      </c>
      <c r="BD540" s="50">
        <f t="shared" si="503"/>
        <v>-35.929963642898329</v>
      </c>
      <c r="BE540" s="62">
        <f t="shared" si="504"/>
        <v>91.54304258759754</v>
      </c>
      <c r="BF540" s="59" t="str">
        <f t="shared" si="505"/>
        <v>-0.000380186604663673-0.000112882732148936i</v>
      </c>
      <c r="BG540" s="65">
        <f t="shared" si="506"/>
        <v>-68.033144450718424</v>
      </c>
      <c r="BH540" s="62">
        <f t="shared" si="507"/>
        <v>-163.46310770224494</v>
      </c>
      <c r="BI540" s="59" t="str">
        <f t="shared" si="460"/>
        <v>0.0245193817354186-0.00346196393482128i</v>
      </c>
      <c r="BJ540" s="65">
        <f t="shared" si="508"/>
        <v>-32.124082828370312</v>
      </c>
      <c r="BK540" s="62">
        <f t="shared" si="461"/>
        <v>-8.0366366768536697</v>
      </c>
      <c r="BL540" s="50">
        <f t="shared" si="509"/>
        <v>-68.033144450718424</v>
      </c>
      <c r="BM540" s="62">
        <f t="shared" si="510"/>
        <v>-163.46310770224494</v>
      </c>
    </row>
    <row r="541" spans="14:65" x14ac:dyDescent="0.3">
      <c r="N541" s="11">
        <v>23</v>
      </c>
      <c r="O541" s="51">
        <f t="shared" si="462"/>
        <v>1698243.6524617488</v>
      </c>
      <c r="P541" s="49" t="str">
        <f t="shared" si="463"/>
        <v>27.9103246607183</v>
      </c>
      <c r="Q541" s="18" t="str">
        <f t="shared" si="464"/>
        <v>1+5241.52213933345i</v>
      </c>
      <c r="R541" s="18">
        <f t="shared" si="476"/>
        <v>5241.5222347255858</v>
      </c>
      <c r="S541" s="18">
        <f t="shared" si="477"/>
        <v>1.5706055425224497</v>
      </c>
      <c r="T541" s="18" t="str">
        <f t="shared" si="465"/>
        <v>1+4.69496700866983i</v>
      </c>
      <c r="U541" s="18">
        <f t="shared" si="478"/>
        <v>4.8002828263028565</v>
      </c>
      <c r="V541" s="18">
        <f t="shared" si="479"/>
        <v>1.3609382846150611</v>
      </c>
      <c r="W541" s="32" t="str">
        <f t="shared" si="466"/>
        <v>1-61.9145480941307i</v>
      </c>
      <c r="X541" s="18">
        <f t="shared" si="480"/>
        <v>61.922623213979108</v>
      </c>
      <c r="Y541" s="18">
        <f t="shared" si="481"/>
        <v>-1.5546464381236047</v>
      </c>
      <c r="Z541" s="32" t="str">
        <f t="shared" si="467"/>
        <v>-58.5874277505503+28.3128821416427i</v>
      </c>
      <c r="AA541" s="18">
        <f t="shared" si="482"/>
        <v>65.070008341727615</v>
      </c>
      <c r="AB541" s="18">
        <f t="shared" si="483"/>
        <v>2.6914275870668849</v>
      </c>
      <c r="AC541" s="67" t="str">
        <f t="shared" si="484"/>
        <v>-0.00617450203354372+0.0235277214016809i</v>
      </c>
      <c r="AD541" s="65">
        <f t="shared" si="485"/>
        <v>-32.279144686347692</v>
      </c>
      <c r="AE541" s="62">
        <f t="shared" si="486"/>
        <v>104.70482987628533</v>
      </c>
      <c r="AF541" s="50" t="str">
        <f t="shared" si="468"/>
        <v>79.1527877025864</v>
      </c>
      <c r="AG541" s="50" t="str">
        <f t="shared" si="469"/>
        <v>1+5200.57884037272i</v>
      </c>
      <c r="AH541" s="50">
        <f t="shared" si="487"/>
        <v>5200.5789365158635</v>
      </c>
      <c r="AI541" s="50">
        <f t="shared" si="488"/>
        <v>1.5706040405093946</v>
      </c>
      <c r="AJ541" s="50" t="str">
        <f t="shared" si="470"/>
        <v>1+4.69496700866983i</v>
      </c>
      <c r="AK541" s="50">
        <f t="shared" si="489"/>
        <v>4.8002828263028565</v>
      </c>
      <c r="AL541" s="50">
        <f t="shared" si="490"/>
        <v>1.3609382846150611</v>
      </c>
      <c r="AM541" s="50" t="str">
        <f t="shared" si="471"/>
        <v>1-21.6613221098488i</v>
      </c>
      <c r="AN541" s="50">
        <f t="shared" si="491"/>
        <v>21.684392441261167</v>
      </c>
      <c r="AO541" s="50">
        <f t="shared" si="492"/>
        <v>-1.5246638473287515</v>
      </c>
      <c r="AP541" s="59" t="str">
        <f t="shared" si="493"/>
        <v>-0.257927283426243-1.56313086897251i</v>
      </c>
      <c r="AQ541" s="50">
        <f t="shared" si="494"/>
        <v>3.996572140095958</v>
      </c>
      <c r="AR541" s="62">
        <f t="shared" si="495"/>
        <v>-99.369766549281408</v>
      </c>
      <c r="AS541" s="32" t="str">
        <f t="shared" si="472"/>
        <v>-0.0000166666666666667</v>
      </c>
      <c r="AT541" s="32" t="str">
        <f t="shared" si="473"/>
        <v>0.0362792905215394i</v>
      </c>
      <c r="AU541" s="32">
        <f t="shared" si="496"/>
        <v>3.6279290521539401E-2</v>
      </c>
      <c r="AV541" s="32">
        <f t="shared" si="497"/>
        <v>1.5707963267948966</v>
      </c>
      <c r="AW541" s="32" t="str">
        <f t="shared" si="474"/>
        <v>1+36.8692997445542i</v>
      </c>
      <c r="AX541" s="32">
        <f t="shared" si="498"/>
        <v>36.882858669763984</v>
      </c>
      <c r="AY541" s="32">
        <f t="shared" si="499"/>
        <v>1.5436801380141636</v>
      </c>
      <c r="AZ541" s="32" t="str">
        <f t="shared" si="475"/>
        <v>1+1253.55619131484i</v>
      </c>
      <c r="BA541" s="32">
        <f t="shared" si="500"/>
        <v>1253.5565901800237</v>
      </c>
      <c r="BB541" s="32">
        <f t="shared" si="501"/>
        <v>1.5699985964699188</v>
      </c>
      <c r="BC541" s="59" t="str">
        <f t="shared" si="502"/>
        <v>-0.000410884392082139+0.0156084187260458i</v>
      </c>
      <c r="BD541" s="50">
        <f t="shared" si="503"/>
        <v>-36.129813316391115</v>
      </c>
      <c r="BE541" s="62">
        <f t="shared" si="504"/>
        <v>91.507936592805166</v>
      </c>
      <c r="BF541" s="59" t="str">
        <f t="shared" si="505"/>
        <v>-0.000364693520792722-0.000106041386669579i</v>
      </c>
      <c r="BG541" s="65">
        <f t="shared" si="506"/>
        <v>-68.408958002738814</v>
      </c>
      <c r="BH541" s="62">
        <f t="shared" si="507"/>
        <v>-163.78723353090953</v>
      </c>
      <c r="BI541" s="59" t="str">
        <f t="shared" si="460"/>
        <v>0.0245039794215828-0.0033835709637457i</v>
      </c>
      <c r="BJ541" s="65">
        <f t="shared" si="508"/>
        <v>-32.133241176295144</v>
      </c>
      <c r="BK541" s="62">
        <f t="shared" si="461"/>
        <v>-7.86182995647623</v>
      </c>
      <c r="BL541" s="50">
        <f t="shared" si="509"/>
        <v>-68.408958002738814</v>
      </c>
      <c r="BM541" s="62">
        <f t="shared" si="510"/>
        <v>-163.78723353090953</v>
      </c>
    </row>
    <row r="542" spans="14:65" x14ac:dyDescent="0.3">
      <c r="N542" s="11">
        <v>24</v>
      </c>
      <c r="O542" s="51">
        <f t="shared" si="462"/>
        <v>1737800.8287493798</v>
      </c>
      <c r="P542" s="49" t="str">
        <f t="shared" si="463"/>
        <v>27.9103246607183</v>
      </c>
      <c r="Q542" s="18" t="str">
        <f t="shared" si="464"/>
        <v>1+5363.61287406431i</v>
      </c>
      <c r="R542" s="18">
        <f t="shared" si="476"/>
        <v>5363.6129672850566</v>
      </c>
      <c r="S542" s="18">
        <f t="shared" si="477"/>
        <v>1.5706098853025867</v>
      </c>
      <c r="T542" s="18" t="str">
        <f t="shared" si="465"/>
        <v>1+4.80432683896115i</v>
      </c>
      <c r="U542" s="18">
        <f t="shared" si="478"/>
        <v>4.9072962388225996</v>
      </c>
      <c r="V542" s="18">
        <f t="shared" si="479"/>
        <v>1.3655807672251059</v>
      </c>
      <c r="W542" s="32" t="str">
        <f t="shared" si="466"/>
        <v>1-63.3567231849533i</v>
      </c>
      <c r="X542" s="18">
        <f t="shared" si="480"/>
        <v>63.364614515791054</v>
      </c>
      <c r="Y542" s="18">
        <f t="shared" si="481"/>
        <v>-1.5550139927189064</v>
      </c>
      <c r="Z542" s="32" t="str">
        <f t="shared" si="467"/>
        <v>-61.3956967025213+28.9723738868137i</v>
      </c>
      <c r="AA542" s="18">
        <f t="shared" si="482"/>
        <v>67.888364409708004</v>
      </c>
      <c r="AB542" s="18">
        <f t="shared" si="483"/>
        <v>2.700680078072077</v>
      </c>
      <c r="AC542" s="67" t="str">
        <f t="shared" si="484"/>
        <v>-0.00593514404926672+0.0230834298939463i</v>
      </c>
      <c r="AD542" s="65">
        <f t="shared" si="485"/>
        <v>-32.455976327351493</v>
      </c>
      <c r="AE542" s="62">
        <f t="shared" si="486"/>
        <v>104.41938770169898</v>
      </c>
      <c r="AF542" s="50" t="str">
        <f t="shared" si="468"/>
        <v>79.1527877025864</v>
      </c>
      <c r="AG542" s="50" t="str">
        <f t="shared" si="469"/>
        <v>1+5321.71588315695i</v>
      </c>
      <c r="AH542" s="50">
        <f t="shared" si="487"/>
        <v>5321.7159771116085</v>
      </c>
      <c r="AI542" s="50">
        <f t="shared" si="488"/>
        <v>1.5706084174795205</v>
      </c>
      <c r="AJ542" s="50" t="str">
        <f t="shared" si="470"/>
        <v>1+4.80432683896115i</v>
      </c>
      <c r="AK542" s="50">
        <f t="shared" si="489"/>
        <v>4.9072962388225996</v>
      </c>
      <c r="AL542" s="50">
        <f t="shared" si="490"/>
        <v>1.3655807672251059</v>
      </c>
      <c r="AM542" s="50" t="str">
        <f t="shared" si="471"/>
        <v>1-22.1658791185443i</v>
      </c>
      <c r="AN542" s="50">
        <f t="shared" si="491"/>
        <v>22.188424844903217</v>
      </c>
      <c r="AO542" s="50">
        <f t="shared" si="492"/>
        <v>-1.5257125118898709</v>
      </c>
      <c r="AP542" s="59" t="str">
        <f t="shared" si="493"/>
        <v>-0.257927415573996-1.59883761144308i</v>
      </c>
      <c r="AQ542" s="50">
        <f t="shared" si="494"/>
        <v>4.187665426307686</v>
      </c>
      <c r="AR542" s="62">
        <f t="shared" si="495"/>
        <v>-99.164106724655312</v>
      </c>
      <c r="AS542" s="32" t="str">
        <f t="shared" si="472"/>
        <v>-0.0000166666666666667</v>
      </c>
      <c r="AT542" s="32" t="str">
        <f t="shared" si="473"/>
        <v>0.0371243437556089i</v>
      </c>
      <c r="AU542" s="32">
        <f t="shared" si="496"/>
        <v>3.7124343755608899E-2</v>
      </c>
      <c r="AV542" s="32">
        <f t="shared" si="497"/>
        <v>1.5707963267948966</v>
      </c>
      <c r="AW542" s="32" t="str">
        <f t="shared" si="474"/>
        <v>1+37.7280960589007i</v>
      </c>
      <c r="AX542" s="32">
        <f t="shared" si="498"/>
        <v>37.741346454911202</v>
      </c>
      <c r="AY542" s="32">
        <f t="shared" si="499"/>
        <v>1.5442970855516631</v>
      </c>
      <c r="AZ542" s="32" t="str">
        <f t="shared" si="475"/>
        <v>1+1282.75526600263i</v>
      </c>
      <c r="BA542" s="32">
        <f t="shared" si="500"/>
        <v>1282.7556557885364</v>
      </c>
      <c r="BB542" s="32">
        <f t="shared" si="501"/>
        <v>1.5700167550216004</v>
      </c>
      <c r="BC542" s="59" t="str">
        <f t="shared" si="502"/>
        <v>-0.000392404530967049+0.0152536175563104i</v>
      </c>
      <c r="BD542" s="50">
        <f t="shared" si="503"/>
        <v>-36.329669750825182</v>
      </c>
      <c r="BE542" s="62">
        <f t="shared" si="504"/>
        <v>91.473628511098894</v>
      </c>
      <c r="BF542" s="59" t="str">
        <f t="shared" si="505"/>
        <v>-0.000349776834073285-0.0000995904599497708i</v>
      </c>
      <c r="BG542" s="65">
        <f t="shared" si="506"/>
        <v>-68.785646078176683</v>
      </c>
      <c r="BH542" s="62">
        <f t="shared" si="507"/>
        <v>-164.10698378720213</v>
      </c>
      <c r="BI542" s="59" t="str">
        <f t="shared" si="460"/>
        <v>0.0244892693461294-0.00330693503144248i</v>
      </c>
      <c r="BJ542" s="65">
        <f t="shared" si="508"/>
        <v>-32.142004324517501</v>
      </c>
      <c r="BK542" s="62">
        <f t="shared" si="461"/>
        <v>-7.6904782135564309</v>
      </c>
      <c r="BL542" s="50">
        <f t="shared" si="509"/>
        <v>-68.785646078176683</v>
      </c>
      <c r="BM542" s="62">
        <f t="shared" si="510"/>
        <v>-164.10698378720213</v>
      </c>
    </row>
    <row r="543" spans="14:65" x14ac:dyDescent="0.3">
      <c r="N543" s="11">
        <v>25</v>
      </c>
      <c r="O543" s="51">
        <f t="shared" si="462"/>
        <v>1778279.4100389241</v>
      </c>
      <c r="P543" s="49" t="str">
        <f t="shared" si="463"/>
        <v>27.9103246607183</v>
      </c>
      <c r="Q543" s="18" t="str">
        <f t="shared" si="464"/>
        <v>1+5488.54746733682i</v>
      </c>
      <c r="R543" s="18">
        <f t="shared" si="476"/>
        <v>5488.5475584356036</v>
      </c>
      <c r="S543" s="18">
        <f t="shared" si="477"/>
        <v>1.5706141292289859</v>
      </c>
      <c r="T543" s="18" t="str">
        <f t="shared" si="465"/>
        <v>1+4.91623398693527i</v>
      </c>
      <c r="U543" s="18">
        <f t="shared" si="478"/>
        <v>5.0169070765061479</v>
      </c>
      <c r="V543" s="18">
        <f t="shared" si="479"/>
        <v>1.3701262601930699</v>
      </c>
      <c r="W543" s="32" t="str">
        <f t="shared" si="466"/>
        <v>1-64.832490849034i</v>
      </c>
      <c r="X543" s="18">
        <f t="shared" si="480"/>
        <v>64.8402025728643</v>
      </c>
      <c r="Y543" s="18">
        <f t="shared" si="481"/>
        <v>-1.555373184871063</v>
      </c>
      <c r="Z543" s="32" t="str">
        <f t="shared" si="467"/>
        <v>-64.3363152927348+29.6472271681142i</v>
      </c>
      <c r="AA543" s="18">
        <f t="shared" si="482"/>
        <v>70.838686776393246</v>
      </c>
      <c r="AB543" s="18">
        <f t="shared" si="483"/>
        <v>2.7097803281028723</v>
      </c>
      <c r="AC543" s="67" t="str">
        <f t="shared" si="484"/>
        <v>-0.00570366976795942+0.022644363818391i</v>
      </c>
      <c r="AD543" s="65">
        <f t="shared" si="485"/>
        <v>-32.633652497163951</v>
      </c>
      <c r="AE543" s="62">
        <f t="shared" si="486"/>
        <v>104.13759599186719</v>
      </c>
      <c r="AF543" s="50" t="str">
        <f t="shared" si="468"/>
        <v>79.1527877025864</v>
      </c>
      <c r="AG543" s="50" t="str">
        <f t="shared" si="469"/>
        <v>1+5445.67457014366i</v>
      </c>
      <c r="AH543" s="50">
        <f t="shared" si="487"/>
        <v>5445.6746619596488</v>
      </c>
      <c r="AI543" s="50">
        <f t="shared" si="488"/>
        <v>1.5706126948176495</v>
      </c>
      <c r="AJ543" s="50" t="str">
        <f t="shared" si="470"/>
        <v>1+4.91623398693527i</v>
      </c>
      <c r="AK543" s="50">
        <f t="shared" si="489"/>
        <v>5.0169070765061479</v>
      </c>
      <c r="AL543" s="50">
        <f t="shared" si="490"/>
        <v>1.3701262601930699</v>
      </c>
      <c r="AM543" s="50" t="str">
        <f t="shared" si="471"/>
        <v>1-22.6821887697486i</v>
      </c>
      <c r="AN543" s="50">
        <f t="shared" si="491"/>
        <v>22.704221796540608</v>
      </c>
      <c r="AO543" s="50">
        <f t="shared" si="492"/>
        <v>-1.5267374018192525</v>
      </c>
      <c r="AP543" s="59" t="str">
        <f t="shared" si="493"/>
        <v>-0.25792754177412-1.63539207877612i</v>
      </c>
      <c r="AQ543" s="50">
        <f t="shared" si="494"/>
        <v>4.3791440170177696</v>
      </c>
      <c r="AR543" s="62">
        <f t="shared" si="495"/>
        <v>-98.962636102625893</v>
      </c>
      <c r="AS543" s="32" t="str">
        <f t="shared" si="472"/>
        <v>-0.0000166666666666667</v>
      </c>
      <c r="AT543" s="32" t="str">
        <f t="shared" si="473"/>
        <v>0.0379890808081363i</v>
      </c>
      <c r="AU543" s="32">
        <f t="shared" si="496"/>
        <v>3.7989080808136302E-2</v>
      </c>
      <c r="AV543" s="32">
        <f t="shared" si="497"/>
        <v>1.5707963267948966</v>
      </c>
      <c r="AW543" s="32" t="str">
        <f t="shared" si="474"/>
        <v>1+38.6068963091681i</v>
      </c>
      <c r="AX543" s="32">
        <f t="shared" si="498"/>
        <v>38.619845191648004</v>
      </c>
      <c r="AY543" s="32">
        <f t="shared" si="499"/>
        <v>1.5449000091462797</v>
      </c>
      <c r="AZ543" s="32" t="str">
        <f t="shared" si="475"/>
        <v>1+1312.63447451171i</v>
      </c>
      <c r="BA543" s="32">
        <f t="shared" si="500"/>
        <v>1312.6348554250087</v>
      </c>
      <c r="BB543" s="32">
        <f t="shared" si="501"/>
        <v>1.5700345002346792</v>
      </c>
      <c r="BC543" s="59" t="str">
        <f t="shared" si="502"/>
        <v>-0.000374755259030187+0.0149068599836002i</v>
      </c>
      <c r="BD543" s="50">
        <f t="shared" si="503"/>
        <v>-36.529532642336207</v>
      </c>
      <c r="BE543" s="62">
        <f t="shared" si="504"/>
        <v>91.440100259574464</v>
      </c>
      <c r="BF543" s="59" t="str">
        <f t="shared" si="505"/>
        <v>-0.000335418880617143-0.0000935099010519994i</v>
      </c>
      <c r="BG543" s="65">
        <f t="shared" si="506"/>
        <v>-69.163185139500158</v>
      </c>
      <c r="BH543" s="62">
        <f t="shared" si="507"/>
        <v>-164.42230374855836</v>
      </c>
      <c r="BI543" s="59" t="str">
        <f t="shared" si="460"/>
        <v>0.0244752204393331-0.00323201796904334i</v>
      </c>
      <c r="BJ543" s="65">
        <f t="shared" si="508"/>
        <v>-32.150388625318428</v>
      </c>
      <c r="BK543" s="62">
        <f t="shared" si="461"/>
        <v>-7.5225358430514238</v>
      </c>
      <c r="BL543" s="50">
        <f t="shared" si="509"/>
        <v>-69.163185139500158</v>
      </c>
      <c r="BM543" s="62">
        <f t="shared" si="510"/>
        <v>-164.42230374855836</v>
      </c>
    </row>
    <row r="544" spans="14:65" x14ac:dyDescent="0.3">
      <c r="N544" s="11">
        <v>26</v>
      </c>
      <c r="O544" s="51">
        <f t="shared" si="462"/>
        <v>1819700.8586099846</v>
      </c>
      <c r="P544" s="49" t="str">
        <f t="shared" si="463"/>
        <v>27.9103246607183</v>
      </c>
      <c r="Q544" s="18" t="str">
        <f t="shared" si="464"/>
        <v>1+5616.39216112606i</v>
      </c>
      <c r="R544" s="18">
        <f t="shared" si="476"/>
        <v>5616.3922501511825</v>
      </c>
      <c r="S544" s="18">
        <f t="shared" si="477"/>
        <v>1.5706182765518324</v>
      </c>
      <c r="T544" s="18" t="str">
        <f t="shared" si="465"/>
        <v>1+5.03074778724334i</v>
      </c>
      <c r="U544" s="18">
        <f t="shared" si="478"/>
        <v>5.1291737442646417</v>
      </c>
      <c r="V544" s="18">
        <f t="shared" si="479"/>
        <v>1.3745764219116789</v>
      </c>
      <c r="W544" s="32" t="str">
        <f t="shared" si="466"/>
        <v>1-66.3426335579227i</v>
      </c>
      <c r="X544" s="18">
        <f t="shared" si="480"/>
        <v>66.35016976165781</v>
      </c>
      <c r="Y544" s="18">
        <f t="shared" si="481"/>
        <v>-1.5557242046575546</v>
      </c>
      <c r="Z544" s="32" t="str">
        <f t="shared" si="467"/>
        <v>-67.4155209674773+30.3377998016869i</v>
      </c>
      <c r="AA544" s="18">
        <f t="shared" si="482"/>
        <v>73.927224783050022</v>
      </c>
      <c r="AB544" s="18">
        <f t="shared" si="483"/>
        <v>2.7187286695913513</v>
      </c>
      <c r="AC544" s="67" t="str">
        <f t="shared" si="484"/>
        <v>-0.00547992303721824+0.0222106222158224i</v>
      </c>
      <c r="AD544" s="65">
        <f t="shared" si="485"/>
        <v>-32.812149946881433</v>
      </c>
      <c r="AE544" s="62">
        <f t="shared" si="486"/>
        <v>103.85951969917575</v>
      </c>
      <c r="AF544" s="50" t="str">
        <f t="shared" si="468"/>
        <v>79.1527877025864</v>
      </c>
      <c r="AG544" s="50" t="str">
        <f t="shared" si="469"/>
        <v>1+5572.52062586953i</v>
      </c>
      <c r="AH544" s="50">
        <f t="shared" si="487"/>
        <v>5572.5207155955322</v>
      </c>
      <c r="AI544" s="50">
        <f t="shared" si="488"/>
        <v>1.5706168747916822</v>
      </c>
      <c r="AJ544" s="50" t="str">
        <f t="shared" si="470"/>
        <v>1+5.03074778724334i</v>
      </c>
      <c r="AK544" s="50">
        <f t="shared" si="489"/>
        <v>5.1291737442646417</v>
      </c>
      <c r="AL544" s="50">
        <f t="shared" si="490"/>
        <v>1.3745764219116789</v>
      </c>
      <c r="AM544" s="50" t="str">
        <f t="shared" si="471"/>
        <v>1-23.210524817673i</v>
      </c>
      <c r="AN544" s="50">
        <f t="shared" si="491"/>
        <v>23.232056781779232</v>
      </c>
      <c r="AO544" s="50">
        <f t="shared" si="492"/>
        <v>-1.5277390519098508</v>
      </c>
      <c r="AP544" s="59" t="str">
        <f t="shared" si="493"/>
        <v>-0.257927662294305-1.67281365263421i</v>
      </c>
      <c r="AQ544" s="50">
        <f t="shared" si="494"/>
        <v>4.5709918869811803</v>
      </c>
      <c r="AR544" s="62">
        <f t="shared" si="495"/>
        <v>-98.765290435609757</v>
      </c>
      <c r="AS544" s="32" t="str">
        <f t="shared" si="472"/>
        <v>-0.0000166666666666667</v>
      </c>
      <c r="AT544" s="32" t="str">
        <f t="shared" si="473"/>
        <v>0.0388739601741531i</v>
      </c>
      <c r="AU544" s="32">
        <f t="shared" si="496"/>
        <v>3.8873960174153101E-2</v>
      </c>
      <c r="AV544" s="32">
        <f t="shared" si="497"/>
        <v>1.5707963267948966</v>
      </c>
      <c r="AW544" s="32" t="str">
        <f t="shared" si="474"/>
        <v>1+39.5061664468815i</v>
      </c>
      <c r="AX544" s="32">
        <f t="shared" si="498"/>
        <v>39.518820672291142</v>
      </c>
      <c r="AY544" s="32">
        <f t="shared" si="499"/>
        <v>1.5454892267216964</v>
      </c>
      <c r="AZ544" s="32" t="str">
        <f t="shared" si="475"/>
        <v>1+1343.20965919397i</v>
      </c>
      <c r="BA544" s="32">
        <f t="shared" si="500"/>
        <v>1343.210031436626</v>
      </c>
      <c r="BB544" s="32">
        <f t="shared" si="501"/>
        <v>1.570051841517857</v>
      </c>
      <c r="BC544" s="59" t="str">
        <f t="shared" si="502"/>
        <v>-0.000357899293948592+0.0145679650902362i</v>
      </c>
      <c r="BD544" s="50">
        <f t="shared" si="503"/>
        <v>-36.729401700697672</v>
      </c>
      <c r="BE544" s="62">
        <f t="shared" si="504"/>
        <v>91.407334161625599</v>
      </c>
      <c r="BF544" s="59" t="str">
        <f t="shared" si="505"/>
        <v>-0.000321602308486612-0.0000877804935125782i</v>
      </c>
      <c r="BG544" s="65">
        <f t="shared" si="506"/>
        <v>-69.541551647579126</v>
      </c>
      <c r="BH544" s="62">
        <f t="shared" si="507"/>
        <v>-164.73314613919862</v>
      </c>
      <c r="BI544" s="59" t="str">
        <f t="shared" si="460"/>
        <v>0.0244618030222706-0.00315878235492432i</v>
      </c>
      <c r="BJ544" s="65">
        <f t="shared" si="508"/>
        <v>-32.158409813716496</v>
      </c>
      <c r="BK544" s="62">
        <f t="shared" si="461"/>
        <v>-7.3579562739841675</v>
      </c>
      <c r="BL544" s="50">
        <f t="shared" si="509"/>
        <v>-69.541551647579126</v>
      </c>
      <c r="BM544" s="62">
        <f t="shared" si="510"/>
        <v>-164.73314613919862</v>
      </c>
    </row>
    <row r="545" spans="14:65" x14ac:dyDescent="0.3">
      <c r="N545" s="11">
        <v>27</v>
      </c>
      <c r="O545" s="51">
        <f t="shared" si="462"/>
        <v>1862087.1366628683</v>
      </c>
      <c r="P545" s="49" t="str">
        <f t="shared" si="463"/>
        <v>27.9103246607183</v>
      </c>
      <c r="Q545" s="18" t="str">
        <f t="shared" si="464"/>
        <v>1+5747.21474038085i</v>
      </c>
      <c r="R545" s="18">
        <f t="shared" si="476"/>
        <v>5747.2148273795119</v>
      </c>
      <c r="S545" s="18">
        <f t="shared" si="477"/>
        <v>1.5706223294700912</v>
      </c>
      <c r="T545" s="18" t="str">
        <f t="shared" si="465"/>
        <v>1+5.14792895661801i</v>
      </c>
      <c r="U545" s="18">
        <f t="shared" si="478"/>
        <v>5.2441560371890334</v>
      </c>
      <c r="V545" s="18">
        <f t="shared" si="479"/>
        <v>1.3789329065345386</v>
      </c>
      <c r="W545" s="32" t="str">
        <f t="shared" si="466"/>
        <v>1-67.8879520092722i</v>
      </c>
      <c r="X545" s="18">
        <f t="shared" si="480"/>
        <v>67.895316686891192</v>
      </c>
      <c r="Y545" s="18">
        <f t="shared" si="481"/>
        <v>-1.5560672378475122</v>
      </c>
      <c r="Z545" s="32" t="str">
        <f t="shared" si="467"/>
        <v>-70.6398451348202+31.0444579382826i</v>
      </c>
      <c r="AA545" s="18">
        <f t="shared" si="482"/>
        <v>77.16052157258386</v>
      </c>
      <c r="AB545" s="18">
        <f t="shared" si="483"/>
        <v>2.7275255676124388</v>
      </c>
      <c r="AC545" s="67" t="str">
        <f t="shared" si="484"/>
        <v>-0.00526374307908793+0.0217822962596638i</v>
      </c>
      <c r="AD545" s="65">
        <f t="shared" si="485"/>
        <v>-32.991445471945518</v>
      </c>
      <c r="AE545" s="62">
        <f t="shared" si="486"/>
        <v>103.58521618303551</v>
      </c>
      <c r="AF545" s="50" t="str">
        <f t="shared" si="468"/>
        <v>79.1527877025864</v>
      </c>
      <c r="AG545" s="50" t="str">
        <f t="shared" si="469"/>
        <v>1+5702.32130579225i</v>
      </c>
      <c r="AH545" s="50">
        <f t="shared" si="487"/>
        <v>5702.3213934758387</v>
      </c>
      <c r="AI545" s="50">
        <f t="shared" si="488"/>
        <v>1.5706209596178957</v>
      </c>
      <c r="AJ545" s="50" t="str">
        <f t="shared" si="470"/>
        <v>1+5.14792895661801i</v>
      </c>
      <c r="AK545" s="50">
        <f t="shared" si="489"/>
        <v>5.2441560371890334</v>
      </c>
      <c r="AL545" s="50">
        <f t="shared" si="490"/>
        <v>1.3789329065345386</v>
      </c>
      <c r="AM545" s="50" t="str">
        <f t="shared" si="471"/>
        <v>1-23.7511673930833i</v>
      </c>
      <c r="AN545" s="50">
        <f t="shared" si="491"/>
        <v>23.772209668734277</v>
      </c>
      <c r="AO545" s="50">
        <f t="shared" si="492"/>
        <v>-1.5287179852055557</v>
      </c>
      <c r="AP545" s="59" t="str">
        <f t="shared" si="493"/>
        <v>-0.257927777390186-1.71112217443129i</v>
      </c>
      <c r="AQ545" s="50">
        <f t="shared" si="494"/>
        <v>4.7631936229857654</v>
      </c>
      <c r="AR545" s="62">
        <f t="shared" si="495"/>
        <v>-98.572005042776993</v>
      </c>
      <c r="AS545" s="32" t="str">
        <f t="shared" si="472"/>
        <v>-0.0000166666666666667</v>
      </c>
      <c r="AT545" s="32" t="str">
        <f t="shared" si="473"/>
        <v>0.039779451028412i</v>
      </c>
      <c r="AU545" s="32">
        <f t="shared" si="496"/>
        <v>3.9779451028412002E-2</v>
      </c>
      <c r="AV545" s="32">
        <f t="shared" si="497"/>
        <v>1.5707963267948966</v>
      </c>
      <c r="AW545" s="32" t="str">
        <f t="shared" si="474"/>
        <v>1+40.4263832769708i</v>
      </c>
      <c r="AX545" s="32">
        <f t="shared" si="498"/>
        <v>40.43874954615368</v>
      </c>
      <c r="AY545" s="32">
        <f t="shared" si="499"/>
        <v>1.5460650490514298</v>
      </c>
      <c r="AZ545" s="32" t="str">
        <f t="shared" si="475"/>
        <v>1+1374.49703141701i</v>
      </c>
      <c r="BA545" s="32">
        <f t="shared" si="500"/>
        <v>1374.4973951863908</v>
      </c>
      <c r="BB545" s="32">
        <f t="shared" si="501"/>
        <v>1.5700687880656703</v>
      </c>
      <c r="BC545" s="59" t="str">
        <f t="shared" si="502"/>
        <v>-0.000341801022563409+0.0142367559317748i</v>
      </c>
      <c r="BD545" s="50">
        <f t="shared" si="503"/>
        <v>-36.929276648711856</v>
      </c>
      <c r="BE545" s="62">
        <f t="shared" si="504"/>
        <v>91.37531293804949</v>
      </c>
      <c r="BF545" s="59" t="str">
        <f t="shared" si="505"/>
        <v>-0.000308310082715501-0.0000823838366398758i</v>
      </c>
      <c r="BG545" s="65">
        <f t="shared" si="506"/>
        <v>-69.920722120657373</v>
      </c>
      <c r="BH545" s="62">
        <f t="shared" si="507"/>
        <v>-165.03947087891498</v>
      </c>
      <c r="BI545" s="59" t="str">
        <f t="shared" si="460"/>
        <v>0.0244489887448855-0.00308719150577768i</v>
      </c>
      <c r="BJ545" s="65">
        <f t="shared" si="508"/>
        <v>-32.166083025726103</v>
      </c>
      <c r="BK545" s="62">
        <f t="shared" si="461"/>
        <v>-7.1966921047275214</v>
      </c>
      <c r="BL545" s="50">
        <f t="shared" si="509"/>
        <v>-69.920722120657373</v>
      </c>
      <c r="BM545" s="62">
        <f t="shared" si="510"/>
        <v>-165.03947087891498</v>
      </c>
    </row>
    <row r="546" spans="14:65" x14ac:dyDescent="0.3">
      <c r="N546" s="11">
        <v>28</v>
      </c>
      <c r="O546" s="51">
        <f t="shared" si="462"/>
        <v>1905460.7179632513</v>
      </c>
      <c r="P546" s="49" t="str">
        <f t="shared" si="463"/>
        <v>27.9103246607183</v>
      </c>
      <c r="Q546" s="18" t="str">
        <f t="shared" si="464"/>
        <v>1+5881.08456896442i</v>
      </c>
      <c r="R546" s="18">
        <f t="shared" si="476"/>
        <v>5881.0846539827526</v>
      </c>
      <c r="S546" s="18">
        <f t="shared" si="477"/>
        <v>1.5706262901326729</v>
      </c>
      <c r="T546" s="18" t="str">
        <f t="shared" si="465"/>
        <v>1+5.26783962606643i</v>
      </c>
      <c r="U546" s="18">
        <f t="shared" si="478"/>
        <v>5.3619151733271302</v>
      </c>
      <c r="V546" s="18">
        <f t="shared" si="479"/>
        <v>1.3831973621579596</v>
      </c>
      <c r="W546" s="32" t="str">
        <f t="shared" si="466"/>
        <v>1-69.469265551381i</v>
      </c>
      <c r="X546" s="18">
        <f t="shared" si="480"/>
        <v>69.47646260603868</v>
      </c>
      <c r="Y546" s="18">
        <f t="shared" si="481"/>
        <v>-1.5564024659985662</v>
      </c>
      <c r="Z546" s="32" t="str">
        <f t="shared" si="467"/>
        <v>-74.0161270186169+31.7675762573995i</v>
      </c>
      <c r="AA546" s="18">
        <f t="shared" si="482"/>
        <v>80.545427928006717</v>
      </c>
      <c r="AB546" s="18">
        <f t="shared" si="483"/>
        <v>2.7361716132294007</v>
      </c>
      <c r="AC546" s="67" t="str">
        <f t="shared" si="484"/>
        <v>-0.00505496515910504+0.0213594691749418i</v>
      </c>
      <c r="AD546" s="65">
        <f t="shared" si="485"/>
        <v>-33.171515967152928</v>
      </c>
      <c r="AE546" s="62">
        <f t="shared" si="486"/>
        <v>103.31473548136937</v>
      </c>
      <c r="AF546" s="50" t="str">
        <f t="shared" si="468"/>
        <v>79.1527877025864</v>
      </c>
      <c r="AG546" s="50" t="str">
        <f t="shared" si="469"/>
        <v>1+5835.14543195049i</v>
      </c>
      <c r="AH546" s="50">
        <f t="shared" si="487"/>
        <v>5835.1455176381569</v>
      </c>
      <c r="AI546" s="50">
        <f t="shared" si="488"/>
        <v>1.5706249514621184</v>
      </c>
      <c r="AJ546" s="50" t="str">
        <f t="shared" si="470"/>
        <v>1+5.26783962606643i</v>
      </c>
      <c r="AK546" s="50">
        <f t="shared" si="489"/>
        <v>5.3619151733271302</v>
      </c>
      <c r="AL546" s="50">
        <f t="shared" si="490"/>
        <v>1.3831973621579596</v>
      </c>
      <c r="AM546" s="50" t="str">
        <f t="shared" si="471"/>
        <v>1-24.3044031518295i</v>
      </c>
      <c r="AN546" s="50">
        <f t="shared" si="491"/>
        <v>24.324966856434969</v>
      </c>
      <c r="AO546" s="50">
        <f t="shared" si="492"/>
        <v>-1.5296747132405075</v>
      </c>
      <c r="AP546" s="59" t="str">
        <f t="shared" si="493"/>
        <v>-0.257927887305901-1.75033795585283i</v>
      </c>
      <c r="AQ546" s="50">
        <f t="shared" si="494"/>
        <v>4.9557344051063392</v>
      </c>
      <c r="AR546" s="62">
        <f t="shared" si="495"/>
        <v>-98.3827149280052</v>
      </c>
      <c r="AS546" s="32" t="str">
        <f t="shared" si="472"/>
        <v>-0.0000166666666666667</v>
      </c>
      <c r="AT546" s="32" t="str">
        <f t="shared" si="473"/>
        <v>0.0407060334741495i</v>
      </c>
      <c r="AU546" s="32">
        <f t="shared" si="496"/>
        <v>4.07060334741495E-2</v>
      </c>
      <c r="AV546" s="32">
        <f t="shared" si="497"/>
        <v>1.5707963267948966</v>
      </c>
      <c r="AW546" s="32" t="str">
        <f t="shared" si="474"/>
        <v>1+41.3680347105804i</v>
      </c>
      <c r="AX546" s="32">
        <f t="shared" si="498"/>
        <v>41.380119572275106</v>
      </c>
      <c r="AY546" s="32">
        <f t="shared" si="499"/>
        <v>1.5466277799158168</v>
      </c>
      <c r="AZ546" s="32" t="str">
        <f t="shared" si="475"/>
        <v>1+1406.51318015973i</v>
      </c>
      <c r="BA546" s="32">
        <f t="shared" si="500"/>
        <v>1406.5135356487108</v>
      </c>
      <c r="BB546" s="32">
        <f t="shared" si="501"/>
        <v>1.5700853488633639</v>
      </c>
      <c r="BC546" s="59" t="str">
        <f t="shared" si="502"/>
        <v>-0.000326426426529314+0.0139130594562048i</v>
      </c>
      <c r="BD546" s="50">
        <f t="shared" si="503"/>
        <v>-37.129157221625363</v>
      </c>
      <c r="BE546" s="62">
        <f t="shared" si="504"/>
        <v>91.344019698331593</v>
      </c>
      <c r="BF546" s="59" t="str">
        <f t="shared" si="505"/>
        <v>-0.000295525490370822-0.0000773023260030115i</v>
      </c>
      <c r="BG546" s="65">
        <f t="shared" si="506"/>
        <v>-70.300673188778291</v>
      </c>
      <c r="BH546" s="62">
        <f t="shared" si="507"/>
        <v>-165.34124482029901</v>
      </c>
      <c r="BI546" s="59" t="str">
        <f t="shared" si="460"/>
        <v>0.0244367505267879-0.00301720946735263i</v>
      </c>
      <c r="BJ546" s="65">
        <f t="shared" si="508"/>
        <v>-32.173422816519036</v>
      </c>
      <c r="BK546" s="62">
        <f t="shared" si="461"/>
        <v>-7.0386952296736265</v>
      </c>
      <c r="BL546" s="50">
        <f t="shared" si="509"/>
        <v>-70.300673188778291</v>
      </c>
      <c r="BM546" s="62">
        <f t="shared" si="510"/>
        <v>-165.34124482029901</v>
      </c>
    </row>
    <row r="547" spans="14:65" x14ac:dyDescent="0.3">
      <c r="N547" s="11">
        <v>29</v>
      </c>
      <c r="O547" s="51">
        <f t="shared" si="462"/>
        <v>1949844.5997580495</v>
      </c>
      <c r="P547" s="49" t="str">
        <f t="shared" si="463"/>
        <v>27.9103246607183</v>
      </c>
      <c r="Q547" s="18" t="str">
        <f t="shared" si="464"/>
        <v>1+6018.07262643174i</v>
      </c>
      <c r="R547" s="18">
        <f t="shared" si="476"/>
        <v>6018.0727095148177</v>
      </c>
      <c r="S547" s="18">
        <f t="shared" si="477"/>
        <v>1.5706301606395723</v>
      </c>
      <c r="T547" s="18" t="str">
        <f t="shared" si="465"/>
        <v>1+5.39054337381261i</v>
      </c>
      <c r="U547" s="18">
        <f t="shared" si="478"/>
        <v>5.482513827155846</v>
      </c>
      <c r="V547" s="18">
        <f t="shared" si="479"/>
        <v>1.3873714291399355</v>
      </c>
      <c r="W547" s="32" t="str">
        <f t="shared" si="466"/>
        <v>1-71.0874126176185i</v>
      </c>
      <c r="X547" s="18">
        <f t="shared" si="480"/>
        <v>71.094445863706866</v>
      </c>
      <c r="Y547" s="18">
        <f t="shared" si="481"/>
        <v>-1.5567300665515684</v>
      </c>
      <c r="Z547" s="32" t="str">
        <f t="shared" si="467"/>
        <v>-77.5515281654048+32.5075381659412i</v>
      </c>
      <c r="AA547" s="18">
        <f t="shared" si="482"/>
        <v>84.089116765486949</v>
      </c>
      <c r="AB547" s="18">
        <f t="shared" si="483"/>
        <v>2.7446675168224406</v>
      </c>
      <c r="AC547" s="67" t="str">
        <f t="shared" si="484"/>
        <v>-0.00485342123258577+0.0209422162084043i</v>
      </c>
      <c r="AD547" s="65">
        <f t="shared" si="485"/>
        <v>-33.352338477193307</v>
      </c>
      <c r="AE547" s="62">
        <f t="shared" si="486"/>
        <v>103.04812059104724</v>
      </c>
      <c r="AF547" s="50" t="str">
        <f t="shared" si="468"/>
        <v>79.1527877025864</v>
      </c>
      <c r="AG547" s="50" t="str">
        <f t="shared" si="469"/>
        <v>1+5971.06342945396i</v>
      </c>
      <c r="AH547" s="50">
        <f t="shared" si="487"/>
        <v>5971.0635131911386</v>
      </c>
      <c r="AI547" s="50">
        <f t="shared" si="488"/>
        <v>1.5706288524408782</v>
      </c>
      <c r="AJ547" s="50" t="str">
        <f t="shared" si="470"/>
        <v>1+5.39054337381261i</v>
      </c>
      <c r="AK547" s="50">
        <f t="shared" si="489"/>
        <v>5.482513827155846</v>
      </c>
      <c r="AL547" s="50">
        <f t="shared" si="490"/>
        <v>1.3873714291399355</v>
      </c>
      <c r="AM547" s="50" t="str">
        <f t="shared" si="471"/>
        <v>1-24.8705254268332i</v>
      </c>
      <c r="AN547" s="50">
        <f t="shared" si="491"/>
        <v>24.890621426689144</v>
      </c>
      <c r="AO547" s="50">
        <f t="shared" si="492"/>
        <v>-1.530609736274817</v>
      </c>
      <c r="AP547" s="59" t="str">
        <f t="shared" si="493"/>
        <v>-0.257927992274593-1.79048178962531i</v>
      </c>
      <c r="AQ547" s="50">
        <f t="shared" si="494"/>
        <v>5.1485999881258735</v>
      </c>
      <c r="AR547" s="62">
        <f t="shared" si="495"/>
        <v>-98.197354889765379</v>
      </c>
      <c r="AS547" s="32" t="str">
        <f t="shared" si="472"/>
        <v>-0.0000166666666666667</v>
      </c>
      <c r="AT547" s="32" t="str">
        <f t="shared" si="473"/>
        <v>0.041654198797643i</v>
      </c>
      <c r="AU547" s="32">
        <f t="shared" si="496"/>
        <v>4.1654198797642997E-2</v>
      </c>
      <c r="AV547" s="32">
        <f t="shared" si="497"/>
        <v>1.5707963267948966</v>
      </c>
      <c r="AW547" s="32" t="str">
        <f t="shared" si="474"/>
        <v>1+42.3316200237637i</v>
      </c>
      <c r="AX547" s="32">
        <f t="shared" si="498"/>
        <v>42.343429878037888</v>
      </c>
      <c r="AY547" s="32">
        <f t="shared" si="499"/>
        <v>1.5471777162558111</v>
      </c>
      <c r="AZ547" s="32" t="str">
        <f t="shared" si="475"/>
        <v>1+1439.27508080797i</v>
      </c>
      <c r="BA547" s="32">
        <f t="shared" si="500"/>
        <v>1439.2754282050355</v>
      </c>
      <c r="BB547" s="32">
        <f t="shared" si="501"/>
        <v>1.5701015326916556</v>
      </c>
      <c r="BC547" s="59" t="str">
        <f t="shared" si="502"/>
        <v>-0.000311743011242326+0.0135967064243425i</v>
      </c>
      <c r="BD547" s="50">
        <f t="shared" si="503"/>
        <v>-37.329043166571985</v>
      </c>
      <c r="BE547" s="62">
        <f t="shared" si="504"/>
        <v>91.313437932106538</v>
      </c>
      <c r="BF547" s="59" t="str">
        <f t="shared" si="505"/>
        <v>-0.000283232145510907-0.000072519133196035i</v>
      </c>
      <c r="BG547" s="65">
        <f t="shared" si="506"/>
        <v>-70.681381643765292</v>
      </c>
      <c r="BH547" s="62">
        <f t="shared" si="507"/>
        <v>-165.63844147684625</v>
      </c>
      <c r="BI547" s="59" t="str">
        <f t="shared" si="460"/>
        <v>0.0244250625006621-0.00294880100490538i</v>
      </c>
      <c r="BJ547" s="65">
        <f t="shared" si="508"/>
        <v>-32.180443178446097</v>
      </c>
      <c r="BK547" s="62">
        <f t="shared" si="461"/>
        <v>-6.8839169576588475</v>
      </c>
      <c r="BL547" s="50">
        <f t="shared" si="509"/>
        <v>-70.681381643765292</v>
      </c>
      <c r="BM547" s="62">
        <f t="shared" si="510"/>
        <v>-165.63844147684625</v>
      </c>
    </row>
    <row r="548" spans="14:65" x14ac:dyDescent="0.3">
      <c r="N548" s="11">
        <v>30</v>
      </c>
      <c r="O548" s="51">
        <f t="shared" si="462"/>
        <v>1995262.31496888</v>
      </c>
      <c r="P548" s="49" t="str">
        <f t="shared" si="463"/>
        <v>27.9103246607183</v>
      </c>
      <c r="Q548" s="18" t="str">
        <f t="shared" si="464"/>
        <v>1+6158.25154566424i</v>
      </c>
      <c r="R548" s="18">
        <f t="shared" si="476"/>
        <v>6158.2516268561176</v>
      </c>
      <c r="S548" s="18">
        <f t="shared" si="477"/>
        <v>1.5706339430429834</v>
      </c>
      <c r="T548" s="18" t="str">
        <f t="shared" si="465"/>
        <v>1+5.51610525900791i</v>
      </c>
      <c r="U548" s="18">
        <f t="shared" si="478"/>
        <v>5.6060161637703754</v>
      </c>
      <c r="V548" s="18">
        <f t="shared" si="479"/>
        <v>1.3914567385498711</v>
      </c>
      <c r="W548" s="32" t="str">
        <f t="shared" si="466"/>
        <v>1-72.7432511709796i</v>
      </c>
      <c r="X548" s="18">
        <f t="shared" si="480"/>
        <v>72.750124336142719</v>
      </c>
      <c r="Y548" s="18">
        <f t="shared" si="481"/>
        <v>-1.5570502129232369</v>
      </c>
      <c r="Z548" s="32" t="str">
        <f t="shared" si="467"/>
        <v>-81.25354763502+33.2647360015068i</v>
      </c>
      <c r="AA548" s="18">
        <f t="shared" si="482"/>
        <v>87.799098312718485</v>
      </c>
      <c r="AB548" s="18">
        <f t="shared" si="483"/>
        <v>2.7530141014333687</v>
      </c>
      <c r="AC548" s="67" t="str">
        <f t="shared" si="484"/>
        <v>-0.00465894056544198+0.020530604645449i</v>
      </c>
      <c r="AD548" s="65">
        <f t="shared" si="485"/>
        <v>-33.5338902428363</v>
      </c>
      <c r="AE548" s="62">
        <f t="shared" si="486"/>
        <v>102.78540775501178</v>
      </c>
      <c r="AF548" s="50" t="str">
        <f t="shared" si="468"/>
        <v>79.1527877025864</v>
      </c>
      <c r="AG548" s="50" t="str">
        <f t="shared" si="469"/>
        <v>1+6110.14736382413i</v>
      </c>
      <c r="AH548" s="50">
        <f t="shared" si="487"/>
        <v>6110.147445655216</v>
      </c>
      <c r="AI548" s="50">
        <f t="shared" si="488"/>
        <v>1.5706326646225255</v>
      </c>
      <c r="AJ548" s="50" t="str">
        <f t="shared" si="470"/>
        <v>1+5.51610525900791i</v>
      </c>
      <c r="AK548" s="50">
        <f t="shared" si="489"/>
        <v>5.6060161637703754</v>
      </c>
      <c r="AL548" s="50">
        <f t="shared" si="490"/>
        <v>1.3914567385498711</v>
      </c>
      <c r="AM548" s="50" t="str">
        <f t="shared" si="471"/>
        <v>1-25.4498343836188i</v>
      </c>
      <c r="AN548" s="50">
        <f t="shared" si="491"/>
        <v>25.46947329949376</v>
      </c>
      <c r="AO548" s="50">
        <f t="shared" si="492"/>
        <v>-1.5315235435266592</v>
      </c>
      <c r="AP548" s="59" t="str">
        <f t="shared" si="493"/>
        <v>-0.257928092518917-1.83157496054091i</v>
      </c>
      <c r="AQ548" s="50">
        <f t="shared" si="494"/>
        <v>5.3417766831651745</v>
      </c>
      <c r="AR548" s="62">
        <f t="shared" si="495"/>
        <v>-98.015859623309126</v>
      </c>
      <c r="AS548" s="32" t="str">
        <f t="shared" si="472"/>
        <v>-0.0000166666666666667</v>
      </c>
      <c r="AT548" s="32" t="str">
        <f t="shared" si="473"/>
        <v>0.0426244497286974i</v>
      </c>
      <c r="AU548" s="32">
        <f t="shared" si="496"/>
        <v>4.2624449728697403E-2</v>
      </c>
      <c r="AV548" s="32">
        <f t="shared" si="497"/>
        <v>1.5707963267948966</v>
      </c>
      <c r="AW548" s="32" t="str">
        <f t="shared" si="474"/>
        <v>1+43.3176501222091i</v>
      </c>
      <c r="AX548" s="32">
        <f t="shared" si="498"/>
        <v>43.329191223817254</v>
      </c>
      <c r="AY548" s="32">
        <f t="shared" si="499"/>
        <v>1.5477151483236393</v>
      </c>
      <c r="AZ548" s="32" t="str">
        <f t="shared" si="475"/>
        <v>1+1472.80010415511i</v>
      </c>
      <c r="BA548" s="32">
        <f t="shared" si="500"/>
        <v>1472.8004436444546</v>
      </c>
      <c r="BB548" s="32">
        <f t="shared" si="501"/>
        <v>1.5701173481313915</v>
      </c>
      <c r="BC548" s="59" t="str">
        <f t="shared" si="502"/>
        <v>-0.000297719737904394+0.0132875313314415i</v>
      </c>
      <c r="BD548" s="50">
        <f t="shared" si="503"/>
        <v>-37.528934242040521</v>
      </c>
      <c r="BE548" s="62">
        <f t="shared" si="504"/>
        <v>91.283551500792996</v>
      </c>
      <c r="BF548" s="59" t="str">
        <f t="shared" si="505"/>
        <v>-0.000271413993915786-0.0000680181849686959i</v>
      </c>
      <c r="BG548" s="65">
        <f t="shared" si="506"/>
        <v>-71.062824484876842</v>
      </c>
      <c r="BH548" s="62">
        <f t="shared" si="507"/>
        <v>-165.93104074419523</v>
      </c>
      <c r="BI548" s="59" t="str">
        <f t="shared" si="460"/>
        <v>0.024413899958174-0.00288193159339956i</v>
      </c>
      <c r="BJ548" s="65">
        <f t="shared" si="508"/>
        <v>-32.187157558875342</v>
      </c>
      <c r="BK548" s="62">
        <f t="shared" si="461"/>
        <v>-6.7323081225161241</v>
      </c>
      <c r="BL548" s="50">
        <f t="shared" si="509"/>
        <v>-71.062824484876842</v>
      </c>
      <c r="BM548" s="62">
        <f t="shared" si="510"/>
        <v>-165.93104074419523</v>
      </c>
    </row>
    <row r="549" spans="14:65" x14ac:dyDescent="0.3">
      <c r="N549" s="11">
        <v>31</v>
      </c>
      <c r="O549" s="51">
        <f t="shared" si="462"/>
        <v>2041737.9446695296</v>
      </c>
      <c r="P549" s="49" t="str">
        <f t="shared" si="463"/>
        <v>27.9103246607183</v>
      </c>
      <c r="Q549" s="18" t="str">
        <f t="shared" si="464"/>
        <v>1+6301.69565138032i</v>
      </c>
      <c r="R549" s="18">
        <f t="shared" si="476"/>
        <v>6301.6957307240436</v>
      </c>
      <c r="S549" s="18">
        <f t="shared" si="477"/>
        <v>1.5706376393483859</v>
      </c>
      <c r="T549" s="18" t="str">
        <f t="shared" si="465"/>
        <v>1+5.64459185622579i</v>
      </c>
      <c r="U549" s="18">
        <f t="shared" si="478"/>
        <v>5.7324878738092853</v>
      </c>
      <c r="V549" s="18">
        <f t="shared" si="479"/>
        <v>1.3954549107426364</v>
      </c>
      <c r="W549" s="32" t="str">
        <f t="shared" si="466"/>
        <v>1-74.4376591589819i</v>
      </c>
      <c r="X549" s="18">
        <f t="shared" si="480"/>
        <v>74.444375886085339</v>
      </c>
      <c r="Y549" s="18">
        <f t="shared" si="481"/>
        <v>-1.5573630745967606</v>
      </c>
      <c r="Z549" s="32" t="str">
        <f t="shared" si="467"/>
        <v>-85.1300379070935+34.0395712404111i</v>
      </c>
      <c r="AA549" s="18">
        <f t="shared" si="482"/>
        <v>91.683236004703701</v>
      </c>
      <c r="AB549" s="18">
        <f t="shared" si="483"/>
        <v>2.7612122961561618</v>
      </c>
      <c r="AC549" s="67" t="str">
        <f t="shared" si="484"/>
        <v>-0.00447135032732038+0.0201246938695662i</v>
      </c>
      <c r="AD549" s="65">
        <f t="shared" si="485"/>
        <v>-33.716148742905865</v>
      </c>
      <c r="AE549" s="62">
        <f t="shared" si="486"/>
        <v>102.52662675401764</v>
      </c>
      <c r="AF549" s="50" t="str">
        <f t="shared" si="468"/>
        <v>79.1527877025864</v>
      </c>
      <c r="AG549" s="50" t="str">
        <f t="shared" si="469"/>
        <v>1+6252.47097920394i</v>
      </c>
      <c r="AH549" s="50">
        <f t="shared" si="487"/>
        <v>6252.4710591723233</v>
      </c>
      <c r="AI549" s="50">
        <f t="shared" si="488"/>
        <v>1.5706363900283287</v>
      </c>
      <c r="AJ549" s="50" t="str">
        <f t="shared" si="470"/>
        <v>1+5.64459185622579i</v>
      </c>
      <c r="AK549" s="50">
        <f t="shared" si="489"/>
        <v>5.7324878738092853</v>
      </c>
      <c r="AL549" s="50">
        <f t="shared" si="490"/>
        <v>1.3954549107426364</v>
      </c>
      <c r="AM549" s="50" t="str">
        <f t="shared" si="471"/>
        <v>1-26.0426371794628i</v>
      </c>
      <c r="AN549" s="50">
        <f t="shared" si="491"/>
        <v>26.061829392065672</v>
      </c>
      <c r="AO549" s="50">
        <f t="shared" si="492"/>
        <v>-1.5324166134007011</v>
      </c>
      <c r="AP549" s="59" t="str">
        <f t="shared" si="493"/>
        <v>-0.257928188251502-1.87363925674286i</v>
      </c>
      <c r="AQ549" s="50">
        <f t="shared" si="494"/>
        <v>5.5352513395547351</v>
      </c>
      <c r="AR549" s="62">
        <f t="shared" si="495"/>
        <v>-97.838163815519451</v>
      </c>
      <c r="AS549" s="32" t="str">
        <f t="shared" si="472"/>
        <v>-0.0000166666666666667</v>
      </c>
      <c r="AT549" s="32" t="str">
        <f t="shared" si="473"/>
        <v>0.0436173007071994i</v>
      </c>
      <c r="AU549" s="32">
        <f t="shared" si="496"/>
        <v>4.3617300707199401E-2</v>
      </c>
      <c r="AV549" s="32">
        <f t="shared" si="497"/>
        <v>1.5707963267948966</v>
      </c>
      <c r="AW549" s="32" t="str">
        <f t="shared" si="474"/>
        <v>1+44.326647812126i</v>
      </c>
      <c r="AX549" s="32">
        <f t="shared" si="498"/>
        <v>44.337926273792448</v>
      </c>
      <c r="AY549" s="32">
        <f t="shared" si="499"/>
        <v>1.54824035983036</v>
      </c>
      <c r="AZ549" s="32" t="str">
        <f t="shared" si="475"/>
        <v>1+1507.10602561228i</v>
      </c>
      <c r="BA549" s="32">
        <f t="shared" si="500"/>
        <v>1507.1063573739054</v>
      </c>
      <c r="BB549" s="32">
        <f t="shared" si="501"/>
        <v>1.5701328035680955</v>
      </c>
      <c r="BC549" s="59" t="str">
        <f t="shared" si="502"/>
        <v>-0.000284326958589114+0.0129853723300304i</v>
      </c>
      <c r="BD549" s="50">
        <f t="shared" si="503"/>
        <v>-37.728830217365903</v>
      </c>
      <c r="BE549" s="62">
        <f t="shared" si="504"/>
        <v>91.254344629399853</v>
      </c>
      <c r="BF549" s="59" t="str">
        <f t="shared" si="505"/>
        <v>-0.000260055317484844-0.0000637841418187292i</v>
      </c>
      <c r="BG549" s="65">
        <f t="shared" si="506"/>
        <v>-71.444978960271769</v>
      </c>
      <c r="BH549" s="62">
        <f t="shared" si="507"/>
        <v>-166.21902861658251</v>
      </c>
      <c r="BI549" s="59" t="str">
        <f t="shared" si="460"/>
        <v>0.0244032392982674-0.00281656740749306i</v>
      </c>
      <c r="BJ549" s="65">
        <f t="shared" si="508"/>
        <v>-32.193578877811163</v>
      </c>
      <c r="BK549" s="62">
        <f t="shared" si="461"/>
        <v>-6.5838191861195936</v>
      </c>
      <c r="BL549" s="50">
        <f t="shared" si="509"/>
        <v>-71.444978960271769</v>
      </c>
      <c r="BM549" s="62">
        <f t="shared" si="510"/>
        <v>-166.21902861658251</v>
      </c>
    </row>
    <row r="550" spans="14:65" x14ac:dyDescent="0.3">
      <c r="N550" s="11">
        <v>32</v>
      </c>
      <c r="O550" s="51">
        <f t="shared" si="462"/>
        <v>2089296.1308540432</v>
      </c>
      <c r="P550" s="49" t="str">
        <f t="shared" si="463"/>
        <v>27.9103246607183</v>
      </c>
      <c r="Q550" s="18" t="str">
        <f t="shared" si="464"/>
        <v>1+6448.48099954362i</v>
      </c>
      <c r="R550" s="18">
        <f t="shared" si="476"/>
        <v>6448.4810770812592</v>
      </c>
      <c r="S550" s="18">
        <f t="shared" si="477"/>
        <v>1.5706412515156092</v>
      </c>
      <c r="T550" s="18" t="str">
        <f t="shared" si="465"/>
        <v>1+5.7760712907609i</v>
      </c>
      <c r="U550" s="18">
        <f t="shared" si="478"/>
        <v>5.8619962091383409</v>
      </c>
      <c r="V550" s="18">
        <f t="shared" si="479"/>
        <v>1.3993675540507693</v>
      </c>
      <c r="W550" s="32" t="str">
        <f t="shared" si="466"/>
        <v>1-76.17153497917i</v>
      </c>
      <c r="X550" s="18">
        <f t="shared" si="480"/>
        <v>76.178098828225686</v>
      </c>
      <c r="Y550" s="18">
        <f t="shared" si="481"/>
        <v>-1.5576688172104105</v>
      </c>
      <c r="Z550" s="32" t="str">
        <f t="shared" si="467"/>
        <v>-89.1892215372249+34.8324547105544i</v>
      </c>
      <c r="AA550" s="18">
        <f t="shared" si="482"/>
        <v>95.749763130667858</v>
      </c>
      <c r="AB550" s="18">
        <f t="shared" si="483"/>
        <v>2.7692631296006316</v>
      </c>
      <c r="AC550" s="67" t="str">
        <f t="shared" si="484"/>
        <v>-0.0042904761553284+0.0197245354600574i</v>
      </c>
      <c r="AD550" s="65">
        <f t="shared" si="485"/>
        <v>-33.899091732197434</v>
      </c>
      <c r="AE550" s="62">
        <f t="shared" si="486"/>
        <v>102.27180120106668</v>
      </c>
      <c r="AF550" s="50" t="str">
        <f t="shared" si="468"/>
        <v>79.1527877025864</v>
      </c>
      <c r="AG550" s="50" t="str">
        <f t="shared" si="469"/>
        <v>1+6398.10973745821i</v>
      </c>
      <c r="AH550" s="50">
        <f t="shared" si="487"/>
        <v>6398.1098156062908</v>
      </c>
      <c r="AI550" s="50">
        <f t="shared" si="488"/>
        <v>1.5706400306335473</v>
      </c>
      <c r="AJ550" s="50" t="str">
        <f t="shared" si="470"/>
        <v>1+5.7760712907609i</v>
      </c>
      <c r="AK550" s="50">
        <f t="shared" si="489"/>
        <v>5.8619962091383409</v>
      </c>
      <c r="AL550" s="50">
        <f t="shared" si="490"/>
        <v>1.3993675540507693</v>
      </c>
      <c r="AM550" s="50" t="str">
        <f t="shared" si="471"/>
        <v>1-26.6492481262547i</v>
      </c>
      <c r="AN550" s="50">
        <f t="shared" si="491"/>
        <v>26.668003781586084</v>
      </c>
      <c r="AO550" s="50">
        <f t="shared" si="492"/>
        <v>-1.5332894137128474</v>
      </c>
      <c r="AP550" s="59" t="str">
        <f t="shared" si="493"/>
        <v>-0.257928279675413-1.91669698127791i</v>
      </c>
      <c r="AQ550" s="50">
        <f t="shared" si="494"/>
        <v>5.7290113269825049</v>
      </c>
      <c r="AR550" s="62">
        <f t="shared" si="495"/>
        <v>-97.66420223278098</v>
      </c>
      <c r="AS550" s="32" t="str">
        <f t="shared" si="472"/>
        <v>-0.0000166666666666667</v>
      </c>
      <c r="AT550" s="32" t="str">
        <f t="shared" si="473"/>
        <v>0.0446332781558796i</v>
      </c>
      <c r="AU550" s="32">
        <f t="shared" si="496"/>
        <v>4.4633278155879599E-2</v>
      </c>
      <c r="AV550" s="32">
        <f t="shared" si="497"/>
        <v>1.5707963267948966</v>
      </c>
      <c r="AW550" s="32" t="str">
        <f t="shared" si="474"/>
        <v>1+45.3591480774458i</v>
      </c>
      <c r="AX550" s="32">
        <f t="shared" si="498"/>
        <v>45.370169873074701</v>
      </c>
      <c r="AY550" s="32">
        <f t="shared" si="499"/>
        <v>1.5487536280903773</v>
      </c>
      <c r="AZ550" s="32" t="str">
        <f t="shared" si="475"/>
        <v>1+1542.21103463316i</v>
      </c>
      <c r="BA550" s="32">
        <f t="shared" si="500"/>
        <v>1542.2113588429704</v>
      </c>
      <c r="BB550" s="32">
        <f t="shared" si="501"/>
        <v>1.5701479071964151</v>
      </c>
      <c r="BC550" s="59" t="str">
        <f t="shared" si="502"/>
        <v>-0.000271536354178364+0.0126900711539866i</v>
      </c>
      <c r="BD550" s="50">
        <f t="shared" si="503"/>
        <v>-37.928730872242696</v>
      </c>
      <c r="BE550" s="62">
        <f t="shared" si="504"/>
        <v>91.225801898500876</v>
      </c>
      <c r="BF550" s="59" t="str">
        <f t="shared" si="505"/>
        <v>-0.000249140738214553-0.0000598023761422861i</v>
      </c>
      <c r="BG550" s="65">
        <f t="shared" si="506"/>
        <v>-71.827822604440144</v>
      </c>
      <c r="BH550" s="62">
        <f t="shared" si="507"/>
        <v>-166.50239690043244</v>
      </c>
      <c r="BI550" s="59" t="str">
        <f t="shared" si="460"/>
        <v>0.0243930579777506-0.00275267531134547i</v>
      </c>
      <c r="BJ550" s="65">
        <f t="shared" si="508"/>
        <v>-32.19971954526018</v>
      </c>
      <c r="BK550" s="62">
        <f t="shared" si="461"/>
        <v>-6.438400334280094</v>
      </c>
      <c r="BL550" s="50">
        <f t="shared" si="509"/>
        <v>-71.827822604440144</v>
      </c>
      <c r="BM550" s="62">
        <f t="shared" si="510"/>
        <v>-166.50239690043244</v>
      </c>
    </row>
    <row r="551" spans="14:65" x14ac:dyDescent="0.3">
      <c r="N551" s="11">
        <v>33</v>
      </c>
      <c r="O551" s="51">
        <f t="shared" si="462"/>
        <v>2137962.0895022359</v>
      </c>
      <c r="P551" s="49" t="str">
        <f t="shared" si="463"/>
        <v>27.9103246607183</v>
      </c>
      <c r="Q551" s="18" t="str">
        <f t="shared" si="464"/>
        <v>1+6598.68541768856i</v>
      </c>
      <c r="R551" s="18">
        <f t="shared" si="476"/>
        <v>6598.6854934612275</v>
      </c>
      <c r="S551" s="18">
        <f t="shared" si="477"/>
        <v>1.5706447814598721</v>
      </c>
      <c r="T551" s="18" t="str">
        <f t="shared" si="465"/>
        <v>1+5.91061327474966i</v>
      </c>
      <c r="U551" s="18">
        <f t="shared" si="478"/>
        <v>5.9946100193129244</v>
      </c>
      <c r="V551" s="18">
        <f t="shared" si="479"/>
        <v>1.4031962635886652</v>
      </c>
      <c r="W551" s="32" t="str">
        <f t="shared" si="466"/>
        <v>1-77.9457979554528i</v>
      </c>
      <c r="X551" s="18">
        <f t="shared" si="480"/>
        <v>77.952212405500532</v>
      </c>
      <c r="Y551" s="18">
        <f t="shared" si="481"/>
        <v>-1.5579676026441931</v>
      </c>
      <c r="Z551" s="32" t="str">
        <f t="shared" si="467"/>
        <v>-93.4397085981149+35.643806809247i</v>
      </c>
      <c r="AA551" s="18">
        <f t="shared" si="482"/>
        <v>100.00730026730824</v>
      </c>
      <c r="AB551" s="18">
        <f t="shared" si="483"/>
        <v>2.7771677234532999</v>
      </c>
      <c r="AC551" s="67" t="str">
        <f t="shared" si="484"/>
        <v>-0.00411614268705538+0.0193301733239021i</v>
      </c>
      <c r="AD551" s="65">
        <f t="shared" si="485"/>
        <v>-34.082697275501545</v>
      </c>
      <c r="AE551" s="62">
        <f t="shared" si="486"/>
        <v>102.02094883680275</v>
      </c>
      <c r="AF551" s="50" t="str">
        <f t="shared" si="468"/>
        <v>79.1527877025864</v>
      </c>
      <c r="AG551" s="50" t="str">
        <f t="shared" si="469"/>
        <v>1+6547.14085818422i</v>
      </c>
      <c r="AH551" s="50">
        <f t="shared" si="487"/>
        <v>6547.140934553433</v>
      </c>
      <c r="AI551" s="50">
        <f t="shared" si="488"/>
        <v>1.5706435883684775</v>
      </c>
      <c r="AJ551" s="50" t="str">
        <f t="shared" si="470"/>
        <v>1+5.91061327474966i</v>
      </c>
      <c r="AK551" s="50">
        <f t="shared" si="489"/>
        <v>5.9946100193129244</v>
      </c>
      <c r="AL551" s="50">
        <f t="shared" si="490"/>
        <v>1.4031962635886652</v>
      </c>
      <c r="AM551" s="50" t="str">
        <f t="shared" si="471"/>
        <v>1-27.2699888571474i</v>
      </c>
      <c r="AN551" s="50">
        <f t="shared" si="491"/>
        <v>27.28831787173668</v>
      </c>
      <c r="AO551" s="50">
        <f t="shared" si="492"/>
        <v>-1.534142401911283</v>
      </c>
      <c r="AP551" s="59" t="str">
        <f t="shared" si="493"/>
        <v>-0.257928366984571-1.96077096392163i</v>
      </c>
      <c r="AQ551" s="50">
        <f t="shared" si="494"/>
        <v>5.9230445179426994</v>
      </c>
      <c r="AR551" s="62">
        <f t="shared" si="495"/>
        <v>-97.493909802219022</v>
      </c>
      <c r="AS551" s="32" t="str">
        <f t="shared" si="472"/>
        <v>-0.0000166666666666667</v>
      </c>
      <c r="AT551" s="32" t="str">
        <f t="shared" si="473"/>
        <v>0.0456729207594292i</v>
      </c>
      <c r="AU551" s="32">
        <f t="shared" si="496"/>
        <v>4.5672920759429199E-2</v>
      </c>
      <c r="AV551" s="32">
        <f t="shared" si="497"/>
        <v>1.5707963267948966</v>
      </c>
      <c r="AW551" s="32" t="str">
        <f t="shared" si="474"/>
        <v>1+46.4156983634752i</v>
      </c>
      <c r="AX551" s="32">
        <f t="shared" si="498"/>
        <v>46.426469331288963</v>
      </c>
      <c r="AY551" s="32">
        <f t="shared" si="499"/>
        <v>1.5492552241629556</v>
      </c>
      <c r="AZ551" s="32" t="str">
        <f t="shared" si="475"/>
        <v>1+1578.13374435816i</v>
      </c>
      <c r="BA551" s="32">
        <f t="shared" si="500"/>
        <v>1578.1340611880555</v>
      </c>
      <c r="BB551" s="32">
        <f t="shared" si="501"/>
        <v>1.5701626670244662</v>
      </c>
      <c r="BC551" s="59" t="str">
        <f t="shared" si="502"/>
        <v>-0.000259320875045196+0.0124014730438505i</v>
      </c>
      <c r="BD551" s="50">
        <f t="shared" si="503"/>
        <v>-38.128635996261515</v>
      </c>
      <c r="BE551" s="62">
        <f t="shared" si="504"/>
        <v>91.197908236375483</v>
      </c>
      <c r="BF551" s="59" t="str">
        <f t="shared" si="505"/>
        <v>-0.000238655221685912-0.0000560589500392893i</v>
      </c>
      <c r="BG551" s="65">
        <f t="shared" si="506"/>
        <v>-72.211333271763053</v>
      </c>
      <c r="BH551" s="62">
        <f t="shared" si="507"/>
        <v>-166.78114292682176</v>
      </c>
      <c r="BI551" s="59" t="str">
        <f t="shared" si="460"/>
        <v>0.0243833344640643-0.00269022284827617i</v>
      </c>
      <c r="BJ551" s="65">
        <f t="shared" si="508"/>
        <v>-32.205591478318802</v>
      </c>
      <c r="BK551" s="62">
        <f t="shared" si="461"/>
        <v>-6.2960015658435449</v>
      </c>
      <c r="BL551" s="50">
        <f t="shared" si="509"/>
        <v>-72.211333271763053</v>
      </c>
      <c r="BM551" s="62">
        <f t="shared" si="510"/>
        <v>-166.78114292682176</v>
      </c>
    </row>
    <row r="552" spans="14:65" x14ac:dyDescent="0.3">
      <c r="N552" s="11">
        <v>34</v>
      </c>
      <c r="O552" s="51">
        <f t="shared" si="462"/>
        <v>2187761.6239495561</v>
      </c>
      <c r="P552" s="49" t="str">
        <f t="shared" si="463"/>
        <v>27.9103246607183</v>
      </c>
      <c r="Q552" s="18" t="str">
        <f t="shared" si="464"/>
        <v>1+6752.38854618591i</v>
      </c>
      <c r="R552" s="18">
        <f t="shared" si="476"/>
        <v>6752.3886202337808</v>
      </c>
      <c r="S552" s="18">
        <f t="shared" si="477"/>
        <v>1.5706482310527974</v>
      </c>
      <c r="T552" s="18" t="str">
        <f t="shared" si="465"/>
        <v>1+6.04828914413293i</v>
      </c>
      <c r="U552" s="18">
        <f t="shared" si="478"/>
        <v>6.1303997888421806</v>
      </c>
      <c r="V552" s="18">
        <f t="shared" si="479"/>
        <v>1.406942620162851</v>
      </c>
      <c r="W552" s="32" t="str">
        <f t="shared" si="466"/>
        <v>1-79.7613888255464i</v>
      </c>
      <c r="X552" s="18">
        <f t="shared" si="480"/>
        <v>79.767657276492699</v>
      </c>
      <c r="Y552" s="18">
        <f t="shared" si="481"/>
        <v>-1.5582595891045903</v>
      </c>
      <c r="Z552" s="32" t="str">
        <f t="shared" si="467"/>
        <v>-97.890514942694+36.4740577261115i</v>
      </c>
      <c r="AA552" s="18">
        <f t="shared" si="482"/>
        <v>104.46487353533489</v>
      </c>
      <c r="AB552" s="18">
        <f t="shared" si="483"/>
        <v>2.7849272861570635</v>
      </c>
      <c r="AC552" s="67" t="str">
        <f t="shared" si="484"/>
        <v>-0.00394817406199638+0.0189416438577707i</v>
      </c>
      <c r="AD552" s="65">
        <f t="shared" si="485"/>
        <v>-34.266943777911422</v>
      </c>
      <c r="AE552" s="62">
        <f t="shared" si="486"/>
        <v>101.77408182429052</v>
      </c>
      <c r="AF552" s="50" t="str">
        <f t="shared" si="468"/>
        <v>79.1527877025864</v>
      </c>
      <c r="AG552" s="50" t="str">
        <f t="shared" si="469"/>
        <v>1+6699.64335965493i</v>
      </c>
      <c r="AH552" s="50">
        <f t="shared" si="487"/>
        <v>6699.6434342857674</v>
      </c>
      <c r="AI552" s="50">
        <f t="shared" si="488"/>
        <v>1.5706470651194773</v>
      </c>
      <c r="AJ552" s="50" t="str">
        <f t="shared" si="470"/>
        <v>1+6.04828914413293i</v>
      </c>
      <c r="AK552" s="50">
        <f t="shared" si="489"/>
        <v>6.1303997888421806</v>
      </c>
      <c r="AL552" s="50">
        <f t="shared" si="490"/>
        <v>1.406942620162851</v>
      </c>
      <c r="AM552" s="50" t="str">
        <f t="shared" si="471"/>
        <v>1-27.9051884970932i</v>
      </c>
      <c r="AN552" s="50">
        <f t="shared" si="491"/>
        <v>27.923100563123405</v>
      </c>
      <c r="AO552" s="50">
        <f t="shared" si="492"/>
        <v>-1.5349760252938098</v>
      </c>
      <c r="AP552" s="59" t="str">
        <f t="shared" si="493"/>
        <v>-0.257928450364167-2.0058845732831i</v>
      </c>
      <c r="AQ552" s="50">
        <f t="shared" si="494"/>
        <v>6.1173392705106169</v>
      </c>
      <c r="AR552" s="62">
        <f t="shared" si="495"/>
        <v>-97.327221686647945</v>
      </c>
      <c r="AS552" s="32" t="str">
        <f t="shared" si="472"/>
        <v>-0.0000166666666666667</v>
      </c>
      <c r="AT552" s="32" t="str">
        <f t="shared" si="473"/>
        <v>0.0467367797501181i</v>
      </c>
      <c r="AU552" s="32">
        <f t="shared" si="496"/>
        <v>4.6736779750118099E-2</v>
      </c>
      <c r="AV552" s="32">
        <f t="shared" si="497"/>
        <v>1.5707963267948966</v>
      </c>
      <c r="AW552" s="32" t="str">
        <f t="shared" si="474"/>
        <v>1+47.4968588671615i</v>
      </c>
      <c r="AX552" s="32">
        <f t="shared" si="498"/>
        <v>47.507384712769216</v>
      </c>
      <c r="AY552" s="32">
        <f t="shared" si="499"/>
        <v>1.5497454129907859</v>
      </c>
      <c r="AZ552" s="32" t="str">
        <f t="shared" si="475"/>
        <v>1+1614.89320148349i</v>
      </c>
      <c r="BA552" s="32">
        <f t="shared" si="500"/>
        <v>1614.8935111014584</v>
      </c>
      <c r="BB552" s="32">
        <f t="shared" si="501"/>
        <v>1.5701770908780794</v>
      </c>
      <c r="BC552" s="59" t="str">
        <f t="shared" si="502"/>
        <v>-0.000247654684363506+0.0121194266733878i</v>
      </c>
      <c r="BD552" s="50">
        <f t="shared" si="503"/>
        <v>-38.328545388464711</v>
      </c>
      <c r="BE552" s="62">
        <f t="shared" si="504"/>
        <v>91.170648911312682</v>
      </c>
      <c r="BF552" s="59" t="str">
        <f t="shared" si="505"/>
        <v>-0.000228584080006542-0.0000525405928690589i</v>
      </c>
      <c r="BG552" s="65">
        <f t="shared" si="506"/>
        <v>-72.595489166376154</v>
      </c>
      <c r="BH552" s="62">
        <f t="shared" si="507"/>
        <v>-167.05526926439674</v>
      </c>
      <c r="BI552" s="59" t="str">
        <f t="shared" si="460"/>
        <v>0.0243740481901476-0.00262917823030301i</v>
      </c>
      <c r="BJ552" s="65">
        <f t="shared" si="508"/>
        <v>-32.211206117954099</v>
      </c>
      <c r="BK552" s="62">
        <f t="shared" si="461"/>
        <v>-6.1565727753352455</v>
      </c>
      <c r="BL552" s="50">
        <f t="shared" si="509"/>
        <v>-72.595489166376154</v>
      </c>
      <c r="BM552" s="62">
        <f t="shared" si="510"/>
        <v>-167.05526926439674</v>
      </c>
    </row>
    <row r="553" spans="14:65" x14ac:dyDescent="0.3">
      <c r="N553" s="11">
        <v>35</v>
      </c>
      <c r="O553" s="51">
        <f t="shared" si="462"/>
        <v>2238721.1385683389</v>
      </c>
      <c r="P553" s="49" t="str">
        <f t="shared" si="463"/>
        <v>27.9103246607183</v>
      </c>
      <c r="Q553" s="18" t="str">
        <f t="shared" si="464"/>
        <v>1+6909.67188046884i</v>
      </c>
      <c r="R553" s="18">
        <f t="shared" si="476"/>
        <v>6909.671952831176</v>
      </c>
      <c r="S553" s="18">
        <f t="shared" si="477"/>
        <v>1.5706516021234047</v>
      </c>
      <c r="T553" s="18" t="str">
        <f t="shared" si="465"/>
        <v>1+6.18917189647896i</v>
      </c>
      <c r="U553" s="18">
        <f t="shared" si="478"/>
        <v>6.2694376752755883</v>
      </c>
      <c r="V553" s="18">
        <f t="shared" si="479"/>
        <v>1.4106081892825137</v>
      </c>
      <c r="W553" s="32" t="str">
        <f t="shared" si="466"/>
        <v>1-81.6192702397617i</v>
      </c>
      <c r="X553" s="18">
        <f t="shared" si="480"/>
        <v>81.625396014177184</v>
      </c>
      <c r="Y553" s="18">
        <f t="shared" si="481"/>
        <v>-1.5585449312074251</v>
      </c>
      <c r="Z553" s="32" t="str">
        <f t="shared" si="467"/>
        <v>-102.551081327948+37.3236476711734i</v>
      </c>
      <c r="AA553" s="18">
        <f t="shared" si="482"/>
        <v>109.1319337179237</v>
      </c>
      <c r="AB553" s="18">
        <f t="shared" si="483"/>
        <v>2.7925431067284139</v>
      </c>
      <c r="AC553" s="67" t="str">
        <f t="shared" si="484"/>
        <v>-0.00378639439085398+0.0185589761363535i</v>
      </c>
      <c r="AD553" s="65">
        <f t="shared" si="485"/>
        <v>-34.45181001159397</v>
      </c>
      <c r="AE553" s="62">
        <f t="shared" si="486"/>
        <v>101.53120704176534</v>
      </c>
      <c r="AF553" s="50" t="str">
        <f t="shared" si="468"/>
        <v>79.1527877025864</v>
      </c>
      <c r="AG553" s="50" t="str">
        <f t="shared" si="469"/>
        <v>1+6855.69810071514i</v>
      </c>
      <c r="AH553" s="50">
        <f t="shared" si="487"/>
        <v>6855.6981736471726</v>
      </c>
      <c r="AI553" s="50">
        <f t="shared" si="488"/>
        <v>1.570650462729966</v>
      </c>
      <c r="AJ553" s="50" t="str">
        <f t="shared" si="470"/>
        <v>1+6.18917189647896i</v>
      </c>
      <c r="AK553" s="50">
        <f t="shared" si="489"/>
        <v>6.2694376752755883</v>
      </c>
      <c r="AL553" s="50">
        <f t="shared" si="490"/>
        <v>1.4106081892825137</v>
      </c>
      <c r="AM553" s="50" t="str">
        <f t="shared" si="471"/>
        <v>1-28.5551838373488i</v>
      </c>
      <c r="AN553" s="50">
        <f t="shared" si="491"/>
        <v>28.572688427671384</v>
      </c>
      <c r="AO553" s="50">
        <f t="shared" si="492"/>
        <v>-1.5357907212214674</v>
      </c>
      <c r="AP553" s="59" t="str">
        <f t="shared" si="493"/>
        <v>-0.257928529991064-2.05206172919519i</v>
      </c>
      <c r="AQ553" s="50">
        <f>20*LOG(IMABS(AP553))</f>
        <v>6.3118844114622972</v>
      </c>
      <c r="AR553" s="62">
        <f t="shared" si="495"/>
        <v>-97.164073353560539</v>
      </c>
      <c r="AS553" s="32" t="str">
        <f t="shared" si="472"/>
        <v>-0.0000166666666666667</v>
      </c>
      <c r="AT553" s="32" t="str">
        <f t="shared" si="473"/>
        <v>0.0478254192000648i</v>
      </c>
      <c r="AU553" s="32">
        <f t="shared" si="496"/>
        <v>4.7825419200064799E-2</v>
      </c>
      <c r="AV553" s="32">
        <f t="shared" si="497"/>
        <v>1.5707963267948966</v>
      </c>
      <c r="AW553" s="32" t="str">
        <f t="shared" si="474"/>
        <v>1+48.6032028341141i</v>
      </c>
      <c r="AX553" s="32">
        <f t="shared" si="498"/>
        <v>48.613489133511457</v>
      </c>
      <c r="AY553" s="32">
        <f t="shared" si="499"/>
        <v>1.5502244535356529</v>
      </c>
      <c r="AZ553" s="32" t="str">
        <f t="shared" si="475"/>
        <v>1+1652.50889635988i</v>
      </c>
      <c r="BA553" s="32">
        <f t="shared" si="500"/>
        <v>1652.5091989300845</v>
      </c>
      <c r="BB553" s="32">
        <f t="shared" si="501"/>
        <v>1.5701911864049491</v>
      </c>
      <c r="BC553" s="59" t="str">
        <f t="shared" si="502"/>
        <v>-0.000236513103930034+0.0118437840773984i</v>
      </c>
      <c r="BD553" s="50">
        <f t="shared" si="503"/>
        <v>-38.528458856922697</v>
      </c>
      <c r="BE553" s="62">
        <f t="shared" si="504"/>
        <v>91.144009524075813</v>
      </c>
      <c r="BF553" s="59" t="str">
        <f t="shared" si="505"/>
        <v>-0.000218912974166476-0.0000492346786489194i</v>
      </c>
      <c r="BG553" s="65">
        <f t="shared" si="506"/>
        <v>-72.980268868516674</v>
      </c>
      <c r="BH553" s="62">
        <f t="shared" si="507"/>
        <v>-167.32478343415883</v>
      </c>
      <c r="BI553" s="59" t="str">
        <f t="shared" si="460"/>
        <v>0.0243651795113009-0.00256951032758695i</v>
      </c>
      <c r="BJ553" s="65">
        <f t="shared" si="508"/>
        <v>-32.216574445460409</v>
      </c>
      <c r="BK553" s="62">
        <f t="shared" si="461"/>
        <v>-6.0200638294847204</v>
      </c>
      <c r="BL553" s="50">
        <f t="shared" si="509"/>
        <v>-72.980268868516674</v>
      </c>
      <c r="BM553" s="62">
        <f t="shared" si="510"/>
        <v>-167.32478343415883</v>
      </c>
    </row>
    <row r="554" spans="14:65" x14ac:dyDescent="0.3">
      <c r="N554" s="11">
        <v>36</v>
      </c>
      <c r="O554" s="51">
        <f t="shared" si="462"/>
        <v>2290867.6527677765</v>
      </c>
      <c r="P554" s="49" t="str">
        <f t="shared" si="463"/>
        <v>27.9103246607183</v>
      </c>
      <c r="Q554" s="18" t="str">
        <f t="shared" si="464"/>
        <v>1+7070.61881424319i</v>
      </c>
      <c r="R554" s="18">
        <f t="shared" si="476"/>
        <v>7070.6188849583586</v>
      </c>
      <c r="S554" s="18">
        <f t="shared" si="477"/>
        <v>1.5706548964590796</v>
      </c>
      <c r="T554" s="18" t="str">
        <f t="shared" si="465"/>
        <v>1+6.33333622968795i</v>
      </c>
      <c r="U554" s="18">
        <f t="shared" si="478"/>
        <v>6.4117975481356222</v>
      </c>
      <c r="V554" s="18">
        <f t="shared" si="479"/>
        <v>1.4141945202647188</v>
      </c>
      <c r="W554" s="32" t="str">
        <f t="shared" si="466"/>
        <v>1-83.5204272714178i</v>
      </c>
      <c r="X554" s="18">
        <f t="shared" si="480"/>
        <v>83.526413616293809</v>
      </c>
      <c r="Y554" s="18">
        <f t="shared" si="481"/>
        <v>-1.5588237800588902</v>
      </c>
      <c r="Z554" s="32" t="str">
        <f t="shared" si="467"/>
        <v>-107.431293440037+38.1930271082679i</v>
      </c>
      <c r="AA554" s="18">
        <f t="shared" si="482"/>
        <v>114.01837628159868</v>
      </c>
      <c r="AB554" s="18">
        <f t="shared" si="483"/>
        <v>2.8000165487285655</v>
      </c>
      <c r="AC554" s="67" t="str">
        <f t="shared" si="484"/>
        <v>-0.00363062819251981+0.0181821921233499i</v>
      </c>
      <c r="AD554" s="65">
        <f t="shared" si="485"/>
        <v>-34.637275139212093</v>
      </c>
      <c r="AE554" s="62">
        <f t="shared" si="486"/>
        <v>101.29232637209667</v>
      </c>
      <c r="AF554" s="50" t="str">
        <f t="shared" si="468"/>
        <v>79.1527877025864</v>
      </c>
      <c r="AG554" s="50" t="str">
        <f t="shared" si="469"/>
        <v>1+7015.38782365432i</v>
      </c>
      <c r="AH554" s="50">
        <f t="shared" si="487"/>
        <v>7015.3878949262171</v>
      </c>
      <c r="AI554" s="50">
        <f t="shared" si="488"/>
        <v>1.5706537830014009</v>
      </c>
      <c r="AJ554" s="50" t="str">
        <f t="shared" si="470"/>
        <v>1+6.33333622968795i</v>
      </c>
      <c r="AK554" s="50">
        <f t="shared" si="489"/>
        <v>6.4117975481356222</v>
      </c>
      <c r="AL554" s="50">
        <f t="shared" si="490"/>
        <v>1.4141945202647188</v>
      </c>
      <c r="AM554" s="50" t="str">
        <f t="shared" si="471"/>
        <v>1-29.2203195140479i</v>
      </c>
      <c r="AN554" s="50">
        <f t="shared" si="491"/>
        <v>29.237425887089458</v>
      </c>
      <c r="AO554" s="50">
        <f t="shared" si="492"/>
        <v>-1.5365869173284485</v>
      </c>
      <c r="AP554" s="59" t="str">
        <f t="shared" si="493"/>
        <v>-0.257928606034162-2.09932691539735i</v>
      </c>
      <c r="AQ554" s="50">
        <f t="shared" si="494"/>
        <v>6.5066692197574358</v>
      </c>
      <c r="AR554" s="62">
        <f t="shared" si="495"/>
        <v>-97.004400638478003</v>
      </c>
      <c r="AS554" s="32" t="str">
        <f t="shared" si="472"/>
        <v>-0.0000166666666666667</v>
      </c>
      <c r="AT554" s="32" t="str">
        <f t="shared" si="473"/>
        <v>0.0489394163203158i</v>
      </c>
      <c r="AU554" s="32">
        <f t="shared" si="496"/>
        <v>4.8939416320315801E-2</v>
      </c>
      <c r="AV554" s="32">
        <f t="shared" si="497"/>
        <v>1.5707963267948966</v>
      </c>
      <c r="AW554" s="32" t="str">
        <f t="shared" si="474"/>
        <v>1+49.7353168625494i</v>
      </c>
      <c r="AX554" s="32">
        <f t="shared" si="498"/>
        <v>49.745369065051584</v>
      </c>
      <c r="AY554" s="32">
        <f t="shared" si="499"/>
        <v>1.5506925989112488</v>
      </c>
      <c r="AZ554" s="32" t="str">
        <f t="shared" si="475"/>
        <v>1+1691.00077332668i</v>
      </c>
      <c r="BA554" s="32">
        <f t="shared" si="500"/>
        <v>1691.0010690095469</v>
      </c>
      <c r="BB554" s="32">
        <f t="shared" si="501"/>
        <v>1.5702049610786872</v>
      </c>
      <c r="BC554" s="59" t="str">
        <f t="shared" si="502"/>
        <v>-0.000225872562389019+0.0115744005807724i</v>
      </c>
      <c r="BD554" s="50">
        <f t="shared" si="503"/>
        <v>-38.728376218329366</v>
      </c>
      <c r="BE554" s="62">
        <f t="shared" si="504"/>
        <v>91.117976000524948</v>
      </c>
      <c r="BF554" s="59" t="str">
        <f t="shared" si="505"/>
        <v>-0.00020962791577929-0.0000461292033848204i</v>
      </c>
      <c r="BG554" s="65">
        <f t="shared" si="506"/>
        <v>-73.365651357541466</v>
      </c>
      <c r="BH554" s="62">
        <f t="shared" si="507"/>
        <v>-167.58969762737837</v>
      </c>
      <c r="BI554" s="59" t="str">
        <f t="shared" si="460"/>
        <v>0.0243567096639646-0.00251118865780659i</v>
      </c>
      <c r="BJ554" s="65">
        <f t="shared" si="508"/>
        <v>-32.221706998571925</v>
      </c>
      <c r="BK554" s="62">
        <f t="shared" si="461"/>
        <v>-5.8864246379530663</v>
      </c>
      <c r="BL554" s="50">
        <f t="shared" si="509"/>
        <v>-73.365651357541466</v>
      </c>
      <c r="BM554" s="62">
        <f t="shared" si="510"/>
        <v>-167.58969762737837</v>
      </c>
    </row>
    <row r="555" spans="14:65" x14ac:dyDescent="0.3">
      <c r="N555" s="11">
        <v>37</v>
      </c>
      <c r="O555" s="51">
        <f t="shared" si="462"/>
        <v>2344228.8153199251</v>
      </c>
      <c r="P555" s="49" t="str">
        <f t="shared" si="463"/>
        <v>27.9103246607183</v>
      </c>
      <c r="Q555" s="18" t="str">
        <f t="shared" si="464"/>
        <v>1+7235.31468370352i</v>
      </c>
      <c r="R555" s="18">
        <f t="shared" si="476"/>
        <v>7235.3147528090149</v>
      </c>
      <c r="S555" s="18">
        <f t="shared" si="477"/>
        <v>1.5706581158065225</v>
      </c>
      <c r="T555" s="18" t="str">
        <f t="shared" si="465"/>
        <v>1+6.4808585815975i</v>
      </c>
      <c r="U555" s="18">
        <f t="shared" si="478"/>
        <v>6.5575550287180935</v>
      </c>
      <c r="V555" s="18">
        <f t="shared" si="479"/>
        <v>1.4177031454288624</v>
      </c>
      <c r="W555" s="32" t="str">
        <f t="shared" si="466"/>
        <v>1-85.4658679391363i</v>
      </c>
      <c r="X555" s="18">
        <f t="shared" si="480"/>
        <v>85.471718027601909</v>
      </c>
      <c r="Y555" s="18">
        <f t="shared" si="481"/>
        <v>-1.5590962833347788</v>
      </c>
      <c r="Z555" s="32" t="str">
        <f t="shared" si="467"/>
        <v>-112.541502863147+39.0826569938794i</v>
      </c>
      <c r="AA555" s="18">
        <f t="shared" si="482"/>
        <v>119.13456234190376</v>
      </c>
      <c r="AB555" s="18">
        <f t="shared" si="483"/>
        <v>2.807349044402363</v>
      </c>
      <c r="AC555" s="67" t="str">
        <f t="shared" si="484"/>
        <v>-0.00348070079883033+0.0178113069016663i</v>
      </c>
      <c r="AD555" s="65">
        <f t="shared" si="485"/>
        <v>-34.823318734186458</v>
      </c>
      <c r="AE555" s="62">
        <f t="shared" si="486"/>
        <v>101.05743698785584</v>
      </c>
      <c r="AF555" s="50" t="str">
        <f t="shared" si="468"/>
        <v>79.1527877025864</v>
      </c>
      <c r="AG555" s="50" t="str">
        <f t="shared" si="469"/>
        <v>1+7178.79719807721i</v>
      </c>
      <c r="AH555" s="50">
        <f t="shared" si="487"/>
        <v>7178.7972677267599</v>
      </c>
      <c r="AI555" s="50">
        <f t="shared" si="488"/>
        <v>1.570657027694234</v>
      </c>
      <c r="AJ555" s="50" t="str">
        <f t="shared" si="470"/>
        <v>1+6.4808585815975i</v>
      </c>
      <c r="AK555" s="50">
        <f t="shared" si="489"/>
        <v>6.5575550287180935</v>
      </c>
      <c r="AL555" s="50">
        <f t="shared" si="490"/>
        <v>1.4177031454288624</v>
      </c>
      <c r="AM555" s="50" t="str">
        <f t="shared" si="471"/>
        <v>1-29.9009481909298i</v>
      </c>
      <c r="AN555" s="50">
        <f t="shared" si="491"/>
        <v>29.917665395492811</v>
      </c>
      <c r="AO555" s="50">
        <f t="shared" si="492"/>
        <v>-1.5373650317283112</v>
      </c>
      <c r="AP555" s="59" t="str">
        <f t="shared" si="493"/>
        <v>-0.257928678654755-2.14770519251694i</v>
      </c>
      <c r="AQ555" s="50">
        <f t="shared" si="494"/>
        <v>6.7016834103963294</v>
      </c>
      <c r="AR555" s="62">
        <f t="shared" si="495"/>
        <v>-96.848139802974785</v>
      </c>
      <c r="AS555" s="32" t="str">
        <f t="shared" si="472"/>
        <v>-0.0000166666666666667</v>
      </c>
      <c r="AT555" s="32" t="str">
        <f t="shared" si="473"/>
        <v>0.0500793617668895i</v>
      </c>
      <c r="AU555" s="32">
        <f t="shared" si="496"/>
        <v>5.0079361766889499E-2</v>
      </c>
      <c r="AV555" s="32">
        <f t="shared" si="497"/>
        <v>1.5707963267948966</v>
      </c>
      <c r="AW555" s="32" t="str">
        <f t="shared" si="474"/>
        <v>1+50.8938012143097i</v>
      </c>
      <c r="AX555" s="32">
        <f t="shared" si="498"/>
        <v>50.903624645418631</v>
      </c>
      <c r="AY555" s="32">
        <f t="shared" si="499"/>
        <v>1.5511500965131872</v>
      </c>
      <c r="AZ555" s="32" t="str">
        <f t="shared" si="475"/>
        <v>1+1730.38924128653i</v>
      </c>
      <c r="BA555" s="32">
        <f t="shared" si="500"/>
        <v>1730.3895302388341</v>
      </c>
      <c r="BB555" s="32">
        <f t="shared" si="501"/>
        <v>1.5702184222027877</v>
      </c>
      <c r="BC555" s="59" t="str">
        <f t="shared" si="502"/>
        <v>-0.000215710545754574+0.0113111347287922i</v>
      </c>
      <c r="BD555" s="50">
        <f t="shared" si="503"/>
        <v>-38.928297297614968</v>
      </c>
      <c r="BE555" s="62">
        <f t="shared" si="504"/>
        <v>91.092534584394983</v>
      </c>
      <c r="BF555" s="59" t="str">
        <f t="shared" si="505"/>
        <v>-0.00020071526819169-0.0000432127624185452i</v>
      </c>
      <c r="BG555" s="65">
        <f t="shared" si="506"/>
        <v>-73.751616031801419</v>
      </c>
      <c r="BH555" s="62">
        <f t="shared" si="507"/>
        <v>-167.85002842774918</v>
      </c>
      <c r="BI555" s="59" t="str">
        <f t="shared" si="460"/>
        <v>0.0243486207263241-0.00245418337548552i</v>
      </c>
      <c r="BJ555" s="65">
        <f t="shared" si="508"/>
        <v>-32.226613887218626</v>
      </c>
      <c r="BK555" s="62">
        <f t="shared" si="461"/>
        <v>-5.7556052185797881</v>
      </c>
      <c r="BL555" s="50">
        <f t="shared" si="509"/>
        <v>-73.751616031801419</v>
      </c>
      <c r="BM555" s="62">
        <f t="shared" si="510"/>
        <v>-167.85002842774918</v>
      </c>
    </row>
    <row r="556" spans="14:65" x14ac:dyDescent="0.3">
      <c r="N556" s="11">
        <v>38</v>
      </c>
      <c r="O556" s="51">
        <f t="shared" si="462"/>
        <v>2398832.9190194933</v>
      </c>
      <c r="P556" s="49" t="str">
        <f t="shared" si="463"/>
        <v>27.9103246607183</v>
      </c>
      <c r="Q556" s="18" t="str">
        <f t="shared" si="464"/>
        <v>1+7403.84681277983i</v>
      </c>
      <c r="R556" s="18">
        <f t="shared" si="476"/>
        <v>7403.8468803122905</v>
      </c>
      <c r="S556" s="18">
        <f t="shared" si="477"/>
        <v>1.5706612618726736</v>
      </c>
      <c r="T556" s="18" t="str">
        <f t="shared" si="465"/>
        <v>1+6.63181717051129i</v>
      </c>
      <c r="U556" s="18">
        <f t="shared" si="478"/>
        <v>6.7067875307846432</v>
      </c>
      <c r="V556" s="18">
        <f t="shared" si="479"/>
        <v>1.4211355793751692</v>
      </c>
      <c r="W556" s="32" t="str">
        <f t="shared" si="466"/>
        <v>1-87.4566237413103i</v>
      </c>
      <c r="X556" s="18">
        <f t="shared" si="480"/>
        <v>87.46234067431034</v>
      </c>
      <c r="Y556" s="18">
        <f t="shared" si="481"/>
        <v>-1.5593625853579578</v>
      </c>
      <c r="Z556" s="32" t="str">
        <f t="shared" si="467"/>
        <v>-117.892549036603+39.9930090215491i</v>
      </c>
      <c r="AA556" s="18">
        <f t="shared" si="482"/>
        <v>124.49134061831589</v>
      </c>
      <c r="AB556" s="18">
        <f t="shared" si="483"/>
        <v>2.8145420889966908</v>
      </c>
      <c r="AC556" s="67" t="str">
        <f t="shared" si="484"/>
        <v>-0.0033364387274456+0.0174463289195795i</v>
      </c>
      <c r="AD556" s="65">
        <f t="shared" si="485"/>
        <v>-35.009920797986581</v>
      </c>
      <c r="AE556" s="62">
        <f t="shared" si="486"/>
        <v>100.82653163101577</v>
      </c>
      <c r="AF556" s="50" t="str">
        <f t="shared" si="468"/>
        <v>79.1527877025864</v>
      </c>
      <c r="AG556" s="50" t="str">
        <f t="shared" si="469"/>
        <v>1+7346.0128657971i</v>
      </c>
      <c r="AH556" s="50">
        <f t="shared" si="487"/>
        <v>7346.0129338612323</v>
      </c>
      <c r="AI556" s="50">
        <f t="shared" si="488"/>
        <v>1.5706601985288438</v>
      </c>
      <c r="AJ556" s="50" t="str">
        <f t="shared" si="470"/>
        <v>1+6.63181717051129i</v>
      </c>
      <c r="AK556" s="50">
        <f t="shared" si="489"/>
        <v>6.7067875307846432</v>
      </c>
      <c r="AL556" s="50">
        <f t="shared" si="490"/>
        <v>1.4211355793751692</v>
      </c>
      <c r="AM556" s="50" t="str">
        <f t="shared" si="471"/>
        <v>1-30.5974307463283i</v>
      </c>
      <c r="AN556" s="50">
        <f t="shared" si="491"/>
        <v>30.613767626287952</v>
      </c>
      <c r="AO556" s="50">
        <f t="shared" si="492"/>
        <v>-1.5381254732165057</v>
      </c>
      <c r="AP556" s="59" t="str">
        <f t="shared" si="493"/>
        <v>-0.257928748006885-2.19722221135691i</v>
      </c>
      <c r="AQ556" s="50">
        <f t="shared" si="494"/>
        <v>6.8969171186659475</v>
      </c>
      <c r="AR556" s="62">
        <f t="shared" si="495"/>
        <v>-96.695227587674907</v>
      </c>
      <c r="AS556" s="32" t="str">
        <f t="shared" si="472"/>
        <v>-0.0000166666666666667</v>
      </c>
      <c r="AT556" s="32" t="str">
        <f t="shared" si="473"/>
        <v>0.0512458599539508i</v>
      </c>
      <c r="AU556" s="32">
        <f t="shared" si="496"/>
        <v>5.1245859953950798E-2</v>
      </c>
      <c r="AV556" s="32">
        <f t="shared" si="497"/>
        <v>1.5707963267948966</v>
      </c>
      <c r="AW556" s="32" t="str">
        <f t="shared" si="474"/>
        <v>1+52.0792701331327i</v>
      </c>
      <c r="AX556" s="32">
        <f t="shared" si="498"/>
        <v>52.088869997340204</v>
      </c>
      <c r="AY556" s="32">
        <f t="shared" si="499"/>
        <v>1.5515971881462645</v>
      </c>
      <c r="AZ556" s="32" t="str">
        <f t="shared" si="475"/>
        <v>1+1770.69518452651i</v>
      </c>
      <c r="BA556" s="32">
        <f t="shared" si="500"/>
        <v>1770.6954669014576</v>
      </c>
      <c r="BB556" s="32">
        <f t="shared" si="501"/>
        <v>1.5702315769144968</v>
      </c>
      <c r="BC556" s="59" t="str">
        <f t="shared" si="502"/>
        <v>-0.000206005550130119+0.0110538482186755i</v>
      </c>
      <c r="BD556" s="50">
        <f t="shared" si="503"/>
        <v>-39.128221927576668</v>
      </c>
      <c r="BE556" s="62">
        <f t="shared" si="504"/>
        <v>91.067671830225692</v>
      </c>
      <c r="BF556" s="59" t="str">
        <f t="shared" si="505"/>
        <v>-0.000192161746954598-0.0000404745278709235i</v>
      </c>
      <c r="BG556" s="65">
        <f t="shared" si="506"/>
        <v>-74.138142725563242</v>
      </c>
      <c r="BH556" s="62">
        <f t="shared" si="507"/>
        <v>-168.10579653875854</v>
      </c>
      <c r="BI556" s="59" t="str">
        <f t="shared" si="460"/>
        <v>0.0243408955806694-0.00239846526129241i</v>
      </c>
      <c r="BJ556" s="65">
        <f t="shared" si="508"/>
        <v>-32.231304808910707</v>
      </c>
      <c r="BK556" s="62">
        <f t="shared" si="461"/>
        <v>-5.6275557574491888</v>
      </c>
      <c r="BL556" s="50">
        <f t="shared" si="509"/>
        <v>-74.138142725563242</v>
      </c>
      <c r="BM556" s="62">
        <f t="shared" si="510"/>
        <v>-168.10579653875854</v>
      </c>
    </row>
    <row r="557" spans="14:65" x14ac:dyDescent="0.3">
      <c r="N557" s="11">
        <v>39</v>
      </c>
      <c r="O557" s="51">
        <f t="shared" si="462"/>
        <v>2454708.915685033</v>
      </c>
      <c r="P557" s="49" t="str">
        <f t="shared" si="463"/>
        <v>27.9103246607183</v>
      </c>
      <c r="Q557" s="18" t="str">
        <f t="shared" si="464"/>
        <v>1+7576.30455943778i</v>
      </c>
      <c r="R557" s="18">
        <f t="shared" si="476"/>
        <v>7576.3046254330156</v>
      </c>
      <c r="S557" s="18">
        <f t="shared" si="477"/>
        <v>1.5706643363256187</v>
      </c>
      <c r="T557" s="18" t="str">
        <f t="shared" si="465"/>
        <v>1+6.78629203667136i</v>
      </c>
      <c r="U557" s="18">
        <f t="shared" si="478"/>
        <v>6.8595743021698583</v>
      </c>
      <c r="V557" s="18">
        <f t="shared" si="479"/>
        <v>1.424493318342178</v>
      </c>
      <c r="W557" s="32" t="str">
        <f t="shared" si="466"/>
        <v>1-89.4937502030173i</v>
      </c>
      <c r="X557" s="18">
        <f t="shared" si="480"/>
        <v>89.49933701095253</v>
      </c>
      <c r="Y557" s="18">
        <f t="shared" si="481"/>
        <v>-1.5596228271741155</v>
      </c>
      <c r="Z557" s="32" t="str">
        <f t="shared" si="467"/>
        <v>-123.495782246768+40.9245658719721i</v>
      </c>
      <c r="AA557" s="18">
        <f t="shared" si="482"/>
        <v>130.10007042484841</v>
      </c>
      <c r="AB557" s="18">
        <f t="shared" si="483"/>
        <v>2.8215972352678587</v>
      </c>
      <c r="AC557" s="67" t="str">
        <f t="shared" si="484"/>
        <v>-0.00319767002342422+0.0170872602498408i</v>
      </c>
      <c r="AD557" s="65">
        <f t="shared" si="485"/>
        <v>-35.197061774640197</v>
      </c>
      <c r="AE557" s="62">
        <f t="shared" si="486"/>
        <v>100.5995988864499</v>
      </c>
      <c r="AF557" s="50" t="str">
        <f t="shared" si="468"/>
        <v>79.1527877025864</v>
      </c>
      <c r="AG557" s="50" t="str">
        <f t="shared" si="469"/>
        <v>1+7517.12348677441i</v>
      </c>
      <c r="AH557" s="50">
        <f t="shared" si="487"/>
        <v>7517.1235532892142</v>
      </c>
      <c r="AI557" s="50">
        <f t="shared" si="488"/>
        <v>1.5706632971864487</v>
      </c>
      <c r="AJ557" s="50" t="str">
        <f t="shared" si="470"/>
        <v>1+6.78629203667136i</v>
      </c>
      <c r="AK557" s="50">
        <f t="shared" si="489"/>
        <v>6.8595743021698583</v>
      </c>
      <c r="AL557" s="50">
        <f t="shared" si="490"/>
        <v>1.424493318342178</v>
      </c>
      <c r="AM557" s="50" t="str">
        <f t="shared" si="471"/>
        <v>1-31.3101364645133i</v>
      </c>
      <c r="AN557" s="50">
        <f t="shared" si="491"/>
        <v>31.326101663412341</v>
      </c>
      <c r="AO557" s="50">
        <f t="shared" si="492"/>
        <v>-1.538868641469233</v>
      </c>
      <c r="AP557" s="59" t="str">
        <f t="shared" si="493"/>
        <v>-0.257928814237653-2.24790422649617i</v>
      </c>
      <c r="AQ557" s="50">
        <f t="shared" si="494"/>
        <v>7.0923608847807547</v>
      </c>
      <c r="AR557" s="62">
        <f t="shared" si="495"/>
        <v>-96.545601260510949</v>
      </c>
      <c r="AS557" s="32" t="str">
        <f t="shared" si="472"/>
        <v>-0.0000166666666666667</v>
      </c>
      <c r="AT557" s="32" t="str">
        <f t="shared" si="473"/>
        <v>0.0524395293742788i</v>
      </c>
      <c r="AU557" s="32">
        <f t="shared" si="496"/>
        <v>5.2439529374278801E-2</v>
      </c>
      <c r="AV557" s="32">
        <f t="shared" si="497"/>
        <v>1.5707963267948966</v>
      </c>
      <c r="AW557" s="32" t="str">
        <f t="shared" si="474"/>
        <v>1+53.2923521703309i</v>
      </c>
      <c r="AX557" s="32">
        <f t="shared" si="498"/>
        <v>53.301733553858945</v>
      </c>
      <c r="AY557" s="32">
        <f t="shared" si="499"/>
        <v>1.5520341101490156</v>
      </c>
      <c r="AZ557" s="32" t="str">
        <f t="shared" si="475"/>
        <v>1+1811.93997379125i</v>
      </c>
      <c r="BA557" s="32">
        <f t="shared" si="500"/>
        <v>1811.9402497385599</v>
      </c>
      <c r="BB557" s="32">
        <f t="shared" si="501"/>
        <v>1.5702444321885989</v>
      </c>
      <c r="BC557" s="59" t="str">
        <f t="shared" si="502"/>
        <v>-0.000196737036528705+0.010802405832354i</v>
      </c>
      <c r="BD557" s="50">
        <f t="shared" si="503"/>
        <v>-39.32814994852577</v>
      </c>
      <c r="BE557" s="62">
        <f t="shared" si="504"/>
        <v>91.043374596442192</v>
      </c>
      <c r="BF557" s="59" t="str">
        <f t="shared" si="505"/>
        <v>-0.000183954419657626-0.0000379042262549298i</v>
      </c>
      <c r="BG557" s="65">
        <f t="shared" si="506"/>
        <v>-74.525211723165953</v>
      </c>
      <c r="BH557" s="62">
        <f t="shared" si="507"/>
        <v>-168.35702651710793</v>
      </c>
      <c r="BI557" s="59" t="str">
        <f t="shared" si="460"/>
        <v>0.0243335178774239-0.00234400571133177i</v>
      </c>
      <c r="BJ557" s="65">
        <f t="shared" si="508"/>
        <v>-32.235789063745017</v>
      </c>
      <c r="BK557" s="62">
        <f t="shared" si="461"/>
        <v>-5.5022266640687771</v>
      </c>
      <c r="BL557" s="50">
        <f t="shared" si="509"/>
        <v>-74.525211723165953</v>
      </c>
      <c r="BM557" s="62">
        <f t="shared" si="510"/>
        <v>-168.35702651710793</v>
      </c>
    </row>
    <row r="558" spans="14:65" x14ac:dyDescent="0.3">
      <c r="N558" s="11">
        <v>40</v>
      </c>
      <c r="O558" s="51">
        <f t="shared" si="462"/>
        <v>2511886.431509587</v>
      </c>
      <c r="P558" s="49" t="str">
        <f t="shared" si="463"/>
        <v>27.9103246607183</v>
      </c>
      <c r="Q558" s="18" t="str">
        <f t="shared" si="464"/>
        <v>1+7752.77936305744i</v>
      </c>
      <c r="R558" s="18">
        <f t="shared" si="476"/>
        <v>7752.7794275504384</v>
      </c>
      <c r="S558" s="18">
        <f t="shared" si="477"/>
        <v>1.570667340795473</v>
      </c>
      <c r="T558" s="18" t="str">
        <f t="shared" si="465"/>
        <v>1+6.94436508469652i</v>
      </c>
      <c r="U558" s="18">
        <f t="shared" si="478"/>
        <v>7.0159964673275104</v>
      </c>
      <c r="V558" s="18">
        <f t="shared" si="479"/>
        <v>1.4277778396384009</v>
      </c>
      <c r="W558" s="32" t="str">
        <f t="shared" si="466"/>
        <v>1-91.5783274356722i</v>
      </c>
      <c r="X558" s="18">
        <f t="shared" si="480"/>
        <v>91.583787080002267</v>
      </c>
      <c r="Y558" s="18">
        <f t="shared" si="481"/>
        <v>-1.5598771466258261</v>
      </c>
      <c r="Z558" s="32" t="str">
        <f t="shared" si="467"/>
        <v>-129.36308770252+41.8778214689213i</v>
      </c>
      <c r="AA558" s="18">
        <f t="shared" si="482"/>
        <v>135.97264574506423</v>
      </c>
      <c r="AB558" s="18">
        <f t="shared" si="483"/>
        <v>2.8285160881855616</v>
      </c>
      <c r="AC558" s="67" t="str">
        <f t="shared" si="484"/>
        <v>-0.00306422457025546+0.0167340968589213i</v>
      </c>
      <c r="AD558" s="65">
        <f t="shared" si="485"/>
        <v>-35.384722562645898</v>
      </c>
      <c r="AE558" s="62">
        <f t="shared" si="486"/>
        <v>100.37662344851466</v>
      </c>
      <c r="AF558" s="50" t="str">
        <f t="shared" si="468"/>
        <v>79.1527877025864</v>
      </c>
      <c r="AG558" s="50" t="str">
        <f t="shared" si="469"/>
        <v>1+7692.21978612536i</v>
      </c>
      <c r="AH558" s="50">
        <f t="shared" si="487"/>
        <v>7692.2198511261013</v>
      </c>
      <c r="AI558" s="50">
        <f t="shared" si="488"/>
        <v>1.5706663253099975</v>
      </c>
      <c r="AJ558" s="50" t="str">
        <f t="shared" si="470"/>
        <v>1+6.94436508469652i</v>
      </c>
      <c r="AK558" s="50">
        <f t="shared" si="489"/>
        <v>7.0159964673275104</v>
      </c>
      <c r="AL558" s="50">
        <f t="shared" si="490"/>
        <v>1.4277778396384009</v>
      </c>
      <c r="AM558" s="50" t="str">
        <f t="shared" si="471"/>
        <v>1-32.0394432314907i</v>
      </c>
      <c r="AN558" s="50">
        <f t="shared" si="491"/>
        <v>32.05504519703436</v>
      </c>
      <c r="AO558" s="50">
        <f t="shared" si="492"/>
        <v>-1.5395949272386509</v>
      </c>
      <c r="AP558" s="59" t="str">
        <f t="shared" si="493"/>
        <v>-0.257928877487547-2.29977811021006i</v>
      </c>
      <c r="AQ558" s="50">
        <f t="shared" si="494"/>
        <v>7.2880056389256689</v>
      </c>
      <c r="AR558" s="62">
        <f t="shared" si="495"/>
        <v>-96.399198660523851</v>
      </c>
      <c r="AS558" s="32" t="str">
        <f t="shared" si="472"/>
        <v>-0.0000166666666666667</v>
      </c>
      <c r="AT558" s="32" t="str">
        <f t="shared" si="473"/>
        <v>0.0536610029272003i</v>
      </c>
      <c r="AU558" s="32">
        <f t="shared" si="496"/>
        <v>5.3661002927200302E-2</v>
      </c>
      <c r="AV558" s="32">
        <f t="shared" si="497"/>
        <v>1.5707963267948966</v>
      </c>
      <c r="AW558" s="32" t="str">
        <f t="shared" si="474"/>
        <v>1+54.5336905180579i</v>
      </c>
      <c r="AX558" s="32">
        <f t="shared" si="498"/>
        <v>54.54285839153755</v>
      </c>
      <c r="AY558" s="32">
        <f t="shared" si="499"/>
        <v>1.5524610935156173</v>
      </c>
      <c r="AZ558" s="32" t="str">
        <f t="shared" si="475"/>
        <v>1+1854.14547761397i</v>
      </c>
      <c r="BA558" s="32">
        <f t="shared" si="500"/>
        <v>1854.1457472799532</v>
      </c>
      <c r="BB558" s="32">
        <f t="shared" si="501"/>
        <v>1.5702569948411131</v>
      </c>
      <c r="BC558" s="59" t="str">
        <f t="shared" si="502"/>
        <v>-0.000187885387701997+0.0105566753704821i</v>
      </c>
      <c r="BD558" s="50">
        <f t="shared" si="503"/>
        <v>-39.528081207950187</v>
      </c>
      <c r="BE558" s="62">
        <f t="shared" si="504"/>
        <v>91.019630038582179</v>
      </c>
      <c r="BF558" s="59" t="str">
        <f t="shared" si="505"/>
        <v>-0.000176080705136448-0.0000354921163266231i</v>
      </c>
      <c r="BG558" s="65">
        <f t="shared" si="506"/>
        <v>-74.912803770596085</v>
      </c>
      <c r="BH558" s="62">
        <f t="shared" si="507"/>
        <v>-168.60374651290314</v>
      </c>
      <c r="BI558" s="59" t="str">
        <f t="shared" si="460"/>
        <v>0.0243264720007747-0.0022907767264435i</v>
      </c>
      <c r="BJ558" s="65">
        <f t="shared" si="508"/>
        <v>-32.240075569024519</v>
      </c>
      <c r="BK558" s="62">
        <f t="shared" si="461"/>
        <v>-5.3795686219416776</v>
      </c>
      <c r="BL558" s="50">
        <f t="shared" si="509"/>
        <v>-74.912803770596085</v>
      </c>
      <c r="BM558" s="62">
        <f t="shared" si="510"/>
        <v>-168.60374651290314</v>
      </c>
    </row>
    <row r="559" spans="14:65" x14ac:dyDescent="0.3">
      <c r="N559" s="11">
        <v>41</v>
      </c>
      <c r="O559" s="51">
        <f t="shared" si="462"/>
        <v>2570395.782768866</v>
      </c>
      <c r="P559" s="49" t="str">
        <f t="shared" si="463"/>
        <v>27.9103246607183</v>
      </c>
      <c r="Q559" s="18" t="str">
        <f t="shared" si="464"/>
        <v>1+7933.3647929155i</v>
      </c>
      <c r="R559" s="18">
        <f t="shared" si="476"/>
        <v>7933.364855940461</v>
      </c>
      <c r="S559" s="18">
        <f t="shared" si="477"/>
        <v>1.5706702768752463</v>
      </c>
      <c r="T559" s="18" t="str">
        <f t="shared" si="465"/>
        <v>1+7.10612012700908i</v>
      </c>
      <c r="U559" s="18">
        <f t="shared" si="478"/>
        <v>7.1761370708399621</v>
      </c>
      <c r="V559" s="18">
        <f t="shared" si="479"/>
        <v>1.4309906011435209</v>
      </c>
      <c r="W559" s="32" t="str">
        <f t="shared" si="466"/>
        <v>1-93.7114607097155i</v>
      </c>
      <c r="X559" s="18">
        <f t="shared" si="480"/>
        <v>93.716796084525583</v>
      </c>
      <c r="Y559" s="18">
        <f t="shared" si="481"/>
        <v>-1.5601256784249617</v>
      </c>
      <c r="Z559" s="32" t="str">
        <f t="shared" si="467"/>
        <v>-135.506910745371+42.8532812411316i</v>
      </c>
      <c r="AA559" s="18">
        <f t="shared" si="482"/>
        <v>142.12152044249123</v>
      </c>
      <c r="AB559" s="18">
        <f t="shared" si="483"/>
        <v>2.8353002998392061</v>
      </c>
      <c r="AC559" s="67" t="str">
        <f t="shared" si="484"/>
        <v>-0.00293593437126857+0.0163868288838161i</v>
      </c>
      <c r="AD559" s="65">
        <f t="shared" si="485"/>
        <v>-35.572884524473551</v>
      </c>
      <c r="AE559" s="62">
        <f t="shared" si="486"/>
        <v>100.15758638011825</v>
      </c>
      <c r="AF559" s="50" t="str">
        <f t="shared" si="468"/>
        <v>79.1527877025864</v>
      </c>
      <c r="AG559" s="50" t="str">
        <f t="shared" si="469"/>
        <v>1+7871.39460222542i</v>
      </c>
      <c r="AH559" s="50">
        <f t="shared" si="487"/>
        <v>7871.3946657465649</v>
      </c>
      <c r="AI559" s="50">
        <f t="shared" si="488"/>
        <v>1.5706692845050414</v>
      </c>
      <c r="AJ559" s="50" t="str">
        <f t="shared" si="470"/>
        <v>1+7.10612012700908i</v>
      </c>
      <c r="AK559" s="50">
        <f t="shared" si="489"/>
        <v>7.1761370708399621</v>
      </c>
      <c r="AL559" s="50">
        <f t="shared" si="490"/>
        <v>1.4309906011435209</v>
      </c>
      <c r="AM559" s="50" t="str">
        <f t="shared" si="471"/>
        <v>1-32.7857377353614i</v>
      </c>
      <c r="AN559" s="50">
        <f t="shared" si="491"/>
        <v>32.800984723814324</v>
      </c>
      <c r="AO559" s="50">
        <f t="shared" si="492"/>
        <v>-1.5403047125444616</v>
      </c>
      <c r="AP559" s="59" t="str">
        <f t="shared" si="493"/>
        <v>-0.257928937890725-2.35287136671842i</v>
      </c>
      <c r="AQ559" s="50">
        <f t="shared" si="494"/>
        <v>7.4838426867059358</v>
      </c>
      <c r="AR559" s="62">
        <f t="shared" si="495"/>
        <v>-96.25595823746842</v>
      </c>
      <c r="AS559" s="32" t="str">
        <f t="shared" si="472"/>
        <v>-0.0000166666666666667</v>
      </c>
      <c r="AT559" s="32" t="str">
        <f t="shared" si="473"/>
        <v>0.054910928254161i</v>
      </c>
      <c r="AU559" s="32">
        <f t="shared" si="496"/>
        <v>5.4910928254161002E-2</v>
      </c>
      <c r="AV559" s="32">
        <f t="shared" si="497"/>
        <v>1.5707963267948966</v>
      </c>
      <c r="AW559" s="32" t="str">
        <f t="shared" si="474"/>
        <v>1+55.8039433503359i</v>
      </c>
      <c r="AX559" s="32">
        <f t="shared" si="498"/>
        <v>55.812902571426065</v>
      </c>
      <c r="AY559" s="32">
        <f t="shared" si="499"/>
        <v>1.5528783640151815</v>
      </c>
      <c r="AZ559" s="32" t="str">
        <f t="shared" si="475"/>
        <v>1+1897.33407391142i</v>
      </c>
      <c r="BA559" s="32">
        <f t="shared" si="500"/>
        <v>1897.3343374390574</v>
      </c>
      <c r="BB559" s="32">
        <f t="shared" si="501"/>
        <v>1.5702692715329085</v>
      </c>
      <c r="BC559" s="59" t="str">
        <f t="shared" si="502"/>
        <v>-0.000179431866889692+0.0103165275876659i</v>
      </c>
      <c r="BD559" s="50">
        <f t="shared" si="503"/>
        <v>-39.728015560192702</v>
      </c>
      <c r="BE559" s="62">
        <f t="shared" si="504"/>
        <v>90.996425602668097</v>
      </c>
      <c r="BF559" s="59" t="str">
        <f t="shared" si="505"/>
        <v>-0.000168528372068947-0.0000332289672357938i</v>
      </c>
      <c r="BG559" s="65">
        <f t="shared" si="506"/>
        <v>-75.300900084666239</v>
      </c>
      <c r="BH559" s="62">
        <f t="shared" si="507"/>
        <v>-168.84598801721367</v>
      </c>
      <c r="BI559" s="59" t="str">
        <f t="shared" si="460"/>
        <v>0.0243197430358304-0.00223875090152544i</v>
      </c>
      <c r="BJ559" s="65">
        <f t="shared" si="508"/>
        <v>-32.244172873486747</v>
      </c>
      <c r="BK559" s="62">
        <f t="shared" si="461"/>
        <v>-5.2595326348003182</v>
      </c>
      <c r="BL559" s="50">
        <f t="shared" si="509"/>
        <v>-75.300900084666239</v>
      </c>
      <c r="BM559" s="62">
        <f t="shared" si="510"/>
        <v>-168.84598801721367</v>
      </c>
    </row>
    <row r="560" spans="14:65" ht="15" thickBot="1" x14ac:dyDescent="0.35">
      <c r="N560" s="11">
        <v>42</v>
      </c>
      <c r="O560" s="51">
        <f t="shared" si="462"/>
        <v>2630267.9918953842</v>
      </c>
      <c r="P560" s="49" t="str">
        <f t="shared" si="463"/>
        <v>27.9103246607183</v>
      </c>
      <c r="Q560" s="18" t="str">
        <f t="shared" si="464"/>
        <v>1+8118.15659779728i</v>
      </c>
      <c r="R560" s="18">
        <f t="shared" si="476"/>
        <v>8118.1566593876169</v>
      </c>
      <c r="S560" s="18">
        <f t="shared" si="477"/>
        <v>1.5706731461216865</v>
      </c>
      <c r="T560" s="18" t="str">
        <f t="shared" si="465"/>
        <v>1+7.2716429282736i</v>
      </c>
      <c r="U560" s="18">
        <f t="shared" si="478"/>
        <v>7.3400811219162598</v>
      </c>
      <c r="V560" s="18">
        <f t="shared" si="479"/>
        <v>1.4341330408747162</v>
      </c>
      <c r="W560" s="32" t="str">
        <f t="shared" si="466"/>
        <v>1-95.894281040645i</v>
      </c>
      <c r="X560" s="18">
        <f t="shared" si="480"/>
        <v>95.899494974177031</v>
      </c>
      <c r="Y560" s="18">
        <f t="shared" si="481"/>
        <v>-1.5603685542234909</v>
      </c>
      <c r="Z560" s="32" t="str">
        <f t="shared" si="467"/>
        <v>-141.940283247714+43.8514623902862i</v>
      </c>
      <c r="AA560" s="18">
        <f t="shared" si="482"/>
        <v>148.55973465985986</v>
      </c>
      <c r="AB560" s="18">
        <f t="shared" si="483"/>
        <v>2.841951564550699</v>
      </c>
      <c r="AC560" s="60" t="str">
        <f t="shared" si="484"/>
        <v>-0.00281263380247097+0.0160454409140492i</v>
      </c>
      <c r="AD560" s="66">
        <f t="shared" si="485"/>
        <v>-35.761529493830807</v>
      </c>
      <c r="AE560" s="64">
        <f t="shared" si="486"/>
        <v>99.942465363784237</v>
      </c>
      <c r="AF560" s="50" t="str">
        <f t="shared" si="468"/>
        <v>79.1527877025864</v>
      </c>
      <c r="AG560" s="50" t="str">
        <f t="shared" si="469"/>
        <v>1+8054.74293593381i</v>
      </c>
      <c r="AH560" s="50">
        <f t="shared" si="487"/>
        <v>8054.7429980090383</v>
      </c>
      <c r="AI560" s="50">
        <f t="shared" si="488"/>
        <v>1.5706721763405846</v>
      </c>
      <c r="AJ560" s="50" t="str">
        <f t="shared" si="470"/>
        <v>1+7.2716429282736i</v>
      </c>
      <c r="AK560" s="50">
        <f t="shared" si="489"/>
        <v>7.3400811219162598</v>
      </c>
      <c r="AL560" s="50">
        <f t="shared" si="490"/>
        <v>1.4341330408747162</v>
      </c>
      <c r="AM560" s="50" t="str">
        <f t="shared" si="471"/>
        <v>1-33.54941567135i</v>
      </c>
      <c r="AN560" s="50">
        <f t="shared" si="491"/>
        <v>33.564315751837171</v>
      </c>
      <c r="AO560" s="50">
        <f t="shared" si="492"/>
        <v>-1.5409983708619017</v>
      </c>
      <c r="AP560" s="63" t="str">
        <f t="shared" si="493"/>
        <v>-0.257928995575315-2.40721214676865i</v>
      </c>
      <c r="AQ560" s="56">
        <f t="shared" si="494"/>
        <v>7.679863695005916</v>
      </c>
      <c r="AR560" s="64">
        <f t="shared" si="495"/>
        <v>-96.115819087481853</v>
      </c>
      <c r="AS560" s="32" t="str">
        <f t="shared" si="472"/>
        <v>-0.0000166666666666667</v>
      </c>
      <c r="AT560" s="32" t="str">
        <f t="shared" si="473"/>
        <v>0.0561899680821142i</v>
      </c>
      <c r="AU560" s="32">
        <f t="shared" si="496"/>
        <v>5.6189968082114197E-2</v>
      </c>
      <c r="AV560" s="32">
        <f t="shared" si="497"/>
        <v>1.5707963267948966</v>
      </c>
      <c r="AW560" s="32" t="str">
        <f t="shared" si="474"/>
        <v>1+57.1037841720308i</v>
      </c>
      <c r="AX560" s="32">
        <f t="shared" si="498"/>
        <v>57.112539487978246</v>
      </c>
      <c r="AY560" s="32">
        <f t="shared" si="499"/>
        <v>1.5532861423084943</v>
      </c>
      <c r="AZ560" s="32" t="str">
        <f t="shared" si="475"/>
        <v>1+1941.52866184905i</v>
      </c>
      <c r="BA560" s="32">
        <f t="shared" si="500"/>
        <v>1941.5289193780666</v>
      </c>
      <c r="BB560" s="32">
        <f t="shared" si="501"/>
        <v>1.5702812687732348</v>
      </c>
      <c r="BC560" s="63" t="str">
        <f t="shared" si="502"/>
        <v>-0.000171358578404912+0.010081836128905i</v>
      </c>
      <c r="BD560" s="56">
        <f t="shared" si="503"/>
        <v>-39.927952866142974</v>
      </c>
      <c r="BE560" s="64">
        <f t="shared" si="504"/>
        <v>90.97374901872071</v>
      </c>
      <c r="BF560" s="63" t="str">
        <f t="shared" si="505"/>
        <v>-0.000161285536981507-0.0000311060370320428i</v>
      </c>
      <c r="BG560" s="66">
        <f t="shared" si="506"/>
        <v>-75.689482359973766</v>
      </c>
      <c r="BH560" s="64">
        <f t="shared" si="507"/>
        <v>-169.08378561749504</v>
      </c>
      <c r="BI560" s="63" t="str">
        <f t="shared" si="460"/>
        <v>0.0243133167372423-0.00218790141489408i</v>
      </c>
      <c r="BJ560" s="66">
        <f t="shared" si="508"/>
        <v>-32.248089171137075</v>
      </c>
      <c r="BK560" s="64">
        <f t="shared" si="461"/>
        <v>-5.1420700687611554</v>
      </c>
      <c r="BL560" s="56">
        <f t="shared" si="509"/>
        <v>-75.689482359973766</v>
      </c>
      <c r="BM560" s="64">
        <f t="shared" si="510"/>
        <v>-169.08378561749504</v>
      </c>
    </row>
    <row r="561" spans="14:31" x14ac:dyDescent="0.3">
      <c r="N561" s="11"/>
      <c r="P561" s="49"/>
      <c r="Q561" s="18"/>
      <c r="R561" s="18"/>
      <c r="S561" s="18"/>
      <c r="T561" s="18"/>
      <c r="U561" s="18"/>
      <c r="V561" s="18"/>
      <c r="W561" s="32"/>
      <c r="X561" s="18"/>
      <c r="Y561" s="18"/>
      <c r="Z561" s="32"/>
      <c r="AA561" s="18"/>
      <c r="AB561" s="18"/>
      <c r="AC561" s="18"/>
      <c r="AD561" s="33"/>
      <c r="AE561" s="32"/>
    </row>
    <row r="562" spans="14:31" x14ac:dyDescent="0.3">
      <c r="N562" s="11"/>
      <c r="P562" s="49"/>
      <c r="Q562" s="18"/>
      <c r="R562" s="18"/>
      <c r="S562" s="18"/>
      <c r="T562" s="18"/>
      <c r="U562" s="18"/>
      <c r="V562" s="18"/>
      <c r="W562" s="32"/>
      <c r="X562" s="18"/>
      <c r="Y562" s="18"/>
      <c r="Z562" s="32"/>
      <c r="AA562" s="18"/>
      <c r="AB562" s="18"/>
      <c r="AC562" s="18"/>
      <c r="AD562" s="33"/>
      <c r="AE562" s="32"/>
    </row>
    <row r="563" spans="14:31" x14ac:dyDescent="0.3">
      <c r="N563" s="11"/>
      <c r="P563" s="49"/>
      <c r="Q563" s="18"/>
      <c r="R563" s="18"/>
      <c r="S563" s="18"/>
      <c r="T563" s="18"/>
      <c r="U563" s="18"/>
      <c r="V563" s="18"/>
      <c r="W563" s="32"/>
      <c r="X563" s="18"/>
      <c r="Y563" s="18"/>
      <c r="Z563" s="32"/>
      <c r="AA563" s="18"/>
      <c r="AB563" s="18"/>
      <c r="AC563" s="18"/>
      <c r="AD563" s="33"/>
      <c r="AE563" s="32"/>
    </row>
    <row r="564" spans="14:31" x14ac:dyDescent="0.3">
      <c r="N564" s="11"/>
      <c r="P564" s="49"/>
      <c r="Q564" s="18"/>
      <c r="R564" s="18"/>
      <c r="S564" s="18"/>
      <c r="T564" s="18"/>
      <c r="U564" s="18"/>
      <c r="V564" s="18"/>
      <c r="W564" s="32"/>
      <c r="X564" s="18"/>
      <c r="Y564" s="18"/>
      <c r="Z564" s="32"/>
      <c r="AA564" s="18"/>
      <c r="AB564" s="18"/>
      <c r="AC564" s="18"/>
      <c r="AD564" s="33"/>
      <c r="AE564" s="32"/>
    </row>
    <row r="565" spans="14:31" x14ac:dyDescent="0.3">
      <c r="N565" s="11"/>
      <c r="P565" s="49"/>
      <c r="Q565" s="18"/>
      <c r="R565" s="18"/>
      <c r="S565" s="18"/>
      <c r="T565" s="18"/>
      <c r="U565" s="18"/>
      <c r="V565" s="18"/>
      <c r="W565" s="32"/>
      <c r="X565" s="18"/>
      <c r="Y565" s="18"/>
      <c r="Z565" s="32"/>
      <c r="AA565" s="18"/>
      <c r="AB565" s="18"/>
      <c r="AC565" s="18"/>
      <c r="AD565" s="33"/>
      <c r="AE565" s="32"/>
    </row>
    <row r="566" spans="14:31" x14ac:dyDescent="0.3">
      <c r="N566" s="11"/>
      <c r="P566" s="49"/>
      <c r="Q566" s="18"/>
      <c r="R566" s="18"/>
      <c r="S566" s="18"/>
      <c r="T566" s="18"/>
      <c r="U566" s="18"/>
      <c r="V566" s="18"/>
      <c r="W566" s="32"/>
      <c r="X566" s="18"/>
      <c r="Y566" s="18"/>
      <c r="Z566" s="32"/>
      <c r="AA566" s="18"/>
      <c r="AB566" s="18"/>
      <c r="AC566" s="18"/>
      <c r="AD566" s="33"/>
      <c r="AE566" s="32"/>
    </row>
    <row r="567" spans="14:31" x14ac:dyDescent="0.3">
      <c r="N567" s="11"/>
      <c r="P567" s="49"/>
      <c r="Q567" s="18"/>
      <c r="R567" s="18"/>
      <c r="S567" s="18"/>
      <c r="T567" s="18"/>
      <c r="U567" s="18"/>
      <c r="V567" s="18"/>
      <c r="W567" s="32"/>
      <c r="X567" s="18"/>
      <c r="Y567" s="18"/>
      <c r="Z567" s="32"/>
      <c r="AA567" s="18"/>
      <c r="AB567" s="18"/>
      <c r="AC567" s="18"/>
      <c r="AD567" s="33"/>
      <c r="AE567" s="32"/>
    </row>
    <row r="568" spans="14:31" x14ac:dyDescent="0.3">
      <c r="N568" s="11"/>
      <c r="P568" s="49"/>
      <c r="Q568" s="18"/>
      <c r="R568" s="18"/>
      <c r="S568" s="18"/>
      <c r="T568" s="18"/>
      <c r="U568" s="18"/>
      <c r="V568" s="18"/>
      <c r="W568" s="32"/>
      <c r="X568" s="18"/>
      <c r="Y568" s="18"/>
      <c r="Z568" s="32"/>
      <c r="AA568" s="18"/>
      <c r="AB568" s="18"/>
      <c r="AC568" s="18"/>
      <c r="AD568" s="33"/>
      <c r="AE568" s="32"/>
    </row>
    <row r="569" spans="14:31" x14ac:dyDescent="0.3">
      <c r="N569" s="11"/>
      <c r="P569" s="49"/>
      <c r="Q569" s="18"/>
      <c r="R569" s="18"/>
      <c r="S569" s="18"/>
      <c r="T569" s="18"/>
      <c r="U569" s="18"/>
      <c r="V569" s="18"/>
      <c r="W569" s="32"/>
      <c r="X569" s="18"/>
      <c r="Y569" s="18"/>
      <c r="Z569" s="32"/>
      <c r="AA569" s="18"/>
      <c r="AB569" s="18"/>
      <c r="AC569" s="18"/>
      <c r="AD569" s="33"/>
      <c r="AE569" s="32"/>
    </row>
    <row r="570" spans="14:31" x14ac:dyDescent="0.3">
      <c r="N570" s="11"/>
      <c r="P570" s="49"/>
      <c r="Q570" s="18"/>
      <c r="R570" s="18"/>
      <c r="S570" s="18"/>
      <c r="T570" s="18"/>
      <c r="U570" s="18"/>
      <c r="V570" s="18"/>
      <c r="W570" s="32"/>
      <c r="X570" s="18"/>
      <c r="Y570" s="18"/>
      <c r="Z570" s="32"/>
      <c r="AA570" s="18"/>
      <c r="AB570" s="18"/>
      <c r="AC570" s="18"/>
      <c r="AD570" s="33"/>
      <c r="AE570" s="32"/>
    </row>
    <row r="571" spans="14:31" x14ac:dyDescent="0.3">
      <c r="N571" s="11"/>
      <c r="P571" s="49"/>
      <c r="Q571" s="18"/>
      <c r="R571" s="18"/>
      <c r="S571" s="18"/>
      <c r="T571" s="18"/>
      <c r="U571" s="18"/>
      <c r="V571" s="18"/>
      <c r="W571" s="32"/>
      <c r="X571" s="18"/>
      <c r="Y571" s="18"/>
      <c r="Z571" s="32"/>
      <c r="AA571" s="18"/>
      <c r="AB571" s="18"/>
      <c r="AC571" s="18"/>
      <c r="AD571" s="33"/>
      <c r="AE571" s="32"/>
    </row>
    <row r="572" spans="14:31" x14ac:dyDescent="0.3">
      <c r="N572" s="11"/>
      <c r="P572" s="49"/>
      <c r="Q572" s="18"/>
      <c r="R572" s="18"/>
      <c r="S572" s="18"/>
      <c r="T572" s="18"/>
      <c r="U572" s="18"/>
      <c r="V572" s="18"/>
      <c r="W572" s="32"/>
      <c r="X572" s="18"/>
      <c r="Y572" s="18"/>
      <c r="Z572" s="32"/>
      <c r="AA572" s="18"/>
      <c r="AB572" s="18"/>
      <c r="AC572" s="18"/>
      <c r="AD572" s="33"/>
      <c r="AE572" s="32"/>
    </row>
    <row r="573" spans="14:31" x14ac:dyDescent="0.3">
      <c r="N573" s="11"/>
      <c r="P573" s="49"/>
      <c r="Q573" s="18"/>
      <c r="R573" s="18"/>
      <c r="S573" s="18"/>
      <c r="T573" s="18"/>
      <c r="U573" s="18"/>
      <c r="V573" s="18"/>
      <c r="W573" s="32"/>
      <c r="X573" s="18"/>
      <c r="Y573" s="18"/>
      <c r="Z573" s="32"/>
      <c r="AA573" s="18"/>
      <c r="AB573" s="18"/>
      <c r="AC573" s="18"/>
      <c r="AD573" s="33"/>
      <c r="AE573" s="32"/>
    </row>
    <row r="574" spans="14:31" x14ac:dyDescent="0.3">
      <c r="N574" s="11"/>
      <c r="P574" s="49"/>
      <c r="Q574" s="18"/>
      <c r="R574" s="18"/>
      <c r="S574" s="18"/>
      <c r="T574" s="18"/>
      <c r="U574" s="18"/>
      <c r="V574" s="18"/>
      <c r="W574" s="32"/>
      <c r="X574" s="18"/>
      <c r="Y574" s="18"/>
      <c r="Z574" s="32"/>
      <c r="AA574" s="18"/>
      <c r="AB574" s="18"/>
      <c r="AC574" s="18"/>
      <c r="AD574" s="33"/>
      <c r="AE574" s="32"/>
    </row>
    <row r="575" spans="14:31" x14ac:dyDescent="0.3">
      <c r="N575" s="11"/>
      <c r="P575" s="49"/>
      <c r="Q575" s="18"/>
      <c r="R575" s="18"/>
      <c r="S575" s="18"/>
      <c r="T575" s="18"/>
      <c r="U575" s="18"/>
      <c r="V575" s="18"/>
      <c r="W575" s="32"/>
      <c r="X575" s="18"/>
      <c r="Y575" s="18"/>
      <c r="Z575" s="32"/>
      <c r="AA575" s="18"/>
      <c r="AB575" s="18"/>
      <c r="AC575" s="18"/>
      <c r="AD575" s="33"/>
      <c r="AE575" s="32"/>
    </row>
    <row r="576" spans="14:31" x14ac:dyDescent="0.3">
      <c r="N576" s="11"/>
      <c r="P576" s="49"/>
      <c r="Q576" s="18"/>
      <c r="R576" s="18"/>
      <c r="S576" s="18"/>
      <c r="T576" s="18"/>
      <c r="U576" s="18"/>
      <c r="V576" s="18"/>
      <c r="W576" s="32"/>
      <c r="X576" s="18"/>
      <c r="Y576" s="18"/>
      <c r="Z576" s="32"/>
      <c r="AA576" s="18"/>
      <c r="AB576" s="18"/>
      <c r="AC576" s="18"/>
      <c r="AD576" s="33"/>
      <c r="AE576" s="32"/>
    </row>
    <row r="577" spans="14:31" x14ac:dyDescent="0.3">
      <c r="N577" s="11"/>
      <c r="P577" s="49"/>
      <c r="Q577" s="18"/>
      <c r="R577" s="18"/>
      <c r="S577" s="18"/>
      <c r="T577" s="18"/>
      <c r="U577" s="18"/>
      <c r="V577" s="18"/>
      <c r="W577" s="32"/>
      <c r="X577" s="18"/>
      <c r="Y577" s="18"/>
      <c r="Z577" s="32"/>
      <c r="AA577" s="18"/>
      <c r="AB577" s="18"/>
      <c r="AC577" s="18"/>
      <c r="AD577" s="33"/>
      <c r="AE577" s="32"/>
    </row>
    <row r="578" spans="14:31" x14ac:dyDescent="0.3">
      <c r="N578" s="11"/>
      <c r="P578" s="49"/>
      <c r="Q578" s="18"/>
      <c r="R578" s="18"/>
      <c r="S578" s="18"/>
      <c r="T578" s="18"/>
      <c r="U578" s="18"/>
      <c r="V578" s="18"/>
      <c r="W578" s="32"/>
      <c r="X578" s="18"/>
      <c r="Y578" s="18"/>
      <c r="Z578" s="32"/>
      <c r="AA578" s="18"/>
      <c r="AB578" s="18"/>
      <c r="AC578" s="18"/>
      <c r="AD578" s="33"/>
      <c r="AE578" s="32"/>
    </row>
    <row r="579" spans="14:31" x14ac:dyDescent="0.3">
      <c r="N579" s="11"/>
      <c r="P579" s="49"/>
      <c r="Q579" s="18"/>
      <c r="R579" s="18"/>
      <c r="S579" s="18"/>
      <c r="T579" s="18"/>
      <c r="U579" s="18"/>
      <c r="V579" s="18"/>
      <c r="W579" s="32"/>
      <c r="X579" s="18"/>
      <c r="Y579" s="18"/>
      <c r="Z579" s="32"/>
      <c r="AA579" s="18"/>
      <c r="AB579" s="18"/>
      <c r="AC579" s="18"/>
      <c r="AD579" s="33"/>
      <c r="AE579" s="32"/>
    </row>
    <row r="580" spans="14:31" x14ac:dyDescent="0.3">
      <c r="N580" s="11"/>
      <c r="P580" s="49"/>
      <c r="Q580" s="18"/>
      <c r="R580" s="18"/>
      <c r="S580" s="18"/>
      <c r="T580" s="18"/>
      <c r="U580" s="18"/>
      <c r="V580" s="18"/>
      <c r="W580" s="32"/>
      <c r="X580" s="18"/>
      <c r="Y580" s="18"/>
      <c r="Z580" s="32"/>
      <c r="AA580" s="18"/>
      <c r="AB580" s="18"/>
      <c r="AC580" s="18"/>
      <c r="AD580" s="33"/>
      <c r="AE580" s="32"/>
    </row>
    <row r="581" spans="14:31" x14ac:dyDescent="0.3">
      <c r="N581" s="11"/>
      <c r="P581" s="49"/>
      <c r="Q581" s="18"/>
      <c r="R581" s="18"/>
      <c r="S581" s="18"/>
      <c r="T581" s="18"/>
      <c r="U581" s="18"/>
      <c r="V581" s="18"/>
      <c r="W581" s="32"/>
      <c r="X581" s="18"/>
      <c r="Y581" s="18"/>
      <c r="Z581" s="32"/>
      <c r="AA581" s="18"/>
      <c r="AB581" s="18"/>
      <c r="AC581" s="18"/>
      <c r="AD581" s="33"/>
      <c r="AE581" s="32"/>
    </row>
    <row r="582" spans="14:31" x14ac:dyDescent="0.3">
      <c r="N582" s="11"/>
      <c r="P582" s="49"/>
      <c r="Q582" s="18"/>
      <c r="R582" s="18"/>
      <c r="S582" s="18"/>
      <c r="T582" s="18"/>
      <c r="U582" s="18"/>
      <c r="V582" s="18"/>
      <c r="W582" s="32"/>
      <c r="X582" s="18"/>
      <c r="Y582" s="18"/>
      <c r="Z582" s="32"/>
      <c r="AA582" s="18"/>
      <c r="AB582" s="18"/>
      <c r="AC582" s="18"/>
      <c r="AD582" s="33"/>
      <c r="AE582" s="32"/>
    </row>
    <row r="583" spans="14:31" x14ac:dyDescent="0.3">
      <c r="N583" s="11"/>
      <c r="P583" s="49"/>
      <c r="Q583" s="18"/>
      <c r="R583" s="18"/>
      <c r="S583" s="18"/>
      <c r="T583" s="18"/>
      <c r="U583" s="18"/>
      <c r="V583" s="18"/>
      <c r="W583" s="32"/>
      <c r="X583" s="18"/>
      <c r="Y583" s="18"/>
      <c r="Z583" s="32"/>
      <c r="AA583" s="18"/>
      <c r="AB583" s="18"/>
      <c r="AC583" s="18"/>
      <c r="AD583" s="33"/>
      <c r="AE583" s="32"/>
    </row>
    <row r="584" spans="14:31" x14ac:dyDescent="0.3">
      <c r="N584" s="11"/>
      <c r="P584" s="49"/>
      <c r="Q584" s="18"/>
      <c r="R584" s="18"/>
      <c r="S584" s="18"/>
      <c r="T584" s="18"/>
      <c r="U584" s="18"/>
      <c r="V584" s="18"/>
      <c r="W584" s="32"/>
      <c r="X584" s="18"/>
      <c r="Y584" s="18"/>
      <c r="Z584" s="32"/>
      <c r="AA584" s="18"/>
      <c r="AB584" s="18"/>
      <c r="AC584" s="18"/>
      <c r="AD584" s="33"/>
      <c r="AE584" s="32"/>
    </row>
    <row r="585" spans="14:31" x14ac:dyDescent="0.3">
      <c r="N585" s="11"/>
      <c r="P585" s="49"/>
      <c r="Q585" s="18"/>
      <c r="R585" s="18"/>
      <c r="S585" s="18"/>
      <c r="T585" s="18"/>
      <c r="U585" s="18"/>
      <c r="V585" s="18"/>
      <c r="W585" s="32"/>
      <c r="X585" s="18"/>
      <c r="Y585" s="18"/>
      <c r="Z585" s="32"/>
      <c r="AA585" s="18"/>
      <c r="AB585" s="18"/>
      <c r="AC585" s="18"/>
      <c r="AD585" s="33"/>
      <c r="AE585" s="32"/>
    </row>
    <row r="586" spans="14:31" x14ac:dyDescent="0.3">
      <c r="N586" s="11"/>
      <c r="P586" s="49"/>
      <c r="Q586" s="18"/>
      <c r="R586" s="18"/>
      <c r="S586" s="18"/>
      <c r="T586" s="18"/>
      <c r="U586" s="18"/>
      <c r="V586" s="18"/>
      <c r="W586" s="32"/>
      <c r="X586" s="18"/>
      <c r="Y586" s="18"/>
      <c r="Z586" s="32"/>
      <c r="AA586" s="18"/>
      <c r="AB586" s="18"/>
      <c r="AC586" s="18"/>
      <c r="AD586" s="33"/>
      <c r="AE586" s="32"/>
    </row>
    <row r="587" spans="14:31" x14ac:dyDescent="0.3">
      <c r="N587" s="11"/>
      <c r="P587" s="49"/>
      <c r="Q587" s="18"/>
      <c r="R587" s="18"/>
      <c r="S587" s="18"/>
      <c r="T587" s="18"/>
      <c r="U587" s="18"/>
      <c r="V587" s="18"/>
      <c r="W587" s="32"/>
      <c r="X587" s="18"/>
      <c r="Y587" s="18"/>
      <c r="Z587" s="32"/>
      <c r="AA587" s="18"/>
      <c r="AB587" s="18"/>
      <c r="AC587" s="18"/>
      <c r="AD587" s="33"/>
      <c r="AE587" s="32"/>
    </row>
    <row r="588" spans="14:31" x14ac:dyDescent="0.3">
      <c r="N588" s="11"/>
      <c r="P588" s="49"/>
      <c r="Q588" s="18"/>
      <c r="R588" s="18"/>
      <c r="S588" s="18"/>
      <c r="T588" s="18"/>
      <c r="U588" s="18"/>
      <c r="V588" s="18"/>
      <c r="W588" s="32"/>
      <c r="X588" s="18"/>
      <c r="Y588" s="18"/>
      <c r="Z588" s="32"/>
      <c r="AA588" s="18"/>
      <c r="AB588" s="18"/>
      <c r="AC588" s="18"/>
      <c r="AD588" s="33"/>
      <c r="AE588" s="32"/>
    </row>
    <row r="589" spans="14:31" x14ac:dyDescent="0.3">
      <c r="N589" s="11"/>
      <c r="P589" s="49"/>
      <c r="Q589" s="18"/>
      <c r="R589" s="18"/>
      <c r="S589" s="18"/>
      <c r="T589" s="18"/>
      <c r="U589" s="18"/>
      <c r="V589" s="18"/>
      <c r="W589" s="32"/>
      <c r="X589" s="18"/>
      <c r="Y589" s="18"/>
      <c r="Z589" s="32"/>
      <c r="AA589" s="18"/>
      <c r="AB589" s="18"/>
      <c r="AC589" s="18"/>
      <c r="AD589" s="33"/>
      <c r="AE589" s="32"/>
    </row>
    <row r="590" spans="14:31" x14ac:dyDescent="0.3">
      <c r="N590" s="11"/>
      <c r="P590" s="49"/>
      <c r="Q590" s="18"/>
      <c r="R590" s="18"/>
      <c r="S590" s="18"/>
      <c r="T590" s="18"/>
      <c r="U590" s="18"/>
      <c r="V590" s="18"/>
      <c r="W590" s="32"/>
      <c r="X590" s="18"/>
      <c r="Y590" s="18"/>
      <c r="Z590" s="32"/>
      <c r="AA590" s="18"/>
      <c r="AB590" s="18"/>
      <c r="AC590" s="18"/>
      <c r="AD590" s="33"/>
      <c r="AE590" s="32"/>
    </row>
    <row r="591" spans="14:31" x14ac:dyDescent="0.3">
      <c r="N591" s="11"/>
      <c r="P591" s="49"/>
      <c r="Q591" s="18"/>
      <c r="R591" s="18"/>
      <c r="S591" s="18"/>
      <c r="T591" s="18"/>
      <c r="U591" s="18"/>
      <c r="V591" s="18"/>
      <c r="W591" s="32"/>
      <c r="X591" s="18"/>
      <c r="Y591" s="18"/>
      <c r="Z591" s="32"/>
      <c r="AA591" s="18"/>
      <c r="AB591" s="18"/>
      <c r="AC591" s="18"/>
      <c r="AD591" s="33"/>
      <c r="AE591" s="32"/>
    </row>
    <row r="592" spans="14:31" x14ac:dyDescent="0.3">
      <c r="N592" s="11"/>
      <c r="P592" s="49"/>
      <c r="Q592" s="18"/>
      <c r="R592" s="18"/>
      <c r="S592" s="18"/>
      <c r="T592" s="18"/>
      <c r="U592" s="18"/>
      <c r="V592" s="18"/>
      <c r="W592" s="32"/>
      <c r="X592" s="18"/>
      <c r="Y592" s="18"/>
      <c r="Z592" s="32"/>
      <c r="AA592" s="18"/>
      <c r="AB592" s="18"/>
      <c r="AC592" s="18"/>
      <c r="AD592" s="33"/>
      <c r="AE592" s="32"/>
    </row>
    <row r="593" spans="14:31" x14ac:dyDescent="0.3">
      <c r="N593" s="11"/>
      <c r="P593" s="49"/>
      <c r="Q593" s="18"/>
      <c r="R593" s="18"/>
      <c r="S593" s="18"/>
      <c r="T593" s="18"/>
      <c r="U593" s="18"/>
      <c r="V593" s="18"/>
      <c r="W593" s="32"/>
      <c r="X593" s="18"/>
      <c r="Y593" s="18"/>
      <c r="Z593" s="32"/>
      <c r="AA593" s="18"/>
      <c r="AB593" s="18"/>
      <c r="AC593" s="18"/>
      <c r="AD593" s="33"/>
      <c r="AE593" s="32"/>
    </row>
    <row r="594" spans="14:31" x14ac:dyDescent="0.3">
      <c r="N594" s="11"/>
      <c r="P594" s="49"/>
      <c r="Q594" s="18"/>
      <c r="R594" s="18"/>
      <c r="S594" s="18"/>
      <c r="T594" s="18"/>
      <c r="U594" s="18"/>
      <c r="V594" s="18"/>
      <c r="W594" s="32"/>
      <c r="X594" s="18"/>
      <c r="Y594" s="18"/>
      <c r="Z594" s="32"/>
      <c r="AA594" s="18"/>
      <c r="AB594" s="18"/>
      <c r="AC594" s="18"/>
      <c r="AD594" s="33"/>
      <c r="AE594" s="32"/>
    </row>
    <row r="595" spans="14:31" x14ac:dyDescent="0.3">
      <c r="N595" s="11"/>
      <c r="P595" s="49"/>
      <c r="Q595" s="18"/>
      <c r="R595" s="18"/>
      <c r="S595" s="18"/>
      <c r="T595" s="18"/>
      <c r="U595" s="18"/>
      <c r="V595" s="18"/>
      <c r="W595" s="32"/>
      <c r="X595" s="18"/>
      <c r="Y595" s="18"/>
      <c r="Z595" s="32"/>
      <c r="AA595" s="18"/>
      <c r="AB595" s="18"/>
      <c r="AC595" s="18"/>
      <c r="AD595" s="33"/>
      <c r="AE595" s="32"/>
    </row>
    <row r="596" spans="14:31" x14ac:dyDescent="0.3">
      <c r="N596" s="11"/>
      <c r="P596" s="49"/>
      <c r="Q596" s="18"/>
      <c r="R596" s="18"/>
      <c r="S596" s="18"/>
      <c r="T596" s="18"/>
      <c r="U596" s="18"/>
      <c r="V596" s="18"/>
      <c r="W596" s="32"/>
      <c r="X596" s="18"/>
      <c r="Y596" s="18"/>
      <c r="Z596" s="32"/>
      <c r="AA596" s="18"/>
      <c r="AB596" s="18"/>
      <c r="AC596" s="18"/>
      <c r="AD596" s="33"/>
      <c r="AE596" s="32"/>
    </row>
    <row r="597" spans="14:31" x14ac:dyDescent="0.3">
      <c r="N597" s="11"/>
      <c r="P597" s="49"/>
      <c r="Q597" s="18"/>
      <c r="R597" s="18"/>
      <c r="S597" s="18"/>
      <c r="T597" s="18"/>
      <c r="U597" s="18"/>
      <c r="V597" s="18"/>
      <c r="W597" s="32"/>
      <c r="X597" s="18"/>
      <c r="Y597" s="18"/>
      <c r="Z597" s="32"/>
      <c r="AA597" s="18"/>
      <c r="AB597" s="18"/>
      <c r="AC597" s="18"/>
      <c r="AD597" s="33"/>
      <c r="AE597" s="32"/>
    </row>
    <row r="598" spans="14:31" x14ac:dyDescent="0.3">
      <c r="N598" s="11"/>
      <c r="P598" s="49"/>
      <c r="Q598" s="18"/>
      <c r="R598" s="18"/>
      <c r="S598" s="18"/>
      <c r="T598" s="18"/>
      <c r="U598" s="18"/>
      <c r="V598" s="18"/>
      <c r="W598" s="32"/>
      <c r="X598" s="18"/>
      <c r="Y598" s="18"/>
      <c r="Z598" s="32"/>
      <c r="AA598" s="18"/>
      <c r="AB598" s="18"/>
      <c r="AC598" s="18"/>
      <c r="AD598" s="33"/>
      <c r="AE598" s="32"/>
    </row>
    <row r="599" spans="14:31" x14ac:dyDescent="0.3">
      <c r="N599" s="11"/>
      <c r="P599" s="49"/>
      <c r="Q599" s="18"/>
      <c r="R599" s="18"/>
      <c r="S599" s="18"/>
      <c r="T599" s="18"/>
      <c r="U599" s="18"/>
      <c r="V599" s="18"/>
      <c r="W599" s="32"/>
      <c r="X599" s="18"/>
      <c r="Y599" s="18"/>
      <c r="Z599" s="32"/>
      <c r="AA599" s="18"/>
      <c r="AB599" s="18"/>
      <c r="AC599" s="18"/>
      <c r="AD599" s="33"/>
      <c r="AE599" s="32"/>
    </row>
    <row r="600" spans="14:31" x14ac:dyDescent="0.3">
      <c r="N600" s="11"/>
      <c r="P600" s="49"/>
      <c r="Q600" s="18"/>
      <c r="R600" s="18"/>
      <c r="S600" s="18"/>
      <c r="T600" s="18"/>
      <c r="U600" s="18"/>
      <c r="V600" s="18"/>
      <c r="W600" s="32"/>
      <c r="X600" s="18"/>
      <c r="Y600" s="18"/>
      <c r="Z600" s="32"/>
      <c r="AA600" s="18"/>
      <c r="AB600" s="18"/>
      <c r="AC600" s="18"/>
      <c r="AD600" s="33"/>
      <c r="AE600" s="32"/>
    </row>
    <row r="601" spans="14:31" x14ac:dyDescent="0.3">
      <c r="N601" s="11"/>
      <c r="P601" s="49"/>
      <c r="Q601" s="18"/>
      <c r="R601" s="18"/>
      <c r="S601" s="18"/>
      <c r="T601" s="18"/>
      <c r="U601" s="18"/>
      <c r="V601" s="18"/>
      <c r="W601" s="32"/>
      <c r="X601" s="18"/>
      <c r="Y601" s="18"/>
      <c r="Z601" s="32"/>
      <c r="AA601" s="18"/>
      <c r="AB601" s="18"/>
      <c r="AC601" s="18"/>
      <c r="AD601" s="33"/>
      <c r="AE601" s="32"/>
    </row>
    <row r="602" spans="14:31" x14ac:dyDescent="0.3">
      <c r="N602" s="11"/>
      <c r="P602" s="49"/>
      <c r="Q602" s="18"/>
      <c r="R602" s="18"/>
      <c r="S602" s="18"/>
      <c r="T602" s="18"/>
      <c r="U602" s="18"/>
      <c r="V602" s="18"/>
      <c r="W602" s="32"/>
      <c r="X602" s="18"/>
      <c r="Y602" s="18"/>
      <c r="Z602" s="32"/>
      <c r="AA602" s="18"/>
      <c r="AB602" s="18"/>
      <c r="AC602" s="18"/>
      <c r="AD602" s="33"/>
      <c r="AE602" s="32"/>
    </row>
    <row r="603" spans="14:31" x14ac:dyDescent="0.3">
      <c r="N603" s="11"/>
      <c r="P603" s="49"/>
      <c r="Q603" s="18"/>
      <c r="R603" s="18"/>
      <c r="S603" s="18"/>
      <c r="T603" s="18"/>
      <c r="U603" s="18"/>
      <c r="V603" s="18"/>
      <c r="W603" s="32"/>
      <c r="X603" s="18"/>
      <c r="Y603" s="18"/>
      <c r="Z603" s="32"/>
      <c r="AA603" s="18"/>
      <c r="AB603" s="18"/>
      <c r="AC603" s="18"/>
      <c r="AD603" s="33"/>
      <c r="AE603" s="32"/>
    </row>
    <row r="604" spans="14:31" x14ac:dyDescent="0.3">
      <c r="N604" s="11"/>
      <c r="P604" s="49"/>
      <c r="Q604" s="18"/>
      <c r="R604" s="18"/>
      <c r="S604" s="18"/>
      <c r="T604" s="18"/>
      <c r="U604" s="18"/>
      <c r="V604" s="18"/>
      <c r="W604" s="32"/>
      <c r="X604" s="18"/>
      <c r="Y604" s="18"/>
      <c r="Z604" s="32"/>
      <c r="AA604" s="18"/>
      <c r="AB604" s="18"/>
      <c r="AC604" s="18"/>
      <c r="AD604" s="33"/>
      <c r="AE604" s="32"/>
    </row>
    <row r="605" spans="14:31" x14ac:dyDescent="0.3">
      <c r="N605" s="11"/>
      <c r="P605" s="49"/>
      <c r="Q605" s="18"/>
      <c r="R605" s="18"/>
      <c r="S605" s="18"/>
      <c r="T605" s="18"/>
      <c r="U605" s="18"/>
      <c r="V605" s="18"/>
      <c r="W605" s="32"/>
      <c r="X605" s="18"/>
      <c r="Y605" s="18"/>
      <c r="Z605" s="32"/>
      <c r="AA605" s="18"/>
      <c r="AB605" s="18"/>
      <c r="AC605" s="18"/>
      <c r="AD605" s="33"/>
      <c r="AE605" s="32"/>
    </row>
    <row r="606" spans="14:31" x14ac:dyDescent="0.3">
      <c r="N606" s="11"/>
      <c r="P606" s="49"/>
      <c r="Q606" s="18"/>
      <c r="R606" s="18"/>
      <c r="S606" s="18"/>
      <c r="T606" s="18"/>
      <c r="U606" s="18"/>
      <c r="V606" s="18"/>
      <c r="W606" s="32"/>
      <c r="X606" s="18"/>
      <c r="Y606" s="18"/>
      <c r="Z606" s="32"/>
      <c r="AA606" s="18"/>
      <c r="AB606" s="18"/>
      <c r="AC606" s="18"/>
      <c r="AD606" s="33"/>
      <c r="AE606" s="32"/>
    </row>
    <row r="607" spans="14:31" x14ac:dyDescent="0.3">
      <c r="N607" s="11"/>
      <c r="P607" s="49"/>
      <c r="Q607" s="18"/>
      <c r="R607" s="18"/>
      <c r="S607" s="18"/>
      <c r="T607" s="18"/>
      <c r="U607" s="18"/>
      <c r="V607" s="18"/>
      <c r="W607" s="32"/>
      <c r="X607" s="18"/>
      <c r="Y607" s="18"/>
      <c r="Z607" s="32"/>
      <c r="AA607" s="18"/>
      <c r="AB607" s="18"/>
      <c r="AC607" s="18"/>
      <c r="AD607" s="33"/>
      <c r="AE607" s="32"/>
    </row>
    <row r="608" spans="14:31" x14ac:dyDescent="0.3">
      <c r="N608" s="11"/>
      <c r="P608" s="49"/>
      <c r="Q608" s="18"/>
      <c r="R608" s="18"/>
      <c r="S608" s="18"/>
      <c r="T608" s="18"/>
      <c r="U608" s="18"/>
      <c r="V608" s="18"/>
      <c r="W608" s="32"/>
      <c r="X608" s="18"/>
      <c r="Y608" s="18"/>
      <c r="Z608" s="32"/>
      <c r="AA608" s="18"/>
      <c r="AB608" s="18"/>
      <c r="AC608" s="18"/>
      <c r="AD608" s="33"/>
      <c r="AE608" s="32"/>
    </row>
    <row r="609" spans="14:31" x14ac:dyDescent="0.3">
      <c r="N609" s="11"/>
      <c r="P609" s="49"/>
      <c r="Q609" s="18"/>
      <c r="R609" s="18"/>
      <c r="S609" s="18"/>
      <c r="T609" s="18"/>
      <c r="U609" s="18"/>
      <c r="V609" s="18"/>
      <c r="W609" s="32"/>
      <c r="X609" s="18"/>
      <c r="Y609" s="18"/>
      <c r="Z609" s="32"/>
      <c r="AA609" s="18"/>
      <c r="AB609" s="18"/>
      <c r="AC609" s="18"/>
      <c r="AD609" s="33"/>
      <c r="AE609" s="32"/>
    </row>
    <row r="610" spans="14:31" x14ac:dyDescent="0.3">
      <c r="N610" s="11"/>
      <c r="P610" s="49"/>
      <c r="Q610" s="18"/>
      <c r="R610" s="18"/>
      <c r="S610" s="18"/>
      <c r="T610" s="18"/>
      <c r="U610" s="18"/>
      <c r="V610" s="18"/>
      <c r="W610" s="32"/>
      <c r="X610" s="18"/>
      <c r="Y610" s="18"/>
      <c r="Z610" s="32"/>
      <c r="AA610" s="18"/>
      <c r="AB610" s="18"/>
      <c r="AC610" s="18"/>
      <c r="AD610" s="33"/>
      <c r="AE610" s="32"/>
    </row>
    <row r="611" spans="14:31" x14ac:dyDescent="0.3">
      <c r="N611" s="11"/>
      <c r="P611" s="49"/>
      <c r="Q611" s="18"/>
      <c r="R611" s="18"/>
      <c r="S611" s="18"/>
      <c r="T611" s="18"/>
      <c r="U611" s="18"/>
      <c r="V611" s="18"/>
      <c r="W611" s="32"/>
      <c r="X611" s="18"/>
      <c r="Y611" s="18"/>
      <c r="Z611" s="32"/>
      <c r="AA611" s="18"/>
      <c r="AB611" s="18"/>
      <c r="AC611" s="18"/>
      <c r="AD611" s="33"/>
      <c r="AE611" s="32"/>
    </row>
    <row r="612" spans="14:31" x14ac:dyDescent="0.3">
      <c r="N612" s="11"/>
      <c r="P612" s="49"/>
      <c r="Q612" s="18"/>
      <c r="R612" s="18"/>
      <c r="S612" s="18"/>
      <c r="T612" s="18"/>
      <c r="U612" s="18"/>
      <c r="V612" s="18"/>
      <c r="W612" s="32"/>
      <c r="X612" s="18"/>
      <c r="Y612" s="18"/>
      <c r="Z612" s="32"/>
      <c r="AA612" s="18"/>
      <c r="AB612" s="18"/>
      <c r="AC612" s="18"/>
      <c r="AD612" s="33"/>
      <c r="AE612" s="32"/>
    </row>
    <row r="613" spans="14:31" x14ac:dyDescent="0.3">
      <c r="N613" s="11"/>
      <c r="P613" s="49"/>
      <c r="Q613" s="18"/>
      <c r="R613" s="18"/>
      <c r="S613" s="18"/>
      <c r="T613" s="18"/>
      <c r="U613" s="18"/>
      <c r="V613" s="18"/>
      <c r="W613" s="32"/>
      <c r="X613" s="18"/>
      <c r="Y613" s="18"/>
      <c r="Z613" s="32"/>
      <c r="AA613" s="18"/>
      <c r="AB613" s="18"/>
      <c r="AC613" s="18"/>
      <c r="AD613" s="33"/>
      <c r="AE613" s="32"/>
    </row>
    <row r="614" spans="14:31" x14ac:dyDescent="0.3">
      <c r="N614" s="11"/>
      <c r="P614" s="49"/>
      <c r="Q614" s="18"/>
      <c r="R614" s="18"/>
      <c r="S614" s="18"/>
      <c r="T614" s="18"/>
      <c r="U614" s="18"/>
      <c r="V614" s="18"/>
      <c r="W614" s="32"/>
      <c r="X614" s="18"/>
      <c r="Y614" s="18"/>
      <c r="Z614" s="32"/>
      <c r="AA614" s="18"/>
      <c r="AB614" s="18"/>
      <c r="AC614" s="18"/>
      <c r="AD614" s="33"/>
      <c r="AE614" s="32"/>
    </row>
    <row r="615" spans="14:31" x14ac:dyDescent="0.3">
      <c r="N615" s="11"/>
      <c r="P615" s="49"/>
      <c r="Q615" s="18"/>
      <c r="R615" s="18"/>
      <c r="S615" s="18"/>
      <c r="T615" s="18"/>
      <c r="U615" s="18"/>
      <c r="V615" s="18"/>
      <c r="W615" s="32"/>
      <c r="X615" s="18"/>
      <c r="Y615" s="18"/>
      <c r="Z615" s="32"/>
      <c r="AA615" s="18"/>
      <c r="AB615" s="18"/>
      <c r="AC615" s="18"/>
      <c r="AD615" s="33"/>
      <c r="AE615" s="32"/>
    </row>
    <row r="616" spans="14:31" x14ac:dyDescent="0.3">
      <c r="N616" s="11"/>
      <c r="P616" s="49"/>
      <c r="Q616" s="18"/>
      <c r="R616" s="18"/>
      <c r="S616" s="18"/>
      <c r="T616" s="18"/>
      <c r="U616" s="18"/>
      <c r="V616" s="18"/>
      <c r="W616" s="32"/>
      <c r="X616" s="18"/>
      <c r="Y616" s="18"/>
      <c r="Z616" s="32"/>
      <c r="AA616" s="18"/>
      <c r="AB616" s="18"/>
      <c r="AC616" s="18"/>
      <c r="AD616" s="33"/>
      <c r="AE616" s="32"/>
    </row>
    <row r="617" spans="14:31" x14ac:dyDescent="0.3">
      <c r="N617" s="11"/>
      <c r="P617" s="49"/>
      <c r="Q617" s="18"/>
      <c r="R617" s="18"/>
      <c r="S617" s="18"/>
      <c r="T617" s="18"/>
      <c r="U617" s="18"/>
      <c r="V617" s="18"/>
      <c r="W617" s="32"/>
      <c r="X617" s="18"/>
      <c r="Y617" s="18"/>
      <c r="Z617" s="32"/>
      <c r="AA617" s="18"/>
      <c r="AB617" s="18"/>
      <c r="AC617" s="18"/>
      <c r="AD617" s="33"/>
      <c r="AE617" s="32"/>
    </row>
    <row r="618" spans="14:31" x14ac:dyDescent="0.3">
      <c r="N618" s="11"/>
      <c r="P618" s="49"/>
      <c r="Q618" s="18"/>
      <c r="R618" s="18"/>
      <c r="S618" s="18"/>
      <c r="T618" s="18"/>
      <c r="U618" s="18"/>
      <c r="V618" s="18"/>
      <c r="W618" s="32"/>
      <c r="X618" s="18"/>
      <c r="Y618" s="18"/>
      <c r="Z618" s="32"/>
      <c r="AA618" s="18"/>
      <c r="AB618" s="18"/>
      <c r="AC618" s="18"/>
      <c r="AD618" s="33"/>
      <c r="AE618" s="32"/>
    </row>
    <row r="619" spans="14:31" x14ac:dyDescent="0.3">
      <c r="N619" s="11"/>
      <c r="P619" s="49"/>
      <c r="Q619" s="18"/>
      <c r="R619" s="18"/>
      <c r="S619" s="18"/>
      <c r="T619" s="18"/>
      <c r="U619" s="18"/>
      <c r="V619" s="18"/>
      <c r="W619" s="32"/>
      <c r="X619" s="18"/>
      <c r="Y619" s="18"/>
      <c r="Z619" s="32"/>
      <c r="AA619" s="18"/>
      <c r="AB619" s="18"/>
      <c r="AC619" s="18"/>
      <c r="AD619" s="33"/>
      <c r="AE619" s="32"/>
    </row>
    <row r="620" spans="14:31" x14ac:dyDescent="0.3">
      <c r="N620" s="11"/>
      <c r="P620" s="49"/>
      <c r="Q620" s="18"/>
      <c r="R620" s="18"/>
      <c r="S620" s="18"/>
      <c r="T620" s="18"/>
      <c r="U620" s="18"/>
      <c r="V620" s="18"/>
      <c r="W620" s="32"/>
      <c r="X620" s="18"/>
      <c r="Y620" s="18"/>
      <c r="Z620" s="32"/>
      <c r="AA620" s="18"/>
      <c r="AB620" s="18"/>
      <c r="AC620" s="18"/>
      <c r="AD620" s="33"/>
      <c r="AE620" s="32"/>
    </row>
    <row r="621" spans="14:31" x14ac:dyDescent="0.3">
      <c r="N621" s="11"/>
      <c r="P621" s="49"/>
      <c r="Q621" s="18"/>
      <c r="R621" s="18"/>
      <c r="S621" s="18"/>
      <c r="T621" s="18"/>
      <c r="U621" s="18"/>
      <c r="V621" s="18"/>
      <c r="W621" s="32"/>
      <c r="X621" s="18"/>
      <c r="Y621" s="18"/>
      <c r="Z621" s="32"/>
      <c r="AA621" s="18"/>
      <c r="AB621" s="18"/>
      <c r="AC621" s="18"/>
      <c r="AD621" s="33"/>
      <c r="AE621" s="32"/>
    </row>
    <row r="622" spans="14:31" x14ac:dyDescent="0.3">
      <c r="N622" s="11"/>
      <c r="P622" s="49"/>
      <c r="Q622" s="18"/>
      <c r="R622" s="18"/>
      <c r="S622" s="18"/>
      <c r="T622" s="18"/>
      <c r="U622" s="18"/>
      <c r="V622" s="18"/>
      <c r="W622" s="32"/>
      <c r="X622" s="18"/>
      <c r="Y622" s="18"/>
      <c r="Z622" s="32"/>
      <c r="AA622" s="18"/>
      <c r="AB622" s="18"/>
      <c r="AC622" s="18"/>
      <c r="AD622" s="33"/>
      <c r="AE622" s="32"/>
    </row>
    <row r="623" spans="14:31" x14ac:dyDescent="0.3">
      <c r="N623" s="11"/>
      <c r="P623" s="49"/>
      <c r="Q623" s="18"/>
      <c r="R623" s="18"/>
      <c r="S623" s="18"/>
      <c r="T623" s="18"/>
      <c r="U623" s="18"/>
      <c r="V623" s="18"/>
      <c r="W623" s="32"/>
      <c r="X623" s="18"/>
      <c r="Y623" s="18"/>
      <c r="Z623" s="32"/>
      <c r="AA623" s="18"/>
      <c r="AB623" s="18"/>
      <c r="AC623" s="18"/>
      <c r="AD623" s="33"/>
      <c r="AE623" s="32"/>
    </row>
    <row r="624" spans="14:31" x14ac:dyDescent="0.3">
      <c r="N624" s="11"/>
      <c r="P624" s="49"/>
      <c r="Q624" s="18"/>
      <c r="R624" s="18"/>
      <c r="S624" s="18"/>
      <c r="T624" s="18"/>
      <c r="U624" s="18"/>
      <c r="V624" s="18"/>
      <c r="W624" s="32"/>
      <c r="X624" s="18"/>
      <c r="Y624" s="18"/>
      <c r="Z624" s="32"/>
      <c r="AA624" s="18"/>
      <c r="AB624" s="18"/>
      <c r="AC624" s="18"/>
      <c r="AD624" s="33"/>
      <c r="AE624" s="32"/>
    </row>
    <row r="625" spans="14:31" x14ac:dyDescent="0.3">
      <c r="N625" s="11"/>
      <c r="P625" s="49"/>
      <c r="Q625" s="18"/>
      <c r="R625" s="18"/>
      <c r="S625" s="18"/>
      <c r="T625" s="18"/>
      <c r="U625" s="18"/>
      <c r="V625" s="18"/>
      <c r="W625" s="32"/>
      <c r="X625" s="18"/>
      <c r="Y625" s="18"/>
      <c r="Z625" s="32"/>
      <c r="AA625" s="18"/>
      <c r="AB625" s="18"/>
      <c r="AC625" s="18"/>
      <c r="AD625" s="33"/>
      <c r="AE625" s="32"/>
    </row>
    <row r="626" spans="14:31" x14ac:dyDescent="0.3">
      <c r="N626" s="11"/>
      <c r="P626" s="49"/>
      <c r="Q626" s="18"/>
      <c r="R626" s="18"/>
      <c r="S626" s="18"/>
      <c r="T626" s="18"/>
      <c r="U626" s="18"/>
      <c r="V626" s="18"/>
      <c r="W626" s="32"/>
      <c r="X626" s="18"/>
      <c r="Y626" s="18"/>
      <c r="Z626" s="32"/>
      <c r="AA626" s="18"/>
      <c r="AB626" s="18"/>
      <c r="AC626" s="18"/>
      <c r="AD626" s="33"/>
      <c r="AE626" s="32"/>
    </row>
    <row r="627" spans="14:31" x14ac:dyDescent="0.3">
      <c r="N627" s="11"/>
      <c r="P627" s="49"/>
      <c r="Q627" s="18"/>
      <c r="R627" s="18"/>
      <c r="S627" s="18"/>
      <c r="T627" s="18"/>
      <c r="U627" s="18"/>
      <c r="V627" s="18"/>
      <c r="W627" s="32"/>
      <c r="X627" s="18"/>
      <c r="Y627" s="18"/>
      <c r="Z627" s="32"/>
      <c r="AA627" s="18"/>
      <c r="AB627" s="18"/>
      <c r="AC627" s="18"/>
      <c r="AD627" s="33"/>
      <c r="AE627" s="32"/>
    </row>
    <row r="628" spans="14:31" x14ac:dyDescent="0.3">
      <c r="N628" s="11"/>
      <c r="P628" s="49"/>
      <c r="Q628" s="18"/>
      <c r="R628" s="18"/>
      <c r="S628" s="18"/>
      <c r="T628" s="18"/>
      <c r="U628" s="18"/>
      <c r="V628" s="18"/>
      <c r="W628" s="32"/>
      <c r="X628" s="18"/>
      <c r="Y628" s="18"/>
      <c r="Z628" s="32"/>
      <c r="AA628" s="18"/>
      <c r="AB628" s="18"/>
      <c r="AC628" s="18"/>
      <c r="AD628" s="33"/>
      <c r="AE628" s="32"/>
    </row>
    <row r="629" spans="14:31" x14ac:dyDescent="0.3">
      <c r="N629" s="11"/>
      <c r="P629" s="49"/>
      <c r="Q629" s="18"/>
      <c r="R629" s="18"/>
      <c r="S629" s="18"/>
      <c r="T629" s="18"/>
      <c r="U629" s="18"/>
      <c r="V629" s="18"/>
      <c r="W629" s="32"/>
      <c r="X629" s="18"/>
      <c r="Y629" s="18"/>
      <c r="Z629" s="32"/>
      <c r="AA629" s="18"/>
      <c r="AB629" s="18"/>
      <c r="AC629" s="18"/>
      <c r="AD629" s="33"/>
      <c r="AE629" s="32"/>
    </row>
    <row r="630" spans="14:31" x14ac:dyDescent="0.3">
      <c r="N630" s="11"/>
      <c r="P630" s="49"/>
      <c r="Q630" s="18"/>
      <c r="R630" s="18"/>
      <c r="S630" s="18"/>
      <c r="T630" s="18"/>
      <c r="U630" s="18"/>
      <c r="V630" s="18"/>
      <c r="W630" s="32"/>
      <c r="X630" s="18"/>
      <c r="Y630" s="18"/>
      <c r="Z630" s="32"/>
      <c r="AA630" s="18"/>
      <c r="AB630" s="18"/>
      <c r="AC630" s="18"/>
      <c r="AD630" s="33"/>
      <c r="AE630" s="32"/>
    </row>
    <row r="631" spans="14:31" x14ac:dyDescent="0.3">
      <c r="N631" s="11"/>
      <c r="P631" s="49"/>
      <c r="Q631" s="18"/>
      <c r="R631" s="18"/>
      <c r="S631" s="18"/>
      <c r="T631" s="18"/>
      <c r="U631" s="18"/>
      <c r="V631" s="18"/>
      <c r="W631" s="32"/>
      <c r="X631" s="18"/>
      <c r="Y631" s="18"/>
      <c r="Z631" s="32"/>
      <c r="AA631" s="18"/>
      <c r="AB631" s="18"/>
      <c r="AC631" s="18"/>
      <c r="AD631" s="33"/>
      <c r="AE631" s="32"/>
    </row>
    <row r="632" spans="14:31" x14ac:dyDescent="0.3">
      <c r="N632" s="11"/>
      <c r="P632" s="49"/>
      <c r="Q632" s="18"/>
      <c r="R632" s="18"/>
      <c r="S632" s="18"/>
      <c r="T632" s="18"/>
      <c r="U632" s="18"/>
      <c r="V632" s="18"/>
      <c r="W632" s="32"/>
      <c r="X632" s="18"/>
      <c r="Y632" s="18"/>
      <c r="Z632" s="32"/>
      <c r="AA632" s="18"/>
      <c r="AB632" s="18"/>
      <c r="AC632" s="18"/>
      <c r="AD632" s="33"/>
      <c r="AE632" s="32"/>
    </row>
    <row r="633" spans="14:31" x14ac:dyDescent="0.3">
      <c r="N633" s="11"/>
      <c r="P633" s="49"/>
      <c r="Q633" s="18"/>
      <c r="R633" s="18"/>
      <c r="S633" s="18"/>
      <c r="T633" s="18"/>
      <c r="U633" s="18"/>
      <c r="V633" s="18"/>
      <c r="W633" s="32"/>
      <c r="X633" s="18"/>
      <c r="Y633" s="18"/>
      <c r="Z633" s="32"/>
      <c r="AA633" s="18"/>
      <c r="AB633" s="18"/>
      <c r="AC633" s="18"/>
      <c r="AD633" s="33"/>
      <c r="AE633" s="32"/>
    </row>
    <row r="634" spans="14:31" x14ac:dyDescent="0.3">
      <c r="N634" s="11"/>
      <c r="P634" s="49"/>
      <c r="Q634" s="18"/>
      <c r="R634" s="18"/>
      <c r="S634" s="18"/>
      <c r="T634" s="18"/>
      <c r="U634" s="18"/>
      <c r="V634" s="18"/>
      <c r="W634" s="32"/>
      <c r="X634" s="18"/>
      <c r="Y634" s="18"/>
      <c r="Z634" s="32"/>
      <c r="AA634" s="18"/>
      <c r="AB634" s="18"/>
      <c r="AC634" s="18"/>
      <c r="AD634" s="33"/>
      <c r="AE634" s="32"/>
    </row>
    <row r="635" spans="14:31" x14ac:dyDescent="0.3">
      <c r="N635" s="11"/>
      <c r="P635" s="49"/>
      <c r="Q635" s="18"/>
      <c r="R635" s="18"/>
      <c r="S635" s="18"/>
      <c r="T635" s="18"/>
      <c r="U635" s="18"/>
      <c r="V635" s="18"/>
      <c r="W635" s="32"/>
      <c r="X635" s="18"/>
      <c r="Y635" s="18"/>
      <c r="Z635" s="32"/>
      <c r="AA635" s="18"/>
      <c r="AB635" s="18"/>
      <c r="AC635" s="18"/>
      <c r="AD635" s="33"/>
      <c r="AE635" s="32"/>
    </row>
    <row r="636" spans="14:31" x14ac:dyDescent="0.3">
      <c r="N636" s="11"/>
      <c r="P636" s="49"/>
      <c r="Q636" s="18"/>
      <c r="R636" s="18"/>
      <c r="S636" s="18"/>
      <c r="T636" s="18"/>
      <c r="U636" s="18"/>
      <c r="V636" s="18"/>
      <c r="W636" s="32"/>
      <c r="X636" s="18"/>
      <c r="Y636" s="18"/>
      <c r="Z636" s="32"/>
      <c r="AA636" s="18"/>
      <c r="AB636" s="18"/>
      <c r="AC636" s="18"/>
      <c r="AD636" s="33"/>
      <c r="AE636" s="32"/>
    </row>
    <row r="637" spans="14:31" x14ac:dyDescent="0.3">
      <c r="N637" s="11"/>
      <c r="P637" s="49"/>
      <c r="Q637" s="18"/>
      <c r="R637" s="18"/>
      <c r="S637" s="18"/>
      <c r="T637" s="18"/>
      <c r="U637" s="18"/>
      <c r="V637" s="18"/>
      <c r="W637" s="32"/>
      <c r="X637" s="18"/>
      <c r="Y637" s="18"/>
      <c r="Z637" s="32"/>
      <c r="AA637" s="18"/>
      <c r="AB637" s="18"/>
      <c r="AC637" s="18"/>
      <c r="AD637" s="33"/>
      <c r="AE637" s="32"/>
    </row>
    <row r="638" spans="14:31" x14ac:dyDescent="0.3">
      <c r="N638" s="11"/>
      <c r="P638" s="49"/>
      <c r="Q638" s="18"/>
      <c r="R638" s="18"/>
      <c r="S638" s="18"/>
      <c r="T638" s="18"/>
      <c r="U638" s="18"/>
      <c r="V638" s="18"/>
      <c r="W638" s="32"/>
      <c r="X638" s="18"/>
      <c r="Y638" s="18"/>
      <c r="Z638" s="32"/>
      <c r="AA638" s="18"/>
      <c r="AB638" s="18"/>
      <c r="AC638" s="18"/>
      <c r="AD638" s="33"/>
      <c r="AE638" s="32"/>
    </row>
    <row r="639" spans="14:31" x14ac:dyDescent="0.3">
      <c r="N639" s="11"/>
      <c r="P639" s="49"/>
      <c r="Q639" s="18"/>
      <c r="R639" s="18"/>
      <c r="S639" s="18"/>
      <c r="T639" s="18"/>
      <c r="U639" s="18"/>
      <c r="V639" s="18"/>
      <c r="W639" s="32"/>
      <c r="X639" s="18"/>
      <c r="Y639" s="18"/>
      <c r="Z639" s="32"/>
      <c r="AA639" s="18"/>
      <c r="AB639" s="18"/>
      <c r="AC639" s="18"/>
      <c r="AD639" s="33"/>
      <c r="AE639" s="32"/>
    </row>
    <row r="640" spans="14:31" x14ac:dyDescent="0.3">
      <c r="N640" s="11"/>
      <c r="P640" s="49"/>
      <c r="Q640" s="18"/>
      <c r="R640" s="18"/>
      <c r="S640" s="18"/>
      <c r="T640" s="18"/>
      <c r="U640" s="18"/>
      <c r="V640" s="18"/>
      <c r="W640" s="32"/>
      <c r="X640" s="18"/>
      <c r="Y640" s="18"/>
      <c r="Z640" s="32"/>
      <c r="AA640" s="18"/>
      <c r="AB640" s="18"/>
      <c r="AC640" s="18"/>
      <c r="AD640" s="33"/>
      <c r="AE640" s="32"/>
    </row>
    <row r="641" spans="14:31" x14ac:dyDescent="0.3">
      <c r="N641" s="11"/>
      <c r="P641" s="49"/>
      <c r="Q641" s="18"/>
      <c r="R641" s="18"/>
      <c r="S641" s="18"/>
      <c r="T641" s="18"/>
      <c r="U641" s="18"/>
      <c r="V641" s="18"/>
      <c r="W641" s="32"/>
      <c r="X641" s="18"/>
      <c r="Y641" s="18"/>
      <c r="Z641" s="32"/>
      <c r="AA641" s="18"/>
      <c r="AB641" s="18"/>
      <c r="AC641" s="18"/>
      <c r="AD641" s="33"/>
      <c r="AE641" s="32"/>
    </row>
    <row r="642" spans="14:31" x14ac:dyDescent="0.3">
      <c r="N642" s="11"/>
      <c r="P642" s="49"/>
      <c r="Q642" s="18"/>
      <c r="R642" s="18"/>
      <c r="S642" s="18"/>
      <c r="T642" s="18"/>
      <c r="U642" s="18"/>
      <c r="V642" s="18"/>
      <c r="W642" s="32"/>
      <c r="X642" s="18"/>
      <c r="Y642" s="18"/>
      <c r="Z642" s="32"/>
      <c r="AA642" s="18"/>
      <c r="AB642" s="18"/>
      <c r="AC642" s="18"/>
      <c r="AD642" s="33"/>
      <c r="AE642" s="32"/>
    </row>
    <row r="643" spans="14:31" x14ac:dyDescent="0.3">
      <c r="N643" s="11"/>
      <c r="P643" s="49"/>
      <c r="Q643" s="18"/>
      <c r="R643" s="18"/>
      <c r="S643" s="18"/>
      <c r="T643" s="18"/>
      <c r="U643" s="18"/>
      <c r="V643" s="18"/>
      <c r="W643" s="32"/>
      <c r="X643" s="18"/>
      <c r="Y643" s="18"/>
      <c r="Z643" s="32"/>
      <c r="AA643" s="18"/>
      <c r="AB643" s="18"/>
      <c r="AC643" s="18"/>
      <c r="AD643" s="33"/>
      <c r="AE643" s="32"/>
    </row>
    <row r="644" spans="14:31" x14ac:dyDescent="0.3">
      <c r="N644" s="11"/>
      <c r="P644" s="49"/>
      <c r="Q644" s="18"/>
      <c r="R644" s="18"/>
      <c r="S644" s="18"/>
      <c r="T644" s="18"/>
      <c r="U644" s="18"/>
      <c r="V644" s="18"/>
      <c r="W644" s="32"/>
      <c r="X644" s="18"/>
      <c r="Y644" s="18"/>
      <c r="Z644" s="32"/>
      <c r="AA644" s="18"/>
      <c r="AB644" s="18"/>
      <c r="AC644" s="18"/>
      <c r="AD644" s="33"/>
      <c r="AE644" s="32"/>
    </row>
    <row r="645" spans="14:31" x14ac:dyDescent="0.3">
      <c r="N645" s="11"/>
      <c r="P645" s="49"/>
      <c r="Q645" s="18"/>
      <c r="R645" s="18"/>
      <c r="S645" s="18"/>
      <c r="T645" s="18"/>
      <c r="U645" s="18"/>
      <c r="V645" s="18"/>
      <c r="W645" s="32"/>
      <c r="X645" s="18"/>
      <c r="Y645" s="18"/>
      <c r="Z645" s="32"/>
      <c r="AA645" s="18"/>
      <c r="AB645" s="18"/>
      <c r="AC645" s="18"/>
      <c r="AD645" s="33"/>
      <c r="AE645" s="32"/>
    </row>
    <row r="646" spans="14:31" x14ac:dyDescent="0.3">
      <c r="N646" s="11"/>
      <c r="P646" s="49"/>
      <c r="Q646" s="18"/>
      <c r="R646" s="18"/>
      <c r="S646" s="18"/>
      <c r="T646" s="18"/>
      <c r="U646" s="18"/>
      <c r="V646" s="18"/>
      <c r="W646" s="32"/>
      <c r="X646" s="18"/>
      <c r="Y646" s="18"/>
      <c r="Z646" s="32"/>
      <c r="AA646" s="18"/>
      <c r="AB646" s="18"/>
      <c r="AC646" s="18"/>
      <c r="AD646" s="33"/>
      <c r="AE646" s="32"/>
    </row>
    <row r="647" spans="14:31" x14ac:dyDescent="0.3">
      <c r="N647" s="11"/>
      <c r="P647" s="49"/>
      <c r="Q647" s="18"/>
      <c r="R647" s="18"/>
      <c r="S647" s="18"/>
      <c r="T647" s="18"/>
      <c r="U647" s="18"/>
      <c r="V647" s="18"/>
      <c r="W647" s="32"/>
      <c r="X647" s="18"/>
      <c r="Y647" s="18"/>
      <c r="Z647" s="32"/>
      <c r="AA647" s="18"/>
      <c r="AB647" s="18"/>
      <c r="AC647" s="18"/>
      <c r="AD647" s="33"/>
      <c r="AE647" s="32"/>
    </row>
    <row r="648" spans="14:31" x14ac:dyDescent="0.3">
      <c r="N648" s="11"/>
      <c r="P648" s="49"/>
      <c r="Q648" s="18"/>
      <c r="R648" s="18"/>
      <c r="S648" s="18"/>
      <c r="T648" s="18"/>
      <c r="U648" s="18"/>
      <c r="V648" s="18"/>
      <c r="W648" s="32"/>
      <c r="X648" s="18"/>
      <c r="Y648" s="18"/>
      <c r="Z648" s="32"/>
      <c r="AA648" s="18"/>
      <c r="AB648" s="18"/>
      <c r="AC648" s="18"/>
      <c r="AD648" s="33"/>
      <c r="AE648" s="32"/>
    </row>
    <row r="649" spans="14:31" x14ac:dyDescent="0.3">
      <c r="N649" s="11"/>
      <c r="P649" s="49"/>
      <c r="Q649" s="18"/>
      <c r="R649" s="18"/>
      <c r="S649" s="18"/>
      <c r="T649" s="18"/>
      <c r="U649" s="18"/>
      <c r="V649" s="18"/>
      <c r="W649" s="32"/>
      <c r="X649" s="18"/>
      <c r="Y649" s="18"/>
      <c r="Z649" s="32"/>
      <c r="AA649" s="18"/>
      <c r="AB649" s="18"/>
      <c r="AC649" s="18"/>
      <c r="AD649" s="33"/>
      <c r="AE649" s="32"/>
    </row>
    <row r="650" spans="14:31" x14ac:dyDescent="0.3">
      <c r="N650" s="11"/>
      <c r="P650" s="49"/>
      <c r="Q650" s="18"/>
      <c r="R650" s="18"/>
      <c r="S650" s="18"/>
      <c r="T650" s="18"/>
      <c r="U650" s="18"/>
      <c r="V650" s="18"/>
      <c r="W650" s="32"/>
      <c r="X650" s="18"/>
      <c r="Y650" s="18"/>
      <c r="Z650" s="32"/>
      <c r="AA650" s="18"/>
      <c r="AB650" s="18"/>
      <c r="AC650" s="18"/>
      <c r="AD650" s="33"/>
      <c r="AE650" s="32"/>
    </row>
    <row r="651" spans="14:31" x14ac:dyDescent="0.3">
      <c r="N651" s="11"/>
      <c r="P651" s="49"/>
      <c r="Q651" s="18"/>
      <c r="R651" s="18"/>
      <c r="S651" s="18"/>
      <c r="T651" s="18"/>
      <c r="U651" s="18"/>
      <c r="V651" s="18"/>
      <c r="W651" s="32"/>
      <c r="X651" s="18"/>
      <c r="Y651" s="18"/>
      <c r="Z651" s="32"/>
      <c r="AA651" s="18"/>
      <c r="AB651" s="18"/>
      <c r="AC651" s="18"/>
      <c r="AD651" s="33"/>
      <c r="AE651" s="32"/>
    </row>
    <row r="652" spans="14:31" x14ac:dyDescent="0.3">
      <c r="N652" s="11"/>
      <c r="P652" s="49"/>
      <c r="Q652" s="18"/>
      <c r="R652" s="18"/>
      <c r="S652" s="18"/>
      <c r="T652" s="18"/>
      <c r="U652" s="18"/>
      <c r="V652" s="18"/>
      <c r="W652" s="32"/>
      <c r="X652" s="18"/>
      <c r="Y652" s="18"/>
      <c r="Z652" s="32"/>
      <c r="AA652" s="18"/>
      <c r="AB652" s="18"/>
      <c r="AC652" s="18"/>
      <c r="AD652" s="33"/>
      <c r="AE652" s="32"/>
    </row>
    <row r="653" spans="14:31" x14ac:dyDescent="0.3">
      <c r="N653" s="11"/>
      <c r="P653" s="49"/>
      <c r="Q653" s="18"/>
      <c r="R653" s="18"/>
      <c r="S653" s="18"/>
      <c r="T653" s="18"/>
      <c r="U653" s="18"/>
      <c r="V653" s="18"/>
      <c r="W653" s="32"/>
      <c r="X653" s="18"/>
      <c r="Y653" s="18"/>
      <c r="Z653" s="32"/>
      <c r="AA653" s="18"/>
      <c r="AB653" s="18"/>
      <c r="AC653" s="18"/>
      <c r="AD653" s="33"/>
      <c r="AE653" s="32"/>
    </row>
    <row r="654" spans="14:31" x14ac:dyDescent="0.3">
      <c r="N654" s="11"/>
      <c r="P654" s="49"/>
      <c r="Q654" s="18"/>
      <c r="R654" s="18"/>
      <c r="S654" s="18"/>
      <c r="T654" s="18"/>
      <c r="U654" s="18"/>
      <c r="V654" s="18"/>
      <c r="W654" s="32"/>
      <c r="X654" s="18"/>
      <c r="Y654" s="18"/>
      <c r="Z654" s="32"/>
      <c r="AA654" s="18"/>
      <c r="AB654" s="18"/>
      <c r="AC654" s="18"/>
      <c r="AD654" s="33"/>
      <c r="AE654" s="32"/>
    </row>
    <row r="655" spans="14:31" x14ac:dyDescent="0.3">
      <c r="N655" s="11"/>
      <c r="P655" s="49"/>
      <c r="Q655" s="18"/>
      <c r="R655" s="18"/>
      <c r="S655" s="18"/>
      <c r="T655" s="18"/>
      <c r="U655" s="18"/>
      <c r="V655" s="18"/>
      <c r="W655" s="32"/>
      <c r="X655" s="18"/>
      <c r="Y655" s="18"/>
      <c r="Z655" s="32"/>
      <c r="AA655" s="18"/>
      <c r="AB655" s="18"/>
      <c r="AC655" s="18"/>
      <c r="AD655" s="33"/>
      <c r="AE655" s="32"/>
    </row>
    <row r="656" spans="14:31" x14ac:dyDescent="0.3">
      <c r="N656" s="11"/>
      <c r="P656" s="49"/>
      <c r="Q656" s="18"/>
      <c r="R656" s="18"/>
      <c r="S656" s="18"/>
      <c r="T656" s="18"/>
      <c r="U656" s="18"/>
      <c r="V656" s="18"/>
      <c r="W656" s="32"/>
      <c r="X656" s="18"/>
      <c r="Y656" s="18"/>
      <c r="Z656" s="32"/>
      <c r="AA656" s="18"/>
      <c r="AB656" s="18"/>
      <c r="AC656" s="18"/>
      <c r="AD656" s="33"/>
      <c r="AE656" s="32"/>
    </row>
    <row r="657" spans="14:31" x14ac:dyDescent="0.3">
      <c r="N657" s="11"/>
      <c r="P657" s="49"/>
      <c r="Q657" s="18"/>
      <c r="R657" s="18"/>
      <c r="S657" s="18"/>
      <c r="T657" s="18"/>
      <c r="U657" s="18"/>
      <c r="V657" s="18"/>
      <c r="W657" s="32"/>
      <c r="X657" s="18"/>
      <c r="Y657" s="18"/>
      <c r="Z657" s="32"/>
      <c r="AA657" s="18"/>
      <c r="AB657" s="18"/>
      <c r="AC657" s="18"/>
      <c r="AD657" s="33"/>
      <c r="AE657" s="32"/>
    </row>
    <row r="658" spans="14:31" x14ac:dyDescent="0.3">
      <c r="N658" s="11"/>
      <c r="P658" s="49"/>
      <c r="Q658" s="18"/>
      <c r="R658" s="18"/>
      <c r="S658" s="18"/>
      <c r="T658" s="18"/>
      <c r="U658" s="18"/>
      <c r="V658" s="18"/>
      <c r="W658" s="32"/>
      <c r="X658" s="18"/>
      <c r="Y658" s="18"/>
      <c r="Z658" s="32"/>
      <c r="AA658" s="18"/>
      <c r="AB658" s="18"/>
      <c r="AC658" s="18"/>
      <c r="AD658" s="33"/>
      <c r="AE658" s="32"/>
    </row>
    <row r="659" spans="14:31" x14ac:dyDescent="0.3">
      <c r="N659" s="11"/>
      <c r="P659" s="49"/>
      <c r="Q659" s="18"/>
      <c r="R659" s="18"/>
      <c r="S659" s="18"/>
      <c r="T659" s="18"/>
      <c r="U659" s="18"/>
      <c r="V659" s="18"/>
      <c r="W659" s="32"/>
      <c r="X659" s="18"/>
      <c r="Y659" s="18"/>
      <c r="Z659" s="32"/>
      <c r="AA659" s="18"/>
      <c r="AB659" s="18"/>
      <c r="AC659" s="18"/>
      <c r="AD659" s="33"/>
      <c r="AE659" s="32"/>
    </row>
    <row r="660" spans="14:31" x14ac:dyDescent="0.3">
      <c r="N660" s="11"/>
      <c r="P660" s="49"/>
      <c r="Q660" s="18"/>
      <c r="R660" s="18"/>
      <c r="S660" s="18"/>
      <c r="T660" s="18"/>
      <c r="U660" s="18"/>
      <c r="V660" s="18"/>
      <c r="W660" s="32"/>
      <c r="X660" s="18"/>
      <c r="Y660" s="18"/>
      <c r="Z660" s="32"/>
      <c r="AA660" s="18"/>
      <c r="AB660" s="18"/>
      <c r="AC660" s="18"/>
      <c r="AD660" s="33"/>
      <c r="AE660" s="32"/>
    </row>
    <row r="661" spans="14:31" x14ac:dyDescent="0.3">
      <c r="N661" s="11"/>
      <c r="P661" s="49"/>
      <c r="Q661" s="18"/>
      <c r="R661" s="18"/>
      <c r="S661" s="18"/>
      <c r="T661" s="18"/>
      <c r="U661" s="18"/>
      <c r="V661" s="18"/>
      <c r="W661" s="32"/>
      <c r="X661" s="18"/>
      <c r="Y661" s="18"/>
      <c r="Z661" s="32"/>
      <c r="AA661" s="18"/>
      <c r="AB661" s="18"/>
      <c r="AC661" s="18"/>
      <c r="AD661" s="33"/>
      <c r="AE661" s="32"/>
    </row>
    <row r="662" spans="14:31" x14ac:dyDescent="0.3">
      <c r="N662" s="11"/>
      <c r="P662" s="49"/>
      <c r="Q662" s="18"/>
      <c r="R662" s="18"/>
      <c r="S662" s="18"/>
      <c r="T662" s="18"/>
      <c r="U662" s="18"/>
      <c r="V662" s="18"/>
      <c r="W662" s="32"/>
      <c r="X662" s="18"/>
      <c r="Y662" s="18"/>
      <c r="Z662" s="32"/>
      <c r="AA662" s="18"/>
      <c r="AB662" s="18"/>
      <c r="AC662" s="18"/>
      <c r="AD662" s="33"/>
      <c r="AE662" s="32"/>
    </row>
    <row r="663" spans="14:31" x14ac:dyDescent="0.3">
      <c r="N663" s="11"/>
      <c r="P663" s="49"/>
      <c r="Q663" s="18"/>
      <c r="R663" s="18"/>
      <c r="S663" s="18"/>
      <c r="T663" s="18"/>
      <c r="U663" s="18"/>
      <c r="V663" s="18"/>
      <c r="W663" s="32"/>
      <c r="X663" s="18"/>
      <c r="Y663" s="18"/>
      <c r="Z663" s="32"/>
      <c r="AA663" s="18"/>
      <c r="AB663" s="18"/>
      <c r="AC663" s="18"/>
      <c r="AD663" s="33"/>
      <c r="AE663" s="32"/>
    </row>
    <row r="664" spans="14:31" x14ac:dyDescent="0.3">
      <c r="N664" s="11"/>
      <c r="P664" s="49"/>
      <c r="Q664" s="18"/>
      <c r="R664" s="18"/>
      <c r="S664" s="18"/>
      <c r="T664" s="18"/>
      <c r="U664" s="18"/>
      <c r="V664" s="18"/>
      <c r="W664" s="32"/>
      <c r="X664" s="18"/>
      <c r="Y664" s="18"/>
      <c r="Z664" s="32"/>
      <c r="AA664" s="18"/>
      <c r="AB664" s="18"/>
      <c r="AC664" s="18"/>
      <c r="AD664" s="33"/>
      <c r="AE664" s="32"/>
    </row>
    <row r="665" spans="14:31" x14ac:dyDescent="0.3">
      <c r="N665" s="11"/>
      <c r="P665" s="49"/>
      <c r="Q665" s="18"/>
      <c r="R665" s="18"/>
      <c r="S665" s="18"/>
      <c r="T665" s="18"/>
      <c r="U665" s="18"/>
      <c r="V665" s="18"/>
      <c r="W665" s="32"/>
      <c r="X665" s="18"/>
      <c r="Y665" s="18"/>
      <c r="Z665" s="32"/>
      <c r="AA665" s="18"/>
      <c r="AB665" s="18"/>
      <c r="AC665" s="18"/>
      <c r="AD665" s="33"/>
      <c r="AE665" s="32"/>
    </row>
    <row r="666" spans="14:31" x14ac:dyDescent="0.3">
      <c r="N666" s="11"/>
      <c r="P666" s="49"/>
      <c r="Q666" s="18"/>
      <c r="R666" s="18"/>
      <c r="S666" s="18"/>
      <c r="T666" s="18"/>
      <c r="U666" s="18"/>
      <c r="V666" s="18"/>
      <c r="W666" s="32"/>
      <c r="X666" s="18"/>
      <c r="Y666" s="18"/>
      <c r="Z666" s="32"/>
      <c r="AA666" s="18"/>
      <c r="AB666" s="18"/>
      <c r="AC666" s="18"/>
      <c r="AD666" s="33"/>
      <c r="AE666" s="32"/>
    </row>
    <row r="667" spans="14:31" x14ac:dyDescent="0.3">
      <c r="N667" s="11"/>
      <c r="P667" s="49"/>
      <c r="Q667" s="18"/>
      <c r="R667" s="18"/>
      <c r="S667" s="18"/>
      <c r="T667" s="18"/>
      <c r="U667" s="18"/>
      <c r="V667" s="18"/>
      <c r="W667" s="32"/>
      <c r="X667" s="18"/>
      <c r="Y667" s="18"/>
      <c r="Z667" s="32"/>
      <c r="AA667" s="18"/>
      <c r="AB667" s="18"/>
      <c r="AC667" s="18"/>
      <c r="AD667" s="33"/>
      <c r="AE667" s="32"/>
    </row>
    <row r="668" spans="14:31" x14ac:dyDescent="0.3">
      <c r="N668" s="11"/>
      <c r="P668" s="49"/>
      <c r="Q668" s="18"/>
      <c r="R668" s="18"/>
      <c r="S668" s="18"/>
      <c r="T668" s="18"/>
      <c r="U668" s="18"/>
      <c r="V668" s="18"/>
      <c r="W668" s="32"/>
      <c r="X668" s="18"/>
      <c r="Y668" s="18"/>
      <c r="Z668" s="32"/>
      <c r="AA668" s="18"/>
      <c r="AB668" s="18"/>
      <c r="AC668" s="18"/>
      <c r="AD668" s="33"/>
      <c r="AE668" s="32"/>
    </row>
    <row r="669" spans="14:31" x14ac:dyDescent="0.3">
      <c r="N669" s="11"/>
      <c r="P669" s="49"/>
      <c r="Q669" s="18"/>
      <c r="R669" s="18"/>
      <c r="S669" s="18"/>
      <c r="T669" s="18"/>
      <c r="U669" s="18"/>
      <c r="V669" s="18"/>
      <c r="W669" s="32"/>
      <c r="X669" s="18"/>
      <c r="Y669" s="18"/>
      <c r="Z669" s="32"/>
      <c r="AA669" s="18"/>
      <c r="AB669" s="18"/>
      <c r="AC669" s="18"/>
      <c r="AD669" s="33"/>
      <c r="AE669" s="32"/>
    </row>
    <row r="670" spans="14:31" x14ac:dyDescent="0.3">
      <c r="N670" s="11"/>
      <c r="P670" s="49"/>
      <c r="Q670" s="18"/>
      <c r="R670" s="18"/>
      <c r="S670" s="18"/>
      <c r="T670" s="18"/>
      <c r="U670" s="18"/>
      <c r="V670" s="18"/>
      <c r="W670" s="32"/>
      <c r="X670" s="18"/>
      <c r="Y670" s="18"/>
      <c r="Z670" s="32"/>
      <c r="AA670" s="18"/>
      <c r="AB670" s="18"/>
      <c r="AC670" s="18"/>
      <c r="AD670" s="33"/>
      <c r="AE670" s="32"/>
    </row>
    <row r="671" spans="14:31" x14ac:dyDescent="0.3">
      <c r="N671" s="11"/>
      <c r="P671" s="49"/>
      <c r="Q671" s="18"/>
      <c r="R671" s="18"/>
      <c r="S671" s="18"/>
      <c r="T671" s="18"/>
      <c r="U671" s="18"/>
      <c r="V671" s="18"/>
      <c r="W671" s="32"/>
      <c r="X671" s="18"/>
      <c r="Y671" s="18"/>
      <c r="Z671" s="32"/>
      <c r="AA671" s="18"/>
      <c r="AB671" s="18"/>
      <c r="AC671" s="18"/>
      <c r="AD671" s="33"/>
      <c r="AE671" s="32"/>
    </row>
    <row r="672" spans="14:31" x14ac:dyDescent="0.3">
      <c r="N672" s="11"/>
      <c r="P672" s="49"/>
      <c r="Q672" s="18"/>
      <c r="R672" s="18"/>
      <c r="S672" s="18"/>
      <c r="T672" s="18"/>
      <c r="U672" s="18"/>
      <c r="V672" s="18"/>
      <c r="W672" s="32"/>
      <c r="X672" s="18"/>
      <c r="Y672" s="18"/>
      <c r="Z672" s="32"/>
      <c r="AA672" s="18"/>
      <c r="AB672" s="18"/>
      <c r="AC672" s="18"/>
      <c r="AD672" s="33"/>
      <c r="AE672" s="32"/>
    </row>
    <row r="673" spans="14:31" x14ac:dyDescent="0.3">
      <c r="N673" s="11"/>
      <c r="P673" s="49"/>
      <c r="Q673" s="18"/>
      <c r="R673" s="18"/>
      <c r="S673" s="18"/>
      <c r="T673" s="18"/>
      <c r="U673" s="18"/>
      <c r="V673" s="18"/>
      <c r="W673" s="32"/>
      <c r="X673" s="18"/>
      <c r="Y673" s="18"/>
      <c r="Z673" s="32"/>
      <c r="AA673" s="18"/>
      <c r="AB673" s="18"/>
      <c r="AC673" s="18"/>
      <c r="AD673" s="33"/>
      <c r="AE673" s="32"/>
    </row>
    <row r="674" spans="14:31" x14ac:dyDescent="0.3">
      <c r="N674" s="11"/>
      <c r="P674" s="49"/>
      <c r="Q674" s="18"/>
      <c r="R674" s="18"/>
      <c r="S674" s="18"/>
      <c r="T674" s="18"/>
      <c r="U674" s="18"/>
      <c r="V674" s="18"/>
      <c r="W674" s="32"/>
      <c r="X674" s="18"/>
      <c r="Y674" s="18"/>
      <c r="Z674" s="32"/>
      <c r="AA674" s="18"/>
      <c r="AB674" s="18"/>
      <c r="AC674" s="18"/>
      <c r="AD674" s="33"/>
      <c r="AE674" s="32"/>
    </row>
    <row r="675" spans="14:31" x14ac:dyDescent="0.3">
      <c r="N675" s="11"/>
      <c r="P675" s="49"/>
      <c r="Q675" s="18"/>
      <c r="R675" s="18"/>
      <c r="S675" s="18"/>
      <c r="T675" s="18"/>
      <c r="U675" s="18"/>
      <c r="V675" s="18"/>
      <c r="W675" s="32"/>
      <c r="X675" s="18"/>
      <c r="Y675" s="18"/>
      <c r="Z675" s="32"/>
      <c r="AA675" s="18"/>
      <c r="AB675" s="18"/>
      <c r="AC675" s="18"/>
      <c r="AD675" s="33"/>
      <c r="AE675" s="32"/>
    </row>
    <row r="676" spans="14:31" x14ac:dyDescent="0.3">
      <c r="N676" s="11"/>
      <c r="P676" s="49"/>
      <c r="Q676" s="18"/>
      <c r="R676" s="18"/>
      <c r="S676" s="18"/>
      <c r="T676" s="18"/>
      <c r="U676" s="18"/>
      <c r="V676" s="18"/>
      <c r="W676" s="32"/>
      <c r="X676" s="18"/>
      <c r="Y676" s="18"/>
      <c r="Z676" s="32"/>
      <c r="AA676" s="18"/>
      <c r="AB676" s="18"/>
      <c r="AC676" s="18"/>
      <c r="AD676" s="33"/>
      <c r="AE676" s="32"/>
    </row>
    <row r="677" spans="14:31" x14ac:dyDescent="0.3">
      <c r="N677" s="11"/>
      <c r="P677" s="49"/>
      <c r="Q677" s="18"/>
      <c r="R677" s="18"/>
      <c r="S677" s="18"/>
      <c r="T677" s="18"/>
      <c r="U677" s="18"/>
      <c r="V677" s="18"/>
      <c r="W677" s="32"/>
      <c r="X677" s="18"/>
      <c r="Y677" s="18"/>
      <c r="Z677" s="32"/>
      <c r="AA677" s="18"/>
      <c r="AB677" s="18"/>
      <c r="AC677" s="18"/>
      <c r="AD677" s="33"/>
      <c r="AE677" s="32"/>
    </row>
    <row r="678" spans="14:31" x14ac:dyDescent="0.3">
      <c r="N678" s="11"/>
      <c r="P678" s="49"/>
      <c r="Q678" s="18"/>
      <c r="R678" s="18"/>
      <c r="S678" s="18"/>
      <c r="T678" s="18"/>
      <c r="U678" s="18"/>
      <c r="V678" s="18"/>
      <c r="W678" s="32"/>
      <c r="X678" s="18"/>
      <c r="Y678" s="18"/>
      <c r="Z678" s="32"/>
      <c r="AA678" s="18"/>
      <c r="AB678" s="18"/>
      <c r="AC678" s="18"/>
      <c r="AD678" s="33"/>
      <c r="AE678" s="32"/>
    </row>
    <row r="679" spans="14:31" x14ac:dyDescent="0.3">
      <c r="N679" s="11"/>
      <c r="P679" s="49"/>
      <c r="Q679" s="18"/>
      <c r="R679" s="18"/>
      <c r="S679" s="18"/>
      <c r="T679" s="18"/>
      <c r="U679" s="18"/>
      <c r="V679" s="18"/>
      <c r="W679" s="32"/>
      <c r="X679" s="18"/>
      <c r="Y679" s="18"/>
      <c r="Z679" s="32"/>
      <c r="AA679" s="18"/>
      <c r="AB679" s="18"/>
      <c r="AC679" s="18"/>
      <c r="AD679" s="33"/>
      <c r="AE679" s="32"/>
    </row>
    <row r="680" spans="14:31" x14ac:dyDescent="0.3">
      <c r="N680" s="11"/>
      <c r="P680" s="49"/>
      <c r="Q680" s="18"/>
      <c r="R680" s="18"/>
      <c r="S680" s="18"/>
      <c r="T680" s="18"/>
      <c r="U680" s="18"/>
      <c r="V680" s="18"/>
      <c r="W680" s="32"/>
      <c r="X680" s="18"/>
      <c r="Y680" s="18"/>
      <c r="Z680" s="32"/>
      <c r="AA680" s="18"/>
      <c r="AB680" s="18"/>
      <c r="AC680" s="18"/>
      <c r="AD680" s="33"/>
      <c r="AE680" s="32"/>
    </row>
    <row r="681" spans="14:31" x14ac:dyDescent="0.3">
      <c r="N681" s="11"/>
      <c r="P681" s="49"/>
      <c r="Q681" s="18"/>
      <c r="R681" s="18"/>
      <c r="S681" s="18"/>
      <c r="T681" s="18"/>
      <c r="U681" s="18"/>
      <c r="V681" s="18"/>
      <c r="W681" s="32"/>
      <c r="X681" s="18"/>
      <c r="Y681" s="18"/>
      <c r="Z681" s="32"/>
      <c r="AA681" s="18"/>
      <c r="AB681" s="18"/>
      <c r="AC681" s="18"/>
      <c r="AD681" s="33"/>
      <c r="AE681" s="32"/>
    </row>
    <row r="682" spans="14:31" x14ac:dyDescent="0.3">
      <c r="N682" s="11"/>
      <c r="P682" s="49"/>
      <c r="Q682" s="18"/>
      <c r="R682" s="18"/>
      <c r="S682" s="18"/>
      <c r="T682" s="18"/>
      <c r="U682" s="18"/>
      <c r="V682" s="18"/>
      <c r="W682" s="32"/>
      <c r="X682" s="18"/>
      <c r="Y682" s="18"/>
      <c r="Z682" s="32"/>
      <c r="AA682" s="18"/>
      <c r="AB682" s="18"/>
      <c r="AC682" s="18"/>
      <c r="AD682" s="33"/>
      <c r="AE682" s="32"/>
    </row>
    <row r="683" spans="14:31" x14ac:dyDescent="0.3">
      <c r="N683" s="11"/>
      <c r="P683" s="49"/>
      <c r="Q683" s="18"/>
      <c r="R683" s="18"/>
      <c r="S683" s="18"/>
      <c r="T683" s="18"/>
      <c r="U683" s="18"/>
      <c r="V683" s="18"/>
      <c r="W683" s="32"/>
      <c r="X683" s="18"/>
      <c r="Y683" s="18"/>
      <c r="Z683" s="32"/>
      <c r="AA683" s="18"/>
      <c r="AB683" s="18"/>
      <c r="AC683" s="18"/>
      <c r="AD683" s="33"/>
      <c r="AE683" s="32"/>
    </row>
    <row r="684" spans="14:31" x14ac:dyDescent="0.3">
      <c r="N684" s="11"/>
      <c r="P684" s="49"/>
      <c r="Q684" s="18"/>
      <c r="R684" s="18"/>
      <c r="S684" s="18"/>
      <c r="T684" s="18"/>
      <c r="U684" s="18"/>
      <c r="V684" s="18"/>
      <c r="W684" s="32"/>
      <c r="X684" s="18"/>
      <c r="Y684" s="18"/>
      <c r="Z684" s="32"/>
      <c r="AA684" s="18"/>
      <c r="AB684" s="18"/>
      <c r="AC684" s="18"/>
      <c r="AD684" s="33"/>
      <c r="AE684" s="32"/>
    </row>
    <row r="685" spans="14:31" x14ac:dyDescent="0.3">
      <c r="N685" s="11"/>
      <c r="P685" s="49"/>
      <c r="Q685" s="18"/>
      <c r="R685" s="18"/>
      <c r="S685" s="18"/>
      <c r="T685" s="18"/>
      <c r="U685" s="18"/>
      <c r="V685" s="18"/>
      <c r="W685" s="32"/>
      <c r="X685" s="18"/>
      <c r="Y685" s="18"/>
      <c r="Z685" s="32"/>
      <c r="AA685" s="18"/>
      <c r="AB685" s="18"/>
      <c r="AC685" s="18"/>
      <c r="AD685" s="33"/>
      <c r="AE685" s="32"/>
    </row>
    <row r="686" spans="14:31" x14ac:dyDescent="0.3">
      <c r="N686" s="11"/>
      <c r="P686" s="49"/>
      <c r="Q686" s="18"/>
      <c r="R686" s="18"/>
      <c r="S686" s="18"/>
      <c r="T686" s="18"/>
      <c r="U686" s="18"/>
      <c r="V686" s="18"/>
      <c r="W686" s="32"/>
      <c r="X686" s="18"/>
      <c r="Y686" s="18"/>
      <c r="Z686" s="32"/>
      <c r="AA686" s="18"/>
      <c r="AB686" s="18"/>
      <c r="AC686" s="18"/>
      <c r="AD686" s="33"/>
      <c r="AE686" s="32"/>
    </row>
    <row r="687" spans="14:31" x14ac:dyDescent="0.3">
      <c r="N687" s="11"/>
      <c r="P687" s="49"/>
      <c r="Q687" s="18"/>
      <c r="R687" s="18"/>
      <c r="S687" s="18"/>
      <c r="T687" s="18"/>
      <c r="U687" s="18"/>
      <c r="V687" s="18"/>
      <c r="W687" s="32"/>
      <c r="X687" s="18"/>
      <c r="Y687" s="18"/>
      <c r="Z687" s="32"/>
      <c r="AA687" s="18"/>
      <c r="AB687" s="18"/>
      <c r="AC687" s="18"/>
      <c r="AD687" s="33"/>
      <c r="AE687" s="32"/>
    </row>
    <row r="688" spans="14:31" x14ac:dyDescent="0.3">
      <c r="N688" s="11"/>
      <c r="P688" s="49"/>
      <c r="Q688" s="18"/>
      <c r="R688" s="18"/>
      <c r="S688" s="18"/>
      <c r="T688" s="18"/>
      <c r="U688" s="18"/>
      <c r="V688" s="18"/>
      <c r="W688" s="32"/>
      <c r="X688" s="18"/>
      <c r="Y688" s="18"/>
      <c r="Z688" s="32"/>
      <c r="AA688" s="18"/>
      <c r="AB688" s="18"/>
      <c r="AC688" s="18"/>
      <c r="AD688" s="33"/>
      <c r="AE688" s="32"/>
    </row>
    <row r="689" spans="14:31" x14ac:dyDescent="0.3">
      <c r="N689" s="11"/>
      <c r="P689" s="49"/>
      <c r="Q689" s="18"/>
      <c r="R689" s="18"/>
      <c r="S689" s="18"/>
      <c r="T689" s="18"/>
      <c r="U689" s="18"/>
      <c r="V689" s="18"/>
      <c r="W689" s="32"/>
      <c r="X689" s="18"/>
      <c r="Y689" s="18"/>
      <c r="Z689" s="32"/>
      <c r="AA689" s="18"/>
      <c r="AB689" s="18"/>
      <c r="AC689" s="18"/>
      <c r="AD689" s="33"/>
      <c r="AE689" s="32"/>
    </row>
    <row r="690" spans="14:31" x14ac:dyDescent="0.3">
      <c r="N690" s="11"/>
      <c r="P690" s="49"/>
      <c r="Q690" s="18"/>
      <c r="R690" s="18"/>
      <c r="S690" s="18"/>
      <c r="T690" s="18"/>
      <c r="U690" s="18"/>
      <c r="V690" s="18"/>
      <c r="W690" s="32"/>
      <c r="X690" s="18"/>
      <c r="Y690" s="18"/>
      <c r="Z690" s="32"/>
      <c r="AA690" s="18"/>
      <c r="AB690" s="18"/>
      <c r="AC690" s="18"/>
      <c r="AD690" s="33"/>
      <c r="AE690" s="32"/>
    </row>
    <row r="691" spans="14:31" x14ac:dyDescent="0.3">
      <c r="N691" s="11"/>
      <c r="P691" s="49"/>
      <c r="Q691" s="18"/>
      <c r="R691" s="18"/>
      <c r="S691" s="18"/>
      <c r="T691" s="18"/>
      <c r="U691" s="18"/>
      <c r="V691" s="18"/>
      <c r="W691" s="32"/>
      <c r="X691" s="18"/>
      <c r="Y691" s="18"/>
      <c r="Z691" s="32"/>
      <c r="AA691" s="18"/>
      <c r="AB691" s="18"/>
      <c r="AC691" s="18"/>
      <c r="AD691" s="33"/>
      <c r="AE691" s="32"/>
    </row>
    <row r="692" spans="14:31" x14ac:dyDescent="0.3">
      <c r="N692" s="11"/>
      <c r="P692" s="49"/>
      <c r="Q692" s="18"/>
      <c r="R692" s="18"/>
      <c r="S692" s="18"/>
      <c r="T692" s="18"/>
      <c r="U692" s="18"/>
      <c r="V692" s="18"/>
      <c r="W692" s="32"/>
      <c r="X692" s="18"/>
      <c r="Y692" s="18"/>
      <c r="Z692" s="32"/>
      <c r="AA692" s="18"/>
      <c r="AB692" s="18"/>
      <c r="AC692" s="18"/>
      <c r="AD692" s="33"/>
      <c r="AE692" s="32"/>
    </row>
    <row r="693" spans="14:31" x14ac:dyDescent="0.3">
      <c r="N693" s="11"/>
      <c r="P693" s="49"/>
      <c r="Q693" s="18"/>
      <c r="R693" s="18"/>
      <c r="S693" s="18"/>
      <c r="T693" s="18"/>
      <c r="U693" s="18"/>
      <c r="V693" s="18"/>
      <c r="W693" s="32"/>
      <c r="X693" s="18"/>
      <c r="Y693" s="18"/>
      <c r="Z693" s="32"/>
      <c r="AA693" s="18"/>
      <c r="AB693" s="18"/>
      <c r="AC693" s="18"/>
      <c r="AD693" s="33"/>
      <c r="AE693" s="32"/>
    </row>
    <row r="694" spans="14:31" x14ac:dyDescent="0.3">
      <c r="N694" s="11"/>
      <c r="P694" s="49"/>
      <c r="Q694" s="18"/>
      <c r="R694" s="18"/>
      <c r="S694" s="18"/>
      <c r="T694" s="18"/>
      <c r="U694" s="18"/>
      <c r="V694" s="18"/>
      <c r="W694" s="32"/>
      <c r="X694" s="18"/>
      <c r="Y694" s="18"/>
      <c r="Z694" s="32"/>
      <c r="AA694" s="18"/>
      <c r="AB694" s="18"/>
      <c r="AC694" s="18"/>
      <c r="AD694" s="33"/>
      <c r="AE694" s="32"/>
    </row>
    <row r="695" spans="14:31" x14ac:dyDescent="0.3">
      <c r="N695" s="11"/>
      <c r="P695" s="49"/>
      <c r="Q695" s="18"/>
      <c r="R695" s="18"/>
      <c r="S695" s="18"/>
      <c r="T695" s="18"/>
      <c r="U695" s="18"/>
      <c r="V695" s="18"/>
      <c r="W695" s="32"/>
      <c r="X695" s="18"/>
      <c r="Y695" s="18"/>
      <c r="Z695" s="32"/>
      <c r="AA695" s="18"/>
      <c r="AB695" s="18"/>
      <c r="AC695" s="18"/>
      <c r="AD695" s="33"/>
      <c r="AE695" s="32"/>
    </row>
    <row r="696" spans="14:31" x14ac:dyDescent="0.3">
      <c r="N696" s="11"/>
      <c r="P696" s="49"/>
      <c r="Q696" s="18"/>
      <c r="R696" s="18"/>
      <c r="S696" s="18"/>
      <c r="T696" s="18"/>
      <c r="U696" s="18"/>
      <c r="V696" s="18"/>
      <c r="W696" s="32"/>
      <c r="X696" s="18"/>
      <c r="Y696" s="18"/>
      <c r="Z696" s="32"/>
      <c r="AA696" s="18"/>
      <c r="AB696" s="18"/>
      <c r="AC696" s="18"/>
      <c r="AD696" s="33"/>
      <c r="AE696" s="32"/>
    </row>
    <row r="697" spans="14:31" x14ac:dyDescent="0.3">
      <c r="N697" s="11"/>
      <c r="P697" s="49"/>
      <c r="Q697" s="18"/>
      <c r="R697" s="18"/>
      <c r="S697" s="18"/>
      <c r="T697" s="18"/>
      <c r="U697" s="18"/>
      <c r="V697" s="18"/>
      <c r="W697" s="32"/>
      <c r="X697" s="18"/>
      <c r="Y697" s="18"/>
      <c r="Z697" s="32"/>
      <c r="AA697" s="18"/>
      <c r="AB697" s="18"/>
      <c r="AC697" s="18"/>
      <c r="AD697" s="33"/>
      <c r="AE697" s="32"/>
    </row>
    <row r="698" spans="14:31" x14ac:dyDescent="0.3">
      <c r="N698" s="11"/>
      <c r="P698" s="49"/>
      <c r="Q698" s="18"/>
      <c r="R698" s="18"/>
      <c r="S698" s="18"/>
      <c r="T698" s="18"/>
      <c r="U698" s="18"/>
      <c r="V698" s="18"/>
      <c r="W698" s="32"/>
      <c r="X698" s="18"/>
      <c r="Y698" s="18"/>
      <c r="Z698" s="32"/>
      <c r="AA698" s="18"/>
      <c r="AB698" s="18"/>
      <c r="AC698" s="18"/>
      <c r="AD698" s="33"/>
      <c r="AE698" s="32"/>
    </row>
    <row r="699" spans="14:31" x14ac:dyDescent="0.3">
      <c r="N699" s="11"/>
      <c r="P699" s="49"/>
      <c r="Q699" s="18"/>
      <c r="R699" s="18"/>
      <c r="S699" s="18"/>
      <c r="T699" s="18"/>
      <c r="U699" s="18"/>
      <c r="V699" s="18"/>
      <c r="W699" s="32"/>
      <c r="X699" s="18"/>
      <c r="Y699" s="18"/>
      <c r="Z699" s="32"/>
      <c r="AA699" s="18"/>
      <c r="AB699" s="18"/>
      <c r="AC699" s="18"/>
      <c r="AD699" s="33"/>
      <c r="AE699" s="32"/>
    </row>
    <row r="700" spans="14:31" x14ac:dyDescent="0.3">
      <c r="N700" s="11"/>
      <c r="P700" s="49"/>
      <c r="Q700" s="18"/>
      <c r="R700" s="18"/>
      <c r="S700" s="18"/>
      <c r="T700" s="18"/>
      <c r="U700" s="18"/>
      <c r="V700" s="18"/>
      <c r="W700" s="32"/>
      <c r="X700" s="18"/>
      <c r="Y700" s="18"/>
      <c r="Z700" s="32"/>
      <c r="AA700" s="18"/>
      <c r="AB700" s="18"/>
      <c r="AC700" s="18"/>
      <c r="AD700" s="33"/>
      <c r="AE700" s="32"/>
    </row>
    <row r="701" spans="14:31" x14ac:dyDescent="0.3">
      <c r="N701" s="11"/>
      <c r="P701" s="49"/>
      <c r="Q701" s="18"/>
      <c r="R701" s="18"/>
      <c r="S701" s="18"/>
      <c r="T701" s="18"/>
      <c r="U701" s="18"/>
      <c r="V701" s="18"/>
      <c r="W701" s="32"/>
      <c r="X701" s="18"/>
      <c r="Y701" s="18"/>
      <c r="Z701" s="32"/>
      <c r="AA701" s="18"/>
      <c r="AB701" s="18"/>
      <c r="AC701" s="18"/>
      <c r="AD701" s="33"/>
      <c r="AE701" s="32"/>
    </row>
    <row r="702" spans="14:31" x14ac:dyDescent="0.3">
      <c r="N702" s="11"/>
      <c r="P702" s="49"/>
      <c r="Q702" s="18"/>
      <c r="R702" s="18"/>
      <c r="S702" s="18"/>
      <c r="T702" s="18"/>
      <c r="U702" s="18"/>
      <c r="V702" s="18"/>
      <c r="W702" s="32"/>
      <c r="X702" s="18"/>
      <c r="Y702" s="18"/>
      <c r="Z702" s="32"/>
      <c r="AA702" s="18"/>
      <c r="AB702" s="18"/>
      <c r="AC702" s="18"/>
      <c r="AD702" s="33"/>
      <c r="AE702" s="32"/>
    </row>
    <row r="703" spans="14:31" x14ac:dyDescent="0.3">
      <c r="N703" s="11"/>
      <c r="P703" s="49"/>
      <c r="Q703" s="18"/>
      <c r="R703" s="18"/>
      <c r="S703" s="18"/>
      <c r="T703" s="18"/>
      <c r="U703" s="18"/>
      <c r="V703" s="18"/>
      <c r="W703" s="32"/>
      <c r="X703" s="18"/>
      <c r="Y703" s="18"/>
      <c r="Z703" s="32"/>
      <c r="AA703" s="18"/>
      <c r="AB703" s="18"/>
      <c r="AC703" s="18"/>
      <c r="AD703" s="33"/>
      <c r="AE703" s="32"/>
    </row>
    <row r="704" spans="14:31" x14ac:dyDescent="0.3">
      <c r="N704" s="11"/>
      <c r="P704" s="49"/>
      <c r="Q704" s="18"/>
      <c r="R704" s="18"/>
      <c r="S704" s="18"/>
      <c r="T704" s="18"/>
      <c r="U704" s="18"/>
      <c r="V704" s="18"/>
      <c r="W704" s="32"/>
      <c r="X704" s="18"/>
      <c r="Y704" s="18"/>
      <c r="Z704" s="32"/>
      <c r="AA704" s="18"/>
      <c r="AB704" s="18"/>
      <c r="AC704" s="18"/>
      <c r="AD704" s="33"/>
      <c r="AE704" s="32"/>
    </row>
    <row r="705" spans="14:31" x14ac:dyDescent="0.3">
      <c r="N705" s="11"/>
      <c r="P705" s="49"/>
      <c r="Q705" s="18"/>
      <c r="R705" s="18"/>
      <c r="S705" s="18"/>
      <c r="T705" s="18"/>
      <c r="U705" s="18"/>
      <c r="V705" s="18"/>
      <c r="W705" s="32"/>
      <c r="X705" s="18"/>
      <c r="Y705" s="18"/>
      <c r="Z705" s="32"/>
      <c r="AA705" s="18"/>
      <c r="AB705" s="18"/>
      <c r="AC705" s="18"/>
      <c r="AD705" s="33"/>
      <c r="AE705" s="32"/>
    </row>
    <row r="706" spans="14:31" x14ac:dyDescent="0.3">
      <c r="N706" s="11"/>
      <c r="P706" s="49"/>
      <c r="Q706" s="18"/>
      <c r="R706" s="18"/>
      <c r="S706" s="18"/>
      <c r="T706" s="18"/>
      <c r="U706" s="18"/>
      <c r="V706" s="18"/>
      <c r="W706" s="32"/>
      <c r="X706" s="18"/>
      <c r="Y706" s="18"/>
      <c r="Z706" s="32"/>
      <c r="AA706" s="18"/>
      <c r="AB706" s="18"/>
      <c r="AC706" s="18"/>
      <c r="AD706" s="33"/>
      <c r="AE706" s="32"/>
    </row>
    <row r="707" spans="14:31" x14ac:dyDescent="0.3">
      <c r="N707" s="11"/>
      <c r="P707" s="49"/>
      <c r="Q707" s="18"/>
      <c r="R707" s="18"/>
      <c r="S707" s="18"/>
      <c r="T707" s="18"/>
      <c r="U707" s="18"/>
      <c r="V707" s="18"/>
      <c r="W707" s="32"/>
      <c r="X707" s="18"/>
      <c r="Y707" s="18"/>
      <c r="Z707" s="32"/>
      <c r="AA707" s="18"/>
      <c r="AB707" s="18"/>
      <c r="AC707" s="18"/>
      <c r="AD707" s="33"/>
      <c r="AE707" s="32"/>
    </row>
    <row r="708" spans="14:31" x14ac:dyDescent="0.3">
      <c r="N708" s="11"/>
      <c r="P708" s="49"/>
      <c r="Q708" s="18"/>
      <c r="R708" s="18"/>
      <c r="S708" s="18"/>
      <c r="T708" s="18"/>
      <c r="U708" s="18"/>
      <c r="V708" s="18"/>
      <c r="W708" s="32"/>
      <c r="X708" s="18"/>
      <c r="Y708" s="18"/>
      <c r="Z708" s="32"/>
      <c r="AA708" s="18"/>
      <c r="AB708" s="18"/>
      <c r="AC708" s="18"/>
      <c r="AD708" s="33"/>
      <c r="AE708" s="32"/>
    </row>
  </sheetData>
  <mergeCells count="46">
    <mergeCell ref="AZ17:BB17"/>
    <mergeCell ref="AS16:BE16"/>
    <mergeCell ref="AF16:AR16"/>
    <mergeCell ref="AG17:AI17"/>
    <mergeCell ref="AJ17:AL17"/>
    <mergeCell ref="AM17:AO17"/>
    <mergeCell ref="AP17:AR17"/>
    <mergeCell ref="E6:K6"/>
    <mergeCell ref="Q17:S17"/>
    <mergeCell ref="T17:V17"/>
    <mergeCell ref="W17:Y17"/>
    <mergeCell ref="P16:AE16"/>
    <mergeCell ref="Z17:AB17"/>
    <mergeCell ref="AC17:AE17"/>
    <mergeCell ref="A1:M1"/>
    <mergeCell ref="N1:X1"/>
    <mergeCell ref="P4:AE4"/>
    <mergeCell ref="BL5:BM5"/>
    <mergeCell ref="BL4:BM4"/>
    <mergeCell ref="AS4:BE4"/>
    <mergeCell ref="BF4:BH4"/>
    <mergeCell ref="Q5:S5"/>
    <mergeCell ref="T5:V5"/>
    <mergeCell ref="W5:Y5"/>
    <mergeCell ref="Z5:AB5"/>
    <mergeCell ref="AC5:AE5"/>
    <mergeCell ref="AT5:AV5"/>
    <mergeCell ref="AW5:AY5"/>
    <mergeCell ref="AZ5:BB5"/>
    <mergeCell ref="BC5:BE5"/>
    <mergeCell ref="AF4:AR4"/>
    <mergeCell ref="BL16:BM16"/>
    <mergeCell ref="BI16:BK16"/>
    <mergeCell ref="BI17:BK17"/>
    <mergeCell ref="BI4:BK4"/>
    <mergeCell ref="BI5:BK5"/>
    <mergeCell ref="BF5:BH5"/>
    <mergeCell ref="AG5:AI5"/>
    <mergeCell ref="AJ5:AL5"/>
    <mergeCell ref="AM5:AO5"/>
    <mergeCell ref="AP5:AR5"/>
    <mergeCell ref="BC17:BE17"/>
    <mergeCell ref="BF16:BH16"/>
    <mergeCell ref="BF17:BH17"/>
    <mergeCell ref="AT17:AV17"/>
    <mergeCell ref="AW17:AY17"/>
  </mergeCells>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62"/>
  <sheetViews>
    <sheetView topLeftCell="A16" zoomScale="85" zoomScaleNormal="85" workbookViewId="0">
      <selection activeCell="K29" sqref="K29"/>
    </sheetView>
  </sheetViews>
  <sheetFormatPr defaultRowHeight="14.4" x14ac:dyDescent="0.3"/>
  <cols>
    <col min="1" max="1" width="26.88671875" customWidth="1"/>
    <col min="2" max="2" width="25.5546875" customWidth="1"/>
    <col min="3" max="3" width="10.109375" customWidth="1"/>
  </cols>
  <sheetData>
    <row r="1" spans="1:9" ht="28.2" x14ac:dyDescent="0.5">
      <c r="A1" s="262" t="s">
        <v>75</v>
      </c>
      <c r="B1" s="262"/>
      <c r="C1" s="262"/>
      <c r="D1" s="262"/>
      <c r="E1" s="262"/>
      <c r="F1" s="262"/>
      <c r="G1" s="262"/>
      <c r="H1" s="262"/>
      <c r="I1" s="262"/>
    </row>
    <row r="2" spans="1:9" x14ac:dyDescent="0.3">
      <c r="A2" s="12"/>
      <c r="B2" s="12" t="s">
        <v>16</v>
      </c>
      <c r="C2" s="13"/>
      <c r="D2" s="18"/>
      <c r="E2" s="12"/>
      <c r="F2" s="12"/>
      <c r="G2" s="12"/>
      <c r="H2" s="12"/>
      <c r="I2" s="12"/>
    </row>
    <row r="3" spans="1:9" x14ac:dyDescent="0.3">
      <c r="A3" s="12"/>
      <c r="B3" s="12" t="s">
        <v>17</v>
      </c>
      <c r="C3" s="14"/>
      <c r="D3" s="18"/>
      <c r="E3" s="12"/>
      <c r="F3" s="12"/>
      <c r="G3" s="12"/>
      <c r="H3" s="12"/>
      <c r="I3" s="12"/>
    </row>
    <row r="4" spans="1:9" x14ac:dyDescent="0.3">
      <c r="A4" s="12"/>
      <c r="B4" s="12" t="s">
        <v>18</v>
      </c>
      <c r="C4" s="15"/>
      <c r="D4" s="18"/>
      <c r="E4" s="12"/>
      <c r="F4" s="12"/>
      <c r="G4" s="12"/>
      <c r="H4" s="12"/>
      <c r="I4" s="12"/>
    </row>
    <row r="5" spans="1:9" x14ac:dyDescent="0.3">
      <c r="A5" s="11" t="s">
        <v>19</v>
      </c>
      <c r="B5" s="11" t="s">
        <v>20</v>
      </c>
      <c r="C5" s="11" t="s">
        <v>21</v>
      </c>
      <c r="D5" s="18"/>
      <c r="E5" s="263" t="s">
        <v>22</v>
      </c>
      <c r="F5" s="263"/>
      <c r="G5" s="263"/>
      <c r="H5" s="263"/>
      <c r="I5" s="11"/>
    </row>
    <row r="6" spans="1:9" s="4" customFormat="1" x14ac:dyDescent="0.3">
      <c r="A6" s="11"/>
      <c r="B6" s="11"/>
      <c r="C6" s="11"/>
      <c r="D6" s="18"/>
      <c r="E6" s="20"/>
      <c r="F6" s="20"/>
      <c r="G6" s="20"/>
      <c r="H6" s="20"/>
      <c r="I6" s="11"/>
    </row>
    <row r="7" spans="1:9" s="4" customFormat="1" x14ac:dyDescent="0.3">
      <c r="A7" s="11" t="s">
        <v>55</v>
      </c>
      <c r="B7" s="11"/>
      <c r="C7" s="11"/>
      <c r="D7" s="18"/>
      <c r="E7" s="20"/>
      <c r="F7" s="20"/>
      <c r="G7" s="20"/>
      <c r="H7" s="20"/>
      <c r="I7" s="11"/>
    </row>
    <row r="8" spans="1:9" s="4" customFormat="1" x14ac:dyDescent="0.3">
      <c r="A8" s="11"/>
      <c r="B8" s="11"/>
      <c r="C8" s="11"/>
      <c r="D8" s="18"/>
      <c r="E8" s="20"/>
      <c r="F8" s="20"/>
      <c r="G8" s="20"/>
      <c r="H8" s="20"/>
      <c r="I8" s="11"/>
    </row>
    <row r="9" spans="1:9" x14ac:dyDescent="0.3">
      <c r="A9" t="s">
        <v>44</v>
      </c>
      <c r="B9" s="22">
        <v>0.8</v>
      </c>
      <c r="D9" t="s">
        <v>47</v>
      </c>
    </row>
    <row r="10" spans="1:9" s="4" customFormat="1" x14ac:dyDescent="0.3">
      <c r="A10" s="4" t="s">
        <v>48</v>
      </c>
      <c r="B10" s="23">
        <f>(1-B9)/(2.2*10^6)</f>
        <v>9.0909090909090888E-8</v>
      </c>
      <c r="C10" s="4" t="s">
        <v>51</v>
      </c>
      <c r="D10" s="4" t="s">
        <v>54</v>
      </c>
    </row>
    <row r="11" spans="1:9" x14ac:dyDescent="0.3">
      <c r="A11" s="4" t="s">
        <v>45</v>
      </c>
      <c r="B11" s="22">
        <v>0.85</v>
      </c>
      <c r="D11" s="4" t="s">
        <v>47</v>
      </c>
    </row>
    <row r="12" spans="1:9" s="4" customFormat="1" x14ac:dyDescent="0.3">
      <c r="A12" s="4" t="s">
        <v>49</v>
      </c>
      <c r="B12" s="23">
        <f>(1-B11)/(2.2*10^6)</f>
        <v>6.8181818181818186E-8</v>
      </c>
      <c r="C12" s="4" t="s">
        <v>51</v>
      </c>
      <c r="D12" s="4" t="s">
        <v>53</v>
      </c>
    </row>
    <row r="13" spans="1:9" x14ac:dyDescent="0.3">
      <c r="A13" s="4" t="s">
        <v>46</v>
      </c>
      <c r="B13" s="22">
        <v>0.9</v>
      </c>
      <c r="D13" s="4" t="s">
        <v>47</v>
      </c>
    </row>
    <row r="14" spans="1:9" x14ac:dyDescent="0.3">
      <c r="A14" t="s">
        <v>50</v>
      </c>
      <c r="B14" s="23">
        <f>(1-B13)/(2.2*10^6)</f>
        <v>4.5454545454545444E-8</v>
      </c>
      <c r="C14" t="s">
        <v>51</v>
      </c>
      <c r="D14" t="s">
        <v>52</v>
      </c>
    </row>
    <row r="16" spans="1:9" x14ac:dyDescent="0.3">
      <c r="A16" t="s">
        <v>56</v>
      </c>
      <c r="B16" s="22">
        <v>0.9</v>
      </c>
      <c r="D16" s="4" t="s">
        <v>62</v>
      </c>
    </row>
    <row r="17" spans="1:8" x14ac:dyDescent="0.3">
      <c r="A17" t="s">
        <v>57</v>
      </c>
      <c r="B17" s="22">
        <v>0.93</v>
      </c>
      <c r="D17" t="s">
        <v>59</v>
      </c>
    </row>
    <row r="18" spans="1:8" x14ac:dyDescent="0.3">
      <c r="A18" t="s">
        <v>58</v>
      </c>
      <c r="B18" s="22">
        <v>0.96</v>
      </c>
      <c r="D18" s="4" t="s">
        <v>63</v>
      </c>
    </row>
    <row r="19" spans="1:8" x14ac:dyDescent="0.3">
      <c r="B19" s="4">
        <f>IF(((1-D_limit_min)/Constants!B12)&lt;Fsw,2,1)</f>
        <v>1</v>
      </c>
      <c r="D19" s="4" t="s">
        <v>438</v>
      </c>
    </row>
    <row r="20" spans="1:8" x14ac:dyDescent="0.3">
      <c r="A20" t="s">
        <v>73</v>
      </c>
      <c r="B20" s="1">
        <f>CHOOSE(B19,D_limit_min,(1-Constants!B10*Fsw))</f>
        <v>0.9</v>
      </c>
      <c r="D20" s="4" t="s">
        <v>74</v>
      </c>
    </row>
    <row r="22" spans="1:8" x14ac:dyDescent="0.3">
      <c r="A22" t="s">
        <v>80</v>
      </c>
      <c r="B22" s="22">
        <f>50*10^-9</f>
        <v>5.0000000000000004E-8</v>
      </c>
      <c r="C22" t="s">
        <v>51</v>
      </c>
      <c r="D22" t="s">
        <v>81</v>
      </c>
    </row>
    <row r="23" spans="1:8" s="32" customFormat="1" x14ac:dyDescent="0.3">
      <c r="B23" s="27"/>
    </row>
    <row r="24" spans="1:8" s="32" customFormat="1" x14ac:dyDescent="0.3">
      <c r="A24" s="32" t="s">
        <v>590</v>
      </c>
      <c r="B24" s="22">
        <f>20*10^-9</f>
        <v>2E-8</v>
      </c>
      <c r="C24" s="32" t="s">
        <v>51</v>
      </c>
      <c r="D24" s="32" t="s">
        <v>589</v>
      </c>
    </row>
    <row r="25" spans="1:8" ht="15.6" x14ac:dyDescent="0.3">
      <c r="A25" s="42" t="s">
        <v>141</v>
      </c>
    </row>
    <row r="26" spans="1:8" x14ac:dyDescent="0.3">
      <c r="A26" t="s">
        <v>127</v>
      </c>
      <c r="B26" s="22">
        <f>30*10^-6</f>
        <v>2.9999999999999997E-5</v>
      </c>
      <c r="C26" t="s">
        <v>11</v>
      </c>
      <c r="D26" t="s">
        <v>128</v>
      </c>
    </row>
    <row r="27" spans="1:8" x14ac:dyDescent="0.3">
      <c r="A27" t="s">
        <v>129</v>
      </c>
      <c r="B27" s="22">
        <v>3000</v>
      </c>
      <c r="C27" s="2" t="s">
        <v>36</v>
      </c>
      <c r="D27" t="s">
        <v>130</v>
      </c>
      <c r="H27" s="47"/>
    </row>
    <row r="28" spans="1:8" s="32" customFormat="1" x14ac:dyDescent="0.3">
      <c r="A28" s="32" t="s">
        <v>491</v>
      </c>
      <c r="B28" s="22">
        <v>4.4999999999999998E-2</v>
      </c>
      <c r="C28" s="2"/>
    </row>
    <row r="29" spans="1:8" s="32" customFormat="1" x14ac:dyDescent="0.3">
      <c r="B29" s="27"/>
      <c r="C29" s="2"/>
    </row>
    <row r="30" spans="1:8" x14ac:dyDescent="0.3">
      <c r="A30" t="s">
        <v>132</v>
      </c>
      <c r="B30" s="22">
        <v>0.06</v>
      </c>
      <c r="C30" s="2" t="s">
        <v>10</v>
      </c>
      <c r="D30" t="s">
        <v>133</v>
      </c>
    </row>
    <row r="32" spans="1:8" x14ac:dyDescent="0.3">
      <c r="A32" t="s">
        <v>201</v>
      </c>
      <c r="B32" s="22">
        <v>1</v>
      </c>
      <c r="C32" t="s">
        <v>150</v>
      </c>
      <c r="D32" t="s">
        <v>203</v>
      </c>
    </row>
    <row r="33" spans="1:4" x14ac:dyDescent="0.3">
      <c r="A33" t="s">
        <v>205</v>
      </c>
      <c r="B33" s="22">
        <v>10</v>
      </c>
      <c r="C33" t="s">
        <v>150</v>
      </c>
      <c r="D33" t="s">
        <v>206</v>
      </c>
    </row>
    <row r="35" spans="1:4" s="32" customFormat="1" x14ac:dyDescent="0.3">
      <c r="A35" s="47" t="s">
        <v>225</v>
      </c>
    </row>
    <row r="36" spans="1:4" s="32" customFormat="1" x14ac:dyDescent="0.3">
      <c r="A36" s="32" t="s">
        <v>244</v>
      </c>
      <c r="B36" s="32">
        <v>1</v>
      </c>
      <c r="C36" s="32" t="s">
        <v>10</v>
      </c>
      <c r="D36" s="32" t="s">
        <v>245</v>
      </c>
    </row>
    <row r="37" spans="1:4" x14ac:dyDescent="0.3">
      <c r="A37" t="s">
        <v>228</v>
      </c>
      <c r="B37">
        <f>(1*10^-3)/1</f>
        <v>1E-3</v>
      </c>
      <c r="C37" t="s">
        <v>230</v>
      </c>
      <c r="D37" t="s">
        <v>229</v>
      </c>
    </row>
    <row r="38" spans="1:4" x14ac:dyDescent="0.3">
      <c r="A38" t="s">
        <v>552</v>
      </c>
      <c r="B38">
        <v>20</v>
      </c>
      <c r="C38" t="s">
        <v>150</v>
      </c>
    </row>
    <row r="39" spans="1:4" s="32" customFormat="1" x14ac:dyDescent="0.3">
      <c r="A39" s="32" t="s">
        <v>553</v>
      </c>
      <c r="B39" s="32">
        <v>60</v>
      </c>
      <c r="C39" s="32" t="s">
        <v>150</v>
      </c>
    </row>
    <row r="40" spans="1:4" s="32" customFormat="1" x14ac:dyDescent="0.3">
      <c r="A40" s="32" t="s">
        <v>554</v>
      </c>
      <c r="B40" s="32">
        <v>100000</v>
      </c>
      <c r="C40" s="32" t="s">
        <v>469</v>
      </c>
    </row>
    <row r="41" spans="1:4" s="32" customFormat="1" x14ac:dyDescent="0.3">
      <c r="A41" s="32" t="s">
        <v>555</v>
      </c>
      <c r="B41" s="32">
        <v>35000</v>
      </c>
      <c r="C41" s="32" t="s">
        <v>469</v>
      </c>
    </row>
    <row r="42" spans="1:4" s="32" customFormat="1" x14ac:dyDescent="0.3">
      <c r="A42" s="32" t="s">
        <v>556</v>
      </c>
      <c r="B42" s="32">
        <v>75000</v>
      </c>
      <c r="C42" s="32" t="s">
        <v>469</v>
      </c>
    </row>
    <row r="43" spans="1:4" s="32" customFormat="1" x14ac:dyDescent="0.3">
      <c r="A43" s="32" t="s">
        <v>557</v>
      </c>
      <c r="B43" s="32">
        <v>20000</v>
      </c>
      <c r="C43" s="32" t="s">
        <v>469</v>
      </c>
    </row>
    <row r="44" spans="1:4" s="32" customFormat="1" x14ac:dyDescent="0.3"/>
    <row r="45" spans="1:4" s="32" customFormat="1" x14ac:dyDescent="0.3"/>
    <row r="46" spans="1:4" x14ac:dyDescent="0.3">
      <c r="A46" s="47" t="s">
        <v>277</v>
      </c>
    </row>
    <row r="47" spans="1:4" x14ac:dyDescent="0.3">
      <c r="A47" t="s">
        <v>278</v>
      </c>
      <c r="B47">
        <f>20*10^-6</f>
        <v>1.9999999999999998E-5</v>
      </c>
      <c r="C47" t="s">
        <v>11</v>
      </c>
      <c r="D47" t="s">
        <v>279</v>
      </c>
    </row>
    <row r="49" spans="1:10" x14ac:dyDescent="0.3">
      <c r="A49" s="47" t="s">
        <v>297</v>
      </c>
    </row>
    <row r="50" spans="1:10" x14ac:dyDescent="0.3">
      <c r="A50" t="s">
        <v>298</v>
      </c>
      <c r="B50">
        <v>1.1000000000000001</v>
      </c>
      <c r="C50" t="s">
        <v>10</v>
      </c>
      <c r="D50" t="s">
        <v>301</v>
      </c>
      <c r="J50" s="47"/>
    </row>
    <row r="51" spans="1:10" x14ac:dyDescent="0.3">
      <c r="A51" t="s">
        <v>299</v>
      </c>
      <c r="B51">
        <v>1.075</v>
      </c>
      <c r="C51" t="s">
        <v>10</v>
      </c>
      <c r="D51" t="s">
        <v>300</v>
      </c>
      <c r="J51" s="47"/>
    </row>
    <row r="52" spans="1:10" x14ac:dyDescent="0.3">
      <c r="A52" t="s">
        <v>304</v>
      </c>
      <c r="B52">
        <f>10*10^-6</f>
        <v>9.9999999999999991E-6</v>
      </c>
      <c r="C52" t="s">
        <v>11</v>
      </c>
      <c r="D52" t="s">
        <v>305</v>
      </c>
      <c r="J52" s="47"/>
    </row>
    <row r="54" spans="1:10" x14ac:dyDescent="0.3">
      <c r="A54" s="47" t="s">
        <v>355</v>
      </c>
    </row>
    <row r="55" spans="1:10" x14ac:dyDescent="0.3">
      <c r="A55" t="s">
        <v>356</v>
      </c>
      <c r="B55">
        <v>5</v>
      </c>
      <c r="C55" t="s">
        <v>10</v>
      </c>
      <c r="D55" t="s">
        <v>357</v>
      </c>
    </row>
    <row r="57" spans="1:10" x14ac:dyDescent="0.3">
      <c r="A57" s="47" t="s">
        <v>373</v>
      </c>
    </row>
    <row r="58" spans="1:10" x14ac:dyDescent="0.3">
      <c r="A58" t="s">
        <v>374</v>
      </c>
      <c r="B58">
        <f>3.3*(10^-6)</f>
        <v>3.2999999999999997E-6</v>
      </c>
      <c r="C58" t="s">
        <v>11</v>
      </c>
      <c r="D58" t="s">
        <v>375</v>
      </c>
    </row>
    <row r="60" spans="1:10" x14ac:dyDescent="0.3">
      <c r="A60" t="s">
        <v>409</v>
      </c>
    </row>
    <row r="61" spans="1:10" x14ac:dyDescent="0.3">
      <c r="A61" t="s">
        <v>410</v>
      </c>
      <c r="B61">
        <v>1.5</v>
      </c>
      <c r="C61" t="s">
        <v>10</v>
      </c>
      <c r="D61" t="s">
        <v>411</v>
      </c>
    </row>
    <row r="62" spans="1:10" x14ac:dyDescent="0.3">
      <c r="A62" s="32" t="s">
        <v>413</v>
      </c>
      <c r="B62">
        <v>45</v>
      </c>
      <c r="D62" t="s">
        <v>412</v>
      </c>
    </row>
  </sheetData>
  <mergeCells count="2">
    <mergeCell ref="A1:I1"/>
    <mergeCell ref="E5:H5"/>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B2:B3"/>
  <sheetViews>
    <sheetView topLeftCell="B1" zoomScale="70" zoomScaleNormal="70" workbookViewId="0">
      <selection activeCell="P22" sqref="P22"/>
    </sheetView>
  </sheetViews>
  <sheetFormatPr defaultRowHeight="14.4" x14ac:dyDescent="0.3"/>
  <cols>
    <col min="3" max="3" width="144.88671875" customWidth="1"/>
  </cols>
  <sheetData>
    <row r="2" spans="2:2" x14ac:dyDescent="0.3">
      <c r="B2" t="str">
        <f>"Eff_vs_IOUT"</f>
        <v>Eff_vs_IOUT</v>
      </c>
    </row>
    <row r="3" spans="2:2" ht="379.65" customHeight="1" x14ac:dyDescent="0.3"/>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H7"/>
  <sheetViews>
    <sheetView topLeftCell="A4" workbookViewId="0">
      <selection activeCell="B7" sqref="B7"/>
    </sheetView>
  </sheetViews>
  <sheetFormatPr defaultRowHeight="14.4" x14ac:dyDescent="0.3"/>
  <cols>
    <col min="1" max="1" width="27.21875" customWidth="1"/>
    <col min="2" max="2" width="77.109375" customWidth="1"/>
  </cols>
  <sheetData>
    <row r="1" spans="1:8" x14ac:dyDescent="0.3">
      <c r="A1" s="142" t="str">
        <f>IF('Design Converter'!H12= "SKIP", "SCH_1", IF('Design Converter'!H12 = "DEM", "SCH_2", IF('Design Converter'!H12 = "FPWM","SCH_3", "")))</f>
        <v>SCH_2</v>
      </c>
      <c r="F1" t="s">
        <v>604</v>
      </c>
      <c r="G1" t="s">
        <v>605</v>
      </c>
      <c r="H1" t="s">
        <v>606</v>
      </c>
    </row>
    <row r="2" spans="1:8" ht="214.8" customHeight="1" x14ac:dyDescent="0.3">
      <c r="B2" t="s">
        <v>603</v>
      </c>
    </row>
    <row r="5" spans="1:8" ht="214.2" customHeight="1" x14ac:dyDescent="0.3"/>
    <row r="6" spans="1:8" ht="15" customHeight="1" x14ac:dyDescent="0.3"/>
    <row r="7" spans="1:8" ht="213.6" customHeight="1" x14ac:dyDescent="0.3"/>
  </sheetData>
  <pageMargins left="0.7" right="0.7" top="0.75" bottom="0.75" header="0.3" footer="0.3"/>
  <pageSetup orientation="portrait" r:id="rId1"/>
  <drawing r:id="rId2"/>
  <legacyDrawing r:id="rId3"/>
  <oleObjects>
    <mc:AlternateContent xmlns:mc="http://schemas.openxmlformats.org/markup-compatibility/2006">
      <mc:Choice Requires="x14">
        <oleObject progId="Visio.Drawing.15" shapeId="10242" r:id="rId4">
          <objectPr defaultSize="0" r:id="rId5">
            <anchor moveWithCells="1">
              <from>
                <xdr:col>1</xdr:col>
                <xdr:colOff>0</xdr:colOff>
                <xdr:row>1</xdr:row>
                <xdr:rowOff>0</xdr:rowOff>
              </from>
              <to>
                <xdr:col>2</xdr:col>
                <xdr:colOff>30480</xdr:colOff>
                <xdr:row>2</xdr:row>
                <xdr:rowOff>0</xdr:rowOff>
              </to>
            </anchor>
          </objectPr>
        </oleObject>
      </mc:Choice>
      <mc:Fallback>
        <oleObject progId="Visio.Drawing.15" shapeId="10242" r:id="rId4"/>
      </mc:Fallback>
    </mc:AlternateContent>
    <mc:AlternateContent xmlns:mc="http://schemas.openxmlformats.org/markup-compatibility/2006">
      <mc:Choice Requires="x14">
        <oleObject progId="Visio.Drawing.15" shapeId="10243" r:id="rId6">
          <objectPr defaultSize="0" r:id="rId7">
            <anchor moveWithCells="1">
              <from>
                <xdr:col>1</xdr:col>
                <xdr:colOff>0</xdr:colOff>
                <xdr:row>4</xdr:row>
                <xdr:rowOff>0</xdr:rowOff>
              </from>
              <to>
                <xdr:col>2</xdr:col>
                <xdr:colOff>30480</xdr:colOff>
                <xdr:row>5</xdr:row>
                <xdr:rowOff>7620</xdr:rowOff>
              </to>
            </anchor>
          </objectPr>
        </oleObject>
      </mc:Choice>
      <mc:Fallback>
        <oleObject progId="Visio.Drawing.15" shapeId="10243" r:id="rId6"/>
      </mc:Fallback>
    </mc:AlternateContent>
    <mc:AlternateContent xmlns:mc="http://schemas.openxmlformats.org/markup-compatibility/2006">
      <mc:Choice Requires="x14">
        <oleObject progId="Visio.Drawing.15" shapeId="10246" r:id="rId8">
          <objectPr defaultSize="0" r:id="rId9">
            <anchor moveWithCells="1">
              <from>
                <xdr:col>1</xdr:col>
                <xdr:colOff>0</xdr:colOff>
                <xdr:row>6</xdr:row>
                <xdr:rowOff>0</xdr:rowOff>
              </from>
              <to>
                <xdr:col>2</xdr:col>
                <xdr:colOff>30480</xdr:colOff>
                <xdr:row>7</xdr:row>
                <xdr:rowOff>7620</xdr:rowOff>
              </to>
            </anchor>
          </objectPr>
        </oleObject>
      </mc:Choice>
      <mc:Fallback>
        <oleObject progId="Visio.Drawing.15" shapeId="10246" r:id="rId8"/>
      </mc:Fallback>
    </mc:AlternateContent>
  </oleObjec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2:F5"/>
  <sheetViews>
    <sheetView workbookViewId="0">
      <selection activeCell="F3" sqref="F3"/>
    </sheetView>
  </sheetViews>
  <sheetFormatPr defaultRowHeight="14.4" x14ac:dyDescent="0.3"/>
  <sheetData>
    <row r="2" spans="1:6" x14ac:dyDescent="0.3">
      <c r="A2" t="s">
        <v>389</v>
      </c>
    </row>
    <row r="3" spans="1:6" x14ac:dyDescent="0.3">
      <c r="B3">
        <f>VIN_min</f>
        <v>9</v>
      </c>
      <c r="F3" t="str">
        <f>"SKIP"</f>
        <v>SKIP</v>
      </c>
    </row>
    <row r="4" spans="1:6" x14ac:dyDescent="0.3">
      <c r="B4">
        <f>VIN_nom</f>
        <v>9</v>
      </c>
      <c r="D4">
        <v>2.5</v>
      </c>
      <c r="F4" t="str">
        <f>"DEM"</f>
        <v>DEM</v>
      </c>
    </row>
    <row r="5" spans="1:6" x14ac:dyDescent="0.3">
      <c r="B5">
        <f>VIN_max</f>
        <v>18</v>
      </c>
      <c r="F5" t="str">
        <f>"FPWM"</f>
        <v>FPWM</v>
      </c>
    </row>
  </sheetData>
  <dataValidations count="3">
    <dataValidation type="list" allowBlank="1" showInputMessage="1" showErrorMessage="1" sqref="D4" xr:uid="{00000000-0002-0000-0700-000000000000}">
      <formula1>$B$3:$B$5</formula1>
    </dataValidation>
    <dataValidation type="decimal" allowBlank="1" showInputMessage="1" showErrorMessage="1" sqref="F4" xr:uid="{00000000-0002-0000-0700-000001000000}">
      <formula1>B3</formula1>
      <formula2>B5</formula2>
    </dataValidation>
    <dataValidation type="list" showDropDown="1" showInputMessage="1" showErrorMessage="1" sqref="I15" xr:uid="{00000000-0002-0000-0700-000002000000}">
      <formula1>$B$3:$B$5</formula1>
    </dataValidation>
  </dataValidation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
  <sheetViews>
    <sheetView workbookViewId="0">
      <selection activeCell="C31" sqref="C31"/>
    </sheetView>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155</vt:i4>
      </vt:variant>
    </vt:vector>
  </HeadingPairs>
  <TitlesOfParts>
    <vt:vector size="164" baseType="lpstr">
      <vt:lpstr>Design Converter</vt:lpstr>
      <vt:lpstr>Variable_Management</vt:lpstr>
      <vt:lpstr>Eff_vs_IOUT</vt:lpstr>
      <vt:lpstr>Loop_Modeling</vt:lpstr>
      <vt:lpstr>Constants</vt:lpstr>
      <vt:lpstr>Plot_Management_Eff</vt:lpstr>
      <vt:lpstr>Plot_Management_Sch</vt:lpstr>
      <vt:lpstr>Lists</vt:lpstr>
      <vt:lpstr>Sheet1</vt:lpstr>
      <vt:lpstr>Acs</vt:lpstr>
      <vt:lpstr>Adc</vt:lpstr>
      <vt:lpstr>Adc_ea</vt:lpstr>
      <vt:lpstr>ADC_VINmin</vt:lpstr>
      <vt:lpstr>CCOMP</vt:lpstr>
      <vt:lpstr>CCOMP_Calc</vt:lpstr>
      <vt:lpstr>CCOMP_calc_CCM</vt:lpstr>
      <vt:lpstr>CCOMP_CALC_DCM</vt:lpstr>
      <vt:lpstr>CHF</vt:lpstr>
      <vt:lpstr>CHF_calc</vt:lpstr>
      <vt:lpstr>CHF_CALC_CCM</vt:lpstr>
      <vt:lpstr>CHF_CALC_DCM</vt:lpstr>
      <vt:lpstr>Comp_calc_CCM</vt:lpstr>
      <vt:lpstr>Cout</vt:lpstr>
      <vt:lpstr>Cout_min</vt:lpstr>
      <vt:lpstr>D_limit_max</vt:lpstr>
      <vt:lpstr>D_limit_min</vt:lpstr>
      <vt:lpstr>D_limit_nom</vt:lpstr>
      <vt:lpstr>DC_DCM_max</vt:lpstr>
      <vt:lpstr>Dc_max_IC</vt:lpstr>
      <vt:lpstr>Dc_max_ideal</vt:lpstr>
      <vt:lpstr>DC_rip</vt:lpstr>
      <vt:lpstr>Dc_rip_max</vt:lpstr>
      <vt:lpstr>Dc_VIN_max</vt:lpstr>
      <vt:lpstr>Dc_VIN_min</vt:lpstr>
      <vt:lpstr>Dc_VIN_nom</vt:lpstr>
      <vt:lpstr>DC_VIN_var_DCM</vt:lpstr>
      <vt:lpstr>EFF_est</vt:lpstr>
      <vt:lpstr>Eff_vs_IOUT</vt:lpstr>
      <vt:lpstr>fcross</vt:lpstr>
      <vt:lpstr>fcross_est</vt:lpstr>
      <vt:lpstr>fp_ea_est</vt:lpstr>
      <vt:lpstr>Fsw</vt:lpstr>
      <vt:lpstr>fz_ea_est</vt:lpstr>
      <vt:lpstr>fz_rhp</vt:lpstr>
      <vt:lpstr>Gcomp</vt:lpstr>
      <vt:lpstr>gfs</vt:lpstr>
      <vt:lpstr>gm_ea</vt:lpstr>
      <vt:lpstr>Gplant_fc_dB</vt:lpstr>
      <vt:lpstr>IIN_33</vt:lpstr>
      <vt:lpstr>IL_avg_VIN_max</vt:lpstr>
      <vt:lpstr>IL_avg_VIN_min</vt:lpstr>
      <vt:lpstr>IL_avg_VIN_nom</vt:lpstr>
      <vt:lpstr>IL_pk</vt:lpstr>
      <vt:lpstr>IL_pk_max</vt:lpstr>
      <vt:lpstr>ILp_VINmax</vt:lpstr>
      <vt:lpstr>ILp_VINmin</vt:lpstr>
      <vt:lpstr>ILp_VINnom</vt:lpstr>
      <vt:lpstr>ILrip</vt:lpstr>
      <vt:lpstr>ILrip_VINmax</vt:lpstr>
      <vt:lpstr>ILrip_VINmin</vt:lpstr>
      <vt:lpstr>ILrip_VINnom</vt:lpstr>
      <vt:lpstr>IOUT</vt:lpstr>
      <vt:lpstr>IOUT_VAR</vt:lpstr>
      <vt:lpstr>Ipk_margin</vt:lpstr>
      <vt:lpstr>Ipk_selected</vt:lpstr>
      <vt:lpstr>IQ</vt:lpstr>
      <vt:lpstr>IRMS_COUT</vt:lpstr>
      <vt:lpstr>Isl</vt:lpstr>
      <vt:lpstr>Iss</vt:lpstr>
      <vt:lpstr>Kd</vt:lpstr>
      <vt:lpstr>Kd_VINmin</vt:lpstr>
      <vt:lpstr>Kex</vt:lpstr>
      <vt:lpstr>Kex_VINmin</vt:lpstr>
      <vt:lpstr>Kfb</vt:lpstr>
      <vt:lpstr>Kfb_high</vt:lpstr>
      <vt:lpstr>Kfb_low</vt:lpstr>
      <vt:lpstr>Km</vt:lpstr>
      <vt:lpstr>Km_VINmin</vt:lpstr>
      <vt:lpstr>Lm</vt:lpstr>
      <vt:lpstr>Lopt_2</vt:lpstr>
      <vt:lpstr>M_L_DCM</vt:lpstr>
      <vt:lpstr>Np</vt:lpstr>
      <vt:lpstr>POUT</vt:lpstr>
      <vt:lpstr>'Design Converter'!Print_Area</vt:lpstr>
      <vt:lpstr>Q</vt:lpstr>
      <vt:lpstr>Q_VINmin</vt:lpstr>
      <vt:lpstr>Qg_tot</vt:lpstr>
      <vt:lpstr>Qg_tot_HS</vt:lpstr>
      <vt:lpstr>Qgd</vt:lpstr>
      <vt:lpstr>Qgs</vt:lpstr>
      <vt:lpstr>Qrr</vt:lpstr>
      <vt:lpstr>R_cs</vt:lpstr>
      <vt:lpstr>R_sl</vt:lpstr>
      <vt:lpstr>RCOMP</vt:lpstr>
      <vt:lpstr>RCOMP_Calc</vt:lpstr>
      <vt:lpstr>Rcomp_calc_CCM</vt:lpstr>
      <vt:lpstr>RCOMP_CALC_DCM</vt:lpstr>
      <vt:lpstr>Rcs_max</vt:lpstr>
      <vt:lpstr>Rcs_wo_sl</vt:lpstr>
      <vt:lpstr>Rdcr</vt:lpstr>
      <vt:lpstr>RDS_on</vt:lpstr>
      <vt:lpstr>RDS_on_HS</vt:lpstr>
      <vt:lpstr>Resr</vt:lpstr>
      <vt:lpstr>RFBB</vt:lpstr>
      <vt:lpstr>RFBB_calc</vt:lpstr>
      <vt:lpstr>RFBT</vt:lpstr>
      <vt:lpstr>Rgate</vt:lpstr>
      <vt:lpstr>Rmax</vt:lpstr>
      <vt:lpstr>Rmax_high</vt:lpstr>
      <vt:lpstr>Rmax_low</vt:lpstr>
      <vt:lpstr>Rmin</vt:lpstr>
      <vt:lpstr>Rmin_high</vt:lpstr>
      <vt:lpstr>Rmin_low</vt:lpstr>
      <vt:lpstr>ROUT</vt:lpstr>
      <vt:lpstr>Rsl_int</vt:lpstr>
      <vt:lpstr>RT</vt:lpstr>
      <vt:lpstr>Ruvlo_bottom_calc</vt:lpstr>
      <vt:lpstr>Ruvlo_top</vt:lpstr>
      <vt:lpstr>Ruvlo_top_calc</vt:lpstr>
      <vt:lpstr>SCH_1</vt:lpstr>
      <vt:lpstr>SCH_2</vt:lpstr>
      <vt:lpstr>SCH_3</vt:lpstr>
      <vt:lpstr>Se_VINmin</vt:lpstr>
      <vt:lpstr>Sn_VINmin</vt:lpstr>
      <vt:lpstr>t_dead</vt:lpstr>
      <vt:lpstr>tf_sw</vt:lpstr>
      <vt:lpstr>tr_sw</vt:lpstr>
      <vt:lpstr>tss</vt:lpstr>
      <vt:lpstr>UV_fall</vt:lpstr>
      <vt:lpstr>UV_I_hyst</vt:lpstr>
      <vt:lpstr>UV_rise</vt:lpstr>
      <vt:lpstr>Vcc</vt:lpstr>
      <vt:lpstr>Vcl</vt:lpstr>
      <vt:lpstr>Vd_rect</vt:lpstr>
      <vt:lpstr>VIN_33</vt:lpstr>
      <vt:lpstr>VIN_max</vt:lpstr>
      <vt:lpstr>VIN_min</vt:lpstr>
      <vt:lpstr>VIN_nom</vt:lpstr>
      <vt:lpstr>VIN_op_max</vt:lpstr>
      <vt:lpstr>VIN_op_min</vt:lpstr>
      <vt:lpstr>VIN_var</vt:lpstr>
      <vt:lpstr>VOUT</vt:lpstr>
      <vt:lpstr>VOUT_range</vt:lpstr>
      <vt:lpstr>Vout_rip_sel</vt:lpstr>
      <vt:lpstr>Vref</vt:lpstr>
      <vt:lpstr>Vsl</vt:lpstr>
      <vt:lpstr>Vth</vt:lpstr>
      <vt:lpstr>VTRK</vt:lpstr>
      <vt:lpstr>Vuvlo_off</vt:lpstr>
      <vt:lpstr>Vuvlo_on</vt:lpstr>
      <vt:lpstr>wp_lf</vt:lpstr>
      <vt:lpstr>wp_lf_DCM</vt:lpstr>
      <vt:lpstr>wp_lf_VINmin</vt:lpstr>
      <vt:lpstr>wp0_ea</vt:lpstr>
      <vt:lpstr>wp1_ea</vt:lpstr>
      <vt:lpstr>wsl</vt:lpstr>
      <vt:lpstr>wsl_VINmin</vt:lpstr>
      <vt:lpstr>wz_ea</vt:lpstr>
      <vt:lpstr>wz_esr</vt:lpstr>
      <vt:lpstr>wz_esr_VINmin</vt:lpstr>
      <vt:lpstr>wz_rhp</vt:lpstr>
      <vt:lpstr>wz_RHP_VINmin</vt:lpstr>
      <vt:lpstr>wz1_dcm</vt:lpstr>
      <vt:lpstr>wz2_dcm</vt:lpstr>
    </vt:vector>
  </TitlesOfParts>
  <Company>Texas Instruments Incorporated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BMC-BCS</dc:creator>
  <cp:lastModifiedBy>Fu, Richard</cp:lastModifiedBy>
  <cp:lastPrinted>2018-08-09T07:13:51Z</cp:lastPrinted>
  <dcterms:created xsi:type="dcterms:W3CDTF">2018-06-26T09:13:29Z</dcterms:created>
  <dcterms:modified xsi:type="dcterms:W3CDTF">2021-12-02T23:06:06Z</dcterms:modified>
</cp:coreProperties>
</file>