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tonyrainbow/cobradata1/Datafiles/"/>
    </mc:Choice>
  </mc:AlternateContent>
  <xr:revisionPtr revIDLastSave="0" documentId="13_ncr:1_{21CF899F-7503-0E41-83B1-4B1E41B0CDE3}" xr6:coauthVersionLast="47" xr6:coauthVersionMax="47" xr10:uidLastSave="{00000000-0000-0000-0000-000000000000}"/>
  <bookViews>
    <workbookView xWindow="1240" yWindow="460" windowWidth="27720" windowHeight="19080" activeTab="2" xr2:uid="{4110B216-460D-EF46-8DFE-A34A6CC31FCA}"/>
  </bookViews>
  <sheets>
    <sheet name="Sheet1" sheetId="1" r:id="rId1"/>
    <sheet name="Metab dilution" sheetId="2" r:id="rId2"/>
    <sheet name="Turnover protein"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8" i="3" l="1"/>
  <c r="G31" i="3" s="1"/>
  <c r="H28" i="3"/>
  <c r="I28" i="3"/>
  <c r="F28" i="3"/>
  <c r="F29" i="3"/>
  <c r="G23" i="3"/>
  <c r="G25" i="3" s="1"/>
  <c r="H23" i="3"/>
  <c r="H25" i="3" s="1"/>
  <c r="I23" i="3"/>
  <c r="I25" i="3" s="1"/>
  <c r="F23" i="3"/>
  <c r="F25" i="3" s="1"/>
  <c r="G27" i="3"/>
  <c r="H27" i="3"/>
  <c r="I27" i="3"/>
  <c r="F27" i="3"/>
  <c r="G17" i="3"/>
  <c r="H17" i="3"/>
  <c r="I17" i="3"/>
  <c r="F17" i="3"/>
  <c r="H31" i="3" l="1"/>
  <c r="F31" i="3"/>
  <c r="I31" i="3"/>
  <c r="N6" i="1" l="1"/>
  <c r="M6" i="1"/>
  <c r="L6" i="1"/>
  <c r="K10" i="1"/>
  <c r="K6" i="1"/>
  <c r="I39" i="2"/>
  <c r="K8" i="1"/>
  <c r="F12" i="1"/>
  <c r="I3" i="2"/>
  <c r="J3" i="2"/>
  <c r="K3" i="2"/>
  <c r="I4" i="2"/>
  <c r="J4" i="2"/>
  <c r="K4" i="2"/>
  <c r="I5" i="2"/>
  <c r="J5" i="2"/>
  <c r="K5" i="2"/>
  <c r="I6" i="2"/>
  <c r="J6" i="2"/>
  <c r="K6" i="2"/>
  <c r="I7" i="2"/>
  <c r="J7" i="2"/>
  <c r="K7" i="2"/>
  <c r="I8" i="2"/>
  <c r="J8" i="2"/>
  <c r="K8" i="2"/>
  <c r="I9" i="2"/>
  <c r="J9" i="2"/>
  <c r="K9" i="2"/>
  <c r="H4" i="2"/>
  <c r="H5" i="2"/>
  <c r="H6" i="2"/>
  <c r="H7" i="2"/>
  <c r="H8" i="2"/>
  <c r="H9" i="2"/>
  <c r="H3" i="2"/>
  <c r="K11" i="1"/>
  <c r="K12" i="1" s="1"/>
  <c r="K7" i="1"/>
  <c r="F17" i="1" s="1"/>
  <c r="K3" i="1"/>
  <c r="F10" i="1" s="1"/>
  <c r="F4" i="1"/>
  <c r="F13" i="1" l="1"/>
  <c r="F14" i="1" s="1"/>
  <c r="K14" i="1" s="1"/>
  <c r="K15" i="1" s="1"/>
  <c r="F5" i="1"/>
  <c r="F19" i="1" s="1"/>
  <c r="F8" i="1" l="1"/>
</calcChain>
</file>

<file path=xl/sharedStrings.xml><?xml version="1.0" encoding="utf-8"?>
<sst xmlns="http://schemas.openxmlformats.org/spreadsheetml/2006/main" count="82" uniqueCount="66">
  <si>
    <t>Glucose consumption</t>
  </si>
  <si>
    <t>pmol/cell/day</t>
  </si>
  <si>
    <t>pmol/cell/s</t>
  </si>
  <si>
    <t>Avogadro</t>
  </si>
  <si>
    <t>A/pmol</t>
  </si>
  <si>
    <t>molecules/cell/s</t>
  </si>
  <si>
    <t>HK1</t>
  </si>
  <si>
    <t>Max ATP flux</t>
  </si>
  <si>
    <t>Total protein number</t>
  </si>
  <si>
    <t>Hexokinase molecules</t>
  </si>
  <si>
    <t>Flux per hexokinase mol</t>
  </si>
  <si>
    <t>Total aa number</t>
  </si>
  <si>
    <t>FBA ATP flux</t>
  </si>
  <si>
    <t>With measured glc_D uptake</t>
  </si>
  <si>
    <t>scaled</t>
  </si>
  <si>
    <t>molecules/cell/day</t>
  </si>
  <si>
    <t>Ligases</t>
  </si>
  <si>
    <t>% ATP for ligase</t>
  </si>
  <si>
    <t>Met diln</t>
  </si>
  <si>
    <t>WT</t>
  </si>
  <si>
    <t>G12D</t>
  </si>
  <si>
    <t>G12V</t>
  </si>
  <si>
    <t>Q61L</t>
  </si>
  <si>
    <t>ATP production</t>
  </si>
  <si>
    <t>Ratio metabolite to ATP</t>
  </si>
  <si>
    <t>Sum ligase (20 x mean)</t>
  </si>
  <si>
    <t>Days to duplicate protein</t>
  </si>
  <si>
    <t>molecules/cell/day for ligases</t>
  </si>
  <si>
    <t>Total number ATP to duplicate protein ligases</t>
  </si>
  <si>
    <t>Total protein counts 'ATP only'</t>
  </si>
  <si>
    <t>Total protein counts Recon3 ATP only</t>
  </si>
  <si>
    <t>Total ATP protein</t>
  </si>
  <si>
    <t>Hours to duplicate protein</t>
  </si>
  <si>
    <t>Method summary</t>
  </si>
  <si>
    <t>1) Use cell number / volume media to normalise accross experiments</t>
  </si>
  <si>
    <t>2) Use total viable cells as this parameter relates most closely to ways in which protein estimates have been made. There is scope for weighting viable / non-viable at future date</t>
  </si>
  <si>
    <t>3) Final standardisation will be per unit protein but in each instance there should be ability to convert to 'per cell' on the basis that the protein content per cell will be known,</t>
  </si>
  <si>
    <t>STEP 1</t>
  </si>
  <si>
    <t>DATASOURCE</t>
  </si>
  <si>
    <t>Copy of FINAL table experimental data 14072021 Phil</t>
  </si>
  <si>
    <t>Christina sent 6 September 2021</t>
  </si>
  <si>
    <t xml:space="preserve">:Exp2 </t>
  </si>
  <si>
    <t>ug/ml</t>
  </si>
  <si>
    <t>Rate of increase</t>
  </si>
  <si>
    <t>ug/ml/hour</t>
  </si>
  <si>
    <t>Exponential growth rate</t>
  </si>
  <si>
    <t>/ml</t>
  </si>
  <si>
    <t>Protein content</t>
  </si>
  <si>
    <t>STEP 2</t>
  </si>
  <si>
    <t>PROTEIN</t>
  </si>
  <si>
    <t>GLUCOSE</t>
  </si>
  <si>
    <t>Glucose content</t>
  </si>
  <si>
    <t>mmol/ml</t>
  </si>
  <si>
    <t>mmol/ml/hour</t>
  </si>
  <si>
    <t>Cell number (haemocytometer)</t>
  </si>
  <si>
    <t>Cell number (Sceptre)</t>
  </si>
  <si>
    <t>Estimated protein content</t>
  </si>
  <si>
    <t>Assumed average protein MWt</t>
  </si>
  <si>
    <t>Glucose flux</t>
  </si>
  <si>
    <t>mMg/mMprotein/hour</t>
  </si>
  <si>
    <t>STEP 3</t>
  </si>
  <si>
    <t xml:space="preserve">mmol/l </t>
  </si>
  <si>
    <t>ug/mmol</t>
  </si>
  <si>
    <t>STEP 4</t>
  </si>
  <si>
    <t>FBA</t>
  </si>
  <si>
    <t>:Exp4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</si>
</sst>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E+00"/>
  </numFmts>
  <fonts count="3" x14ac:knownFonts="1">
    <font>
      <sz val="12"/>
      <color theme="1"/>
      <name val="Calibri"/>
      <family val="2"/>
      <scheme val="minor"/>
    </font>
    <font>
      <sz val="11"/>
      <color rgb="FF000000"/>
      <name val="Calibri"/>
      <family val="2"/>
      <scheme val="minor"/>
    </font>
    <font>
      <sz val="10"/>
      <color theme="1"/>
      <name val="Helvetica"/>
      <family val="2"/>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11" fontId="0" fillId="0" borderId="0" xfId="0" applyNumberFormat="1"/>
    <xf numFmtId="0" fontId="0" fillId="0" borderId="0" xfId="0" applyNumberFormat="1"/>
    <xf numFmtId="11" fontId="1" fillId="0" borderId="0" xfId="0" applyNumberFormat="1" applyFont="1"/>
    <xf numFmtId="0" fontId="2" fillId="0" borderId="0" xfId="0" applyFont="1"/>
    <xf numFmtId="164" fontId="0" fillId="0" borderId="0" xfId="0" applyNumberFormat="1"/>
    <xf numFmtId="0" fontId="0" fillId="2" borderId="0" xfId="0" applyFill="1"/>
    <xf numFmtId="11" fontId="0" fillId="3" borderId="0" xfId="0" applyNumberFormat="1" applyFill="1"/>
    <xf numFmtId="11" fontId="0" fillId="4"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'Metab dilution'!$D$2</c:f>
              <c:strCache>
                <c:ptCount val="1"/>
                <c:pt idx="0">
                  <c:v>WT</c:v>
                </c:pt>
              </c:strCache>
            </c:strRef>
          </c:tx>
          <c:spPr>
            <a:ln w="19050" cap="rnd">
              <a:noFill/>
              <a:round/>
            </a:ln>
            <a:effectLst/>
          </c:spPr>
          <c:marker>
            <c:symbol val="circle"/>
            <c:size val="5"/>
            <c:spPr>
              <a:solidFill>
                <a:schemeClr val="accent1"/>
              </a:solidFill>
              <a:ln w="9525">
                <a:solidFill>
                  <a:schemeClr val="accent1"/>
                </a:solidFill>
              </a:ln>
              <a:effectLst/>
            </c:spPr>
          </c:marker>
          <c:xVal>
            <c:numRef>
              <c:f>'Metab dilution'!$C$3:$C$9</c:f>
              <c:numCache>
                <c:formatCode>General</c:formatCode>
                <c:ptCount val="7"/>
                <c:pt idx="0">
                  <c:v>0.5</c:v>
                </c:pt>
                <c:pt idx="1">
                  <c:v>0.25</c:v>
                </c:pt>
                <c:pt idx="2">
                  <c:v>0.125</c:v>
                </c:pt>
                <c:pt idx="3">
                  <c:v>6.25E-2</c:v>
                </c:pt>
                <c:pt idx="4">
                  <c:v>3.125E-2</c:v>
                </c:pt>
                <c:pt idx="5">
                  <c:v>1.0625000000000001E-2</c:v>
                </c:pt>
                <c:pt idx="6">
                  <c:v>5.3125000000000004E-3</c:v>
                </c:pt>
              </c:numCache>
            </c:numRef>
          </c:xVal>
          <c:yVal>
            <c:numRef>
              <c:f>'Metab dilution'!$D$3:$D$9</c:f>
              <c:numCache>
                <c:formatCode>General</c:formatCode>
                <c:ptCount val="7"/>
                <c:pt idx="0">
                  <c:v>3.5648435642501699</c:v>
                </c:pt>
                <c:pt idx="1">
                  <c:v>2.4396105615488799</c:v>
                </c:pt>
                <c:pt idx="2">
                  <c:v>1.87452722821536</c:v>
                </c:pt>
                <c:pt idx="3">
                  <c:v>1.5919855615498999</c:v>
                </c:pt>
                <c:pt idx="4">
                  <c:v>1.4507147282155299</c:v>
                </c:pt>
                <c:pt idx="5">
                  <c:v>1.0759148069133699</c:v>
                </c:pt>
                <c:pt idx="6">
                  <c:v>0.81209406356924796</c:v>
                </c:pt>
              </c:numCache>
            </c:numRef>
          </c:yVal>
          <c:smooth val="0"/>
          <c:extLst>
            <c:ext xmlns:c16="http://schemas.microsoft.com/office/drawing/2014/chart" uri="{C3380CC4-5D6E-409C-BE32-E72D297353CC}">
              <c16:uniqueId val="{00000000-0353-1E4B-992F-5DF6D1F220CD}"/>
            </c:ext>
          </c:extLst>
        </c:ser>
        <c:ser>
          <c:idx val="1"/>
          <c:order val="1"/>
          <c:tx>
            <c:strRef>
              <c:f>'Metab dilution'!$E$2</c:f>
              <c:strCache>
                <c:ptCount val="1"/>
                <c:pt idx="0">
                  <c:v>G12D</c:v>
                </c:pt>
              </c:strCache>
            </c:strRef>
          </c:tx>
          <c:spPr>
            <a:ln w="19050" cap="rnd">
              <a:noFill/>
              <a:round/>
            </a:ln>
            <a:effectLst/>
          </c:spPr>
          <c:marker>
            <c:symbol val="circle"/>
            <c:size val="5"/>
            <c:spPr>
              <a:solidFill>
                <a:schemeClr val="accent2"/>
              </a:solidFill>
              <a:ln w="9525">
                <a:solidFill>
                  <a:schemeClr val="accent2"/>
                </a:solidFill>
              </a:ln>
              <a:effectLst/>
            </c:spPr>
          </c:marker>
          <c:xVal>
            <c:numRef>
              <c:f>'Metab dilution'!$C$3:$C$9</c:f>
              <c:numCache>
                <c:formatCode>General</c:formatCode>
                <c:ptCount val="7"/>
                <c:pt idx="0">
                  <c:v>0.5</c:v>
                </c:pt>
                <c:pt idx="1">
                  <c:v>0.25</c:v>
                </c:pt>
                <c:pt idx="2">
                  <c:v>0.125</c:v>
                </c:pt>
                <c:pt idx="3">
                  <c:v>6.25E-2</c:v>
                </c:pt>
                <c:pt idx="4">
                  <c:v>3.125E-2</c:v>
                </c:pt>
                <c:pt idx="5">
                  <c:v>1.0625000000000001E-2</c:v>
                </c:pt>
                <c:pt idx="6">
                  <c:v>5.3125000000000004E-3</c:v>
                </c:pt>
              </c:numCache>
            </c:numRef>
          </c:xVal>
          <c:yVal>
            <c:numRef>
              <c:f>'Metab dilution'!$E$3:$E$9</c:f>
              <c:numCache>
                <c:formatCode>General</c:formatCode>
                <c:ptCount val="7"/>
                <c:pt idx="0">
                  <c:v>5.4597561872567404</c:v>
                </c:pt>
                <c:pt idx="1">
                  <c:v>4.1328442398920497</c:v>
                </c:pt>
                <c:pt idx="2">
                  <c:v>3.05426090655885</c:v>
                </c:pt>
                <c:pt idx="3">
                  <c:v>2.5149692398919101</c:v>
                </c:pt>
                <c:pt idx="4">
                  <c:v>2.2423205094542</c:v>
                </c:pt>
                <c:pt idx="5">
                  <c:v>1.7069787726079499</c:v>
                </c:pt>
                <c:pt idx="6">
                  <c:v>1.02644568769176</c:v>
                </c:pt>
              </c:numCache>
            </c:numRef>
          </c:yVal>
          <c:smooth val="0"/>
          <c:extLst>
            <c:ext xmlns:c16="http://schemas.microsoft.com/office/drawing/2014/chart" uri="{C3380CC4-5D6E-409C-BE32-E72D297353CC}">
              <c16:uniqueId val="{00000001-0353-1E4B-992F-5DF6D1F220CD}"/>
            </c:ext>
          </c:extLst>
        </c:ser>
        <c:ser>
          <c:idx val="2"/>
          <c:order val="2"/>
          <c:tx>
            <c:strRef>
              <c:f>'Metab dilution'!$F$2</c:f>
              <c:strCache>
                <c:ptCount val="1"/>
                <c:pt idx="0">
                  <c:v>G12V</c:v>
                </c:pt>
              </c:strCache>
            </c:strRef>
          </c:tx>
          <c:spPr>
            <a:ln w="19050" cap="rnd">
              <a:noFill/>
              <a:round/>
            </a:ln>
            <a:effectLst/>
          </c:spPr>
          <c:marker>
            <c:symbol val="circle"/>
            <c:size val="5"/>
            <c:spPr>
              <a:solidFill>
                <a:schemeClr val="accent3"/>
              </a:solidFill>
              <a:ln w="9525">
                <a:solidFill>
                  <a:schemeClr val="accent3"/>
                </a:solidFill>
              </a:ln>
              <a:effectLst/>
            </c:spPr>
          </c:marker>
          <c:xVal>
            <c:numRef>
              <c:f>'Metab dilution'!$C$3:$C$9</c:f>
              <c:numCache>
                <c:formatCode>General</c:formatCode>
                <c:ptCount val="7"/>
                <c:pt idx="0">
                  <c:v>0.5</c:v>
                </c:pt>
                <c:pt idx="1">
                  <c:v>0.25</c:v>
                </c:pt>
                <c:pt idx="2">
                  <c:v>0.125</c:v>
                </c:pt>
                <c:pt idx="3">
                  <c:v>6.25E-2</c:v>
                </c:pt>
                <c:pt idx="4">
                  <c:v>3.125E-2</c:v>
                </c:pt>
                <c:pt idx="5">
                  <c:v>1.0625000000000001E-2</c:v>
                </c:pt>
                <c:pt idx="6">
                  <c:v>5.3125000000000004E-3</c:v>
                </c:pt>
              </c:numCache>
            </c:numRef>
          </c:xVal>
          <c:yVal>
            <c:numRef>
              <c:f>'Metab dilution'!$F$3:$F$9</c:f>
              <c:numCache>
                <c:formatCode>General</c:formatCode>
                <c:ptCount val="7"/>
                <c:pt idx="0">
                  <c:v>3.7876713488442402</c:v>
                </c:pt>
                <c:pt idx="1">
                  <c:v>2.6039383461427401</c:v>
                </c:pt>
                <c:pt idx="2">
                  <c:v>2.00960501280781</c:v>
                </c:pt>
                <c:pt idx="3">
                  <c:v>1.7124383461424499</c:v>
                </c:pt>
                <c:pt idx="4">
                  <c:v>1.5608521157042801</c:v>
                </c:pt>
                <c:pt idx="5">
                  <c:v>1.3419133263359999</c:v>
                </c:pt>
                <c:pt idx="6">
                  <c:v>0.86481737194264996</c:v>
                </c:pt>
              </c:numCache>
            </c:numRef>
          </c:yVal>
          <c:smooth val="0"/>
          <c:extLst>
            <c:ext xmlns:c16="http://schemas.microsoft.com/office/drawing/2014/chart" uri="{C3380CC4-5D6E-409C-BE32-E72D297353CC}">
              <c16:uniqueId val="{00000002-0353-1E4B-992F-5DF6D1F220CD}"/>
            </c:ext>
          </c:extLst>
        </c:ser>
        <c:ser>
          <c:idx val="3"/>
          <c:order val="3"/>
          <c:tx>
            <c:strRef>
              <c:f>'Metab dilution'!$G$2</c:f>
              <c:strCache>
                <c:ptCount val="1"/>
                <c:pt idx="0">
                  <c:v>Q61L</c:v>
                </c:pt>
              </c:strCache>
            </c:strRef>
          </c:tx>
          <c:spPr>
            <a:ln w="19050" cap="rnd">
              <a:noFill/>
              <a:round/>
            </a:ln>
            <a:effectLst/>
          </c:spPr>
          <c:marker>
            <c:symbol val="circle"/>
            <c:size val="5"/>
            <c:spPr>
              <a:solidFill>
                <a:schemeClr val="accent4"/>
              </a:solidFill>
              <a:ln w="9525">
                <a:solidFill>
                  <a:schemeClr val="accent4"/>
                </a:solidFill>
              </a:ln>
              <a:effectLst/>
            </c:spPr>
          </c:marker>
          <c:xVal>
            <c:numRef>
              <c:f>'Metab dilution'!$C$3:$C$9</c:f>
              <c:numCache>
                <c:formatCode>General</c:formatCode>
                <c:ptCount val="7"/>
                <c:pt idx="0">
                  <c:v>0.5</c:v>
                </c:pt>
                <c:pt idx="1">
                  <c:v>0.25</c:v>
                </c:pt>
                <c:pt idx="2">
                  <c:v>0.125</c:v>
                </c:pt>
                <c:pt idx="3">
                  <c:v>6.25E-2</c:v>
                </c:pt>
                <c:pt idx="4">
                  <c:v>3.125E-2</c:v>
                </c:pt>
                <c:pt idx="5">
                  <c:v>1.0625000000000001E-2</c:v>
                </c:pt>
                <c:pt idx="6">
                  <c:v>5.3125000000000004E-3</c:v>
                </c:pt>
              </c:numCache>
            </c:numRef>
          </c:xVal>
          <c:yVal>
            <c:numRef>
              <c:f>'Metab dilution'!$G$3:$G$9</c:f>
              <c:numCache>
                <c:formatCode>General</c:formatCode>
                <c:ptCount val="7"/>
                <c:pt idx="0">
                  <c:v>4.6775911553572804</c:v>
                </c:pt>
                <c:pt idx="1">
                  <c:v>3.3517882329223299</c:v>
                </c:pt>
                <c:pt idx="2">
                  <c:v>2.5432048995882002</c:v>
                </c:pt>
                <c:pt idx="3">
                  <c:v>2.1389132329215998</c:v>
                </c:pt>
                <c:pt idx="4">
                  <c:v>1.93376450248343</c:v>
                </c:pt>
                <c:pt idx="5">
                  <c:v>1.42863306472282</c:v>
                </c:pt>
                <c:pt idx="6">
                  <c:v>0.85073755438111198</c:v>
                </c:pt>
              </c:numCache>
            </c:numRef>
          </c:yVal>
          <c:smooth val="0"/>
          <c:extLst>
            <c:ext xmlns:c16="http://schemas.microsoft.com/office/drawing/2014/chart" uri="{C3380CC4-5D6E-409C-BE32-E72D297353CC}">
              <c16:uniqueId val="{00000003-0353-1E4B-992F-5DF6D1F220CD}"/>
            </c:ext>
          </c:extLst>
        </c:ser>
        <c:dLbls>
          <c:showLegendKey val="0"/>
          <c:showVal val="0"/>
          <c:showCatName val="0"/>
          <c:showSerName val="0"/>
          <c:showPercent val="0"/>
          <c:showBubbleSize val="0"/>
        </c:dLbls>
        <c:axId val="10648207"/>
        <c:axId val="10649855"/>
      </c:scatterChart>
      <c:valAx>
        <c:axId val="106482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9855"/>
        <c:crosses val="autoZero"/>
        <c:crossBetween val="midCat"/>
      </c:valAx>
      <c:valAx>
        <c:axId val="1064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82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463550</xdr:colOff>
      <xdr:row>16</xdr:row>
      <xdr:rowOff>0</xdr:rowOff>
    </xdr:from>
    <xdr:to>
      <xdr:col>13</xdr:col>
      <xdr:colOff>82550</xdr:colOff>
      <xdr:row>29</xdr:row>
      <xdr:rowOff>101600</xdr:rowOff>
    </xdr:to>
    <xdr:graphicFrame macro="">
      <xdr:nvGraphicFramePr>
        <xdr:cNvPr id="2" name="Chart 1">
          <a:extLst>
            <a:ext uri="{FF2B5EF4-FFF2-40B4-BE49-F238E27FC236}">
              <a16:creationId xmlns:a16="http://schemas.microsoft.com/office/drawing/2014/main" id="{C57F97D8-0C73-904F-8334-B14BB1483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2B68C-FEA8-134E-BC98-24184E7CC0DB}">
  <dimension ref="D2:N22"/>
  <sheetViews>
    <sheetView topLeftCell="D1" zoomScale="179" zoomScaleNormal="179" workbookViewId="0">
      <selection activeCell="K12" sqref="K12"/>
    </sheetView>
  </sheetViews>
  <sheetFormatPr baseColWidth="10" defaultRowHeight="16" x14ac:dyDescent="0.2"/>
  <cols>
    <col min="5" max="5" width="15.1640625" customWidth="1"/>
    <col min="10" max="10" width="33" customWidth="1"/>
    <col min="11" max="11" width="11.1640625" bestFit="1" customWidth="1"/>
  </cols>
  <sheetData>
    <row r="2" spans="4:14" x14ac:dyDescent="0.2">
      <c r="J2" t="s">
        <v>3</v>
      </c>
      <c r="K2" s="1">
        <v>6.2300000000000001E+23</v>
      </c>
    </row>
    <row r="3" spans="4:14" x14ac:dyDescent="0.2">
      <c r="D3" t="s">
        <v>0</v>
      </c>
      <c r="F3">
        <v>10</v>
      </c>
      <c r="G3" t="s">
        <v>1</v>
      </c>
      <c r="J3" t="s">
        <v>4</v>
      </c>
      <c r="K3" s="1">
        <f>K2/1000000000000</f>
        <v>623000000000</v>
      </c>
    </row>
    <row r="4" spans="4:14" x14ac:dyDescent="0.2">
      <c r="F4">
        <f>F3/(24*60*60)</f>
        <v>1.1574074074074075E-4</v>
      </c>
      <c r="G4" t="s">
        <v>2</v>
      </c>
      <c r="J4" t="s">
        <v>30</v>
      </c>
      <c r="K4" s="3">
        <v>46700000000</v>
      </c>
      <c r="L4" s="3">
        <v>61100000000</v>
      </c>
      <c r="M4" s="3">
        <v>63100000000</v>
      </c>
      <c r="N4" s="3">
        <v>66200000000</v>
      </c>
    </row>
    <row r="5" spans="4:14" x14ac:dyDescent="0.2">
      <c r="F5" s="1">
        <f>F4*K3</f>
        <v>72106481.481481478</v>
      </c>
      <c r="G5" t="s">
        <v>5</v>
      </c>
      <c r="J5" t="s">
        <v>29</v>
      </c>
      <c r="K5" s="5">
        <v>103842630163.03793</v>
      </c>
      <c r="L5" s="5">
        <v>101272542831.09981</v>
      </c>
      <c r="M5" s="5">
        <v>96473030328.575378</v>
      </c>
      <c r="N5" s="5">
        <v>97587791598.395767</v>
      </c>
    </row>
    <row r="6" spans="4:14" x14ac:dyDescent="0.2">
      <c r="F6" s="1"/>
      <c r="J6" t="s">
        <v>31</v>
      </c>
      <c r="K6" s="5">
        <f>K4+K5</f>
        <v>150542630163.03793</v>
      </c>
      <c r="L6" s="5">
        <f t="shared" ref="L6:N6" si="0">L4+L5</f>
        <v>162372542831.09979</v>
      </c>
      <c r="M6" s="5">
        <f t="shared" si="0"/>
        <v>159573030328.57538</v>
      </c>
      <c r="N6" s="5">
        <f t="shared" si="0"/>
        <v>163787791598.39575</v>
      </c>
    </row>
    <row r="7" spans="4:14" x14ac:dyDescent="0.2">
      <c r="J7" t="s">
        <v>6</v>
      </c>
      <c r="K7" s="1">
        <f>196000000</f>
        <v>196000000</v>
      </c>
    </row>
    <row r="8" spans="4:14" x14ac:dyDescent="0.2">
      <c r="D8" t="s">
        <v>7</v>
      </c>
      <c r="F8" s="1">
        <f>F5*34</f>
        <v>2451620370.3703704</v>
      </c>
      <c r="G8" t="s">
        <v>5</v>
      </c>
      <c r="J8" t="s">
        <v>25</v>
      </c>
      <c r="K8" s="1">
        <f>F22*20</f>
        <v>5997389220</v>
      </c>
    </row>
    <row r="9" spans="4:14" x14ac:dyDescent="0.2">
      <c r="D9" t="s">
        <v>12</v>
      </c>
      <c r="F9">
        <v>3.56</v>
      </c>
      <c r="G9" t="s">
        <v>1</v>
      </c>
      <c r="J9" t="s">
        <v>8</v>
      </c>
      <c r="K9" s="1">
        <v>5000000000</v>
      </c>
    </row>
    <row r="10" spans="4:14" x14ac:dyDescent="0.2">
      <c r="F10" s="1">
        <f>F9*K3</f>
        <v>2217880000000</v>
      </c>
      <c r="G10" t="s">
        <v>15</v>
      </c>
      <c r="J10" t="s">
        <v>17</v>
      </c>
      <c r="K10" s="1">
        <f>K8/K6</f>
        <v>3.9838477735541201E-2</v>
      </c>
    </row>
    <row r="11" spans="4:14" x14ac:dyDescent="0.2">
      <c r="D11" t="s">
        <v>13</v>
      </c>
      <c r="F11">
        <v>2.2200000000000002</v>
      </c>
      <c r="G11" t="s">
        <v>1</v>
      </c>
      <c r="J11" t="s">
        <v>11</v>
      </c>
      <c r="K11" s="1">
        <f>K9*375</f>
        <v>1875000000000</v>
      </c>
    </row>
    <row r="12" spans="4:14" x14ac:dyDescent="0.2">
      <c r="E12" t="s">
        <v>14</v>
      </c>
      <c r="F12">
        <f>F11*152</f>
        <v>337.44000000000005</v>
      </c>
      <c r="G12" t="s">
        <v>1</v>
      </c>
      <c r="J12" t="s">
        <v>28</v>
      </c>
      <c r="K12" s="1">
        <f>K11*2</f>
        <v>3750000000000</v>
      </c>
    </row>
    <row r="13" spans="4:14" x14ac:dyDescent="0.2">
      <c r="F13" s="1">
        <f>F12*K3</f>
        <v>210225120000000.03</v>
      </c>
      <c r="G13" t="s">
        <v>15</v>
      </c>
    </row>
    <row r="14" spans="4:14" x14ac:dyDescent="0.2">
      <c r="F14" s="1">
        <f>F13*K10</f>
        <v>8375048762571.4785</v>
      </c>
      <c r="G14" t="s">
        <v>27</v>
      </c>
      <c r="J14" t="s">
        <v>26</v>
      </c>
      <c r="K14" s="1">
        <f>K12/F14</f>
        <v>0.44775858700177867</v>
      </c>
    </row>
    <row r="15" spans="4:14" x14ac:dyDescent="0.2">
      <c r="J15" t="s">
        <v>32</v>
      </c>
      <c r="K15" s="1">
        <f>K14*24</f>
        <v>10.746206088042689</v>
      </c>
    </row>
    <row r="17" spans="4:9" x14ac:dyDescent="0.2">
      <c r="D17" t="s">
        <v>9</v>
      </c>
      <c r="F17" s="2">
        <f>K7*K9/K5</f>
        <v>9437357.2632102333</v>
      </c>
    </row>
    <row r="19" spans="4:9" x14ac:dyDescent="0.2">
      <c r="D19" t="s">
        <v>10</v>
      </c>
      <c r="F19" s="1">
        <f>F5/F17</f>
        <v>7.6405374375912487</v>
      </c>
    </row>
    <row r="22" spans="4:9" x14ac:dyDescent="0.2">
      <c r="D22" t="s">
        <v>16</v>
      </c>
      <c r="F22" s="3">
        <v>299869461</v>
      </c>
      <c r="G22" s="3">
        <v>456000000</v>
      </c>
      <c r="H22" s="3">
        <v>412000000</v>
      </c>
      <c r="I22" s="3">
        <v>406000000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AA080-7D07-3B40-86FD-DCC6B43A8DEC}">
  <dimension ref="C1:K39"/>
  <sheetViews>
    <sheetView topLeftCell="A14" zoomScale="152" zoomScaleNormal="152" workbookViewId="0">
      <selection activeCell="I39" sqref="I39"/>
    </sheetView>
  </sheetViews>
  <sheetFormatPr baseColWidth="10" defaultRowHeight="16" x14ac:dyDescent="0.2"/>
  <sheetData>
    <row r="1" spans="3:11" x14ac:dyDescent="0.2">
      <c r="D1" t="s">
        <v>23</v>
      </c>
      <c r="H1" t="s">
        <v>24</v>
      </c>
    </row>
    <row r="2" spans="3:11" x14ac:dyDescent="0.2">
      <c r="C2" t="s">
        <v>18</v>
      </c>
      <c r="D2" t="s">
        <v>19</v>
      </c>
      <c r="E2" t="s">
        <v>20</v>
      </c>
      <c r="F2" t="s">
        <v>21</v>
      </c>
      <c r="G2" t="s">
        <v>22</v>
      </c>
      <c r="H2" t="s">
        <v>19</v>
      </c>
      <c r="I2" t="s">
        <v>20</v>
      </c>
      <c r="J2" t="s">
        <v>21</v>
      </c>
      <c r="K2" t="s">
        <v>22</v>
      </c>
    </row>
    <row r="3" spans="3:11" x14ac:dyDescent="0.2">
      <c r="C3">
        <v>0.5</v>
      </c>
      <c r="D3">
        <v>3.5648435642501699</v>
      </c>
      <c r="E3">
        <v>5.4597561872567404</v>
      </c>
      <c r="F3">
        <v>3.7876713488442402</v>
      </c>
      <c r="G3">
        <v>4.6775911553572804</v>
      </c>
      <c r="H3">
        <f>D3/$C3</f>
        <v>7.1296871285003398</v>
      </c>
      <c r="I3">
        <f t="shared" ref="I3:K9" si="0">E3/$C3</f>
        <v>10.919512374513481</v>
      </c>
      <c r="J3">
        <f t="shared" si="0"/>
        <v>7.5753426976884803</v>
      </c>
      <c r="K3">
        <f t="shared" si="0"/>
        <v>9.3551823107145609</v>
      </c>
    </row>
    <row r="4" spans="3:11" x14ac:dyDescent="0.2">
      <c r="C4">
        <v>0.25</v>
      </c>
      <c r="D4">
        <v>2.4396105615488799</v>
      </c>
      <c r="E4">
        <v>4.1328442398920497</v>
      </c>
      <c r="F4">
        <v>2.6039383461427401</v>
      </c>
      <c r="G4">
        <v>3.3517882329223299</v>
      </c>
      <c r="H4">
        <f t="shared" ref="H4:H9" si="1">D4/$C4</f>
        <v>9.7584422461955196</v>
      </c>
      <c r="I4">
        <f t="shared" si="0"/>
        <v>16.531376959568199</v>
      </c>
      <c r="J4">
        <f t="shared" si="0"/>
        <v>10.41575338457096</v>
      </c>
      <c r="K4">
        <f t="shared" si="0"/>
        <v>13.407152931689319</v>
      </c>
    </row>
    <row r="5" spans="3:11" x14ac:dyDescent="0.2">
      <c r="C5">
        <v>0.125</v>
      </c>
      <c r="D5">
        <v>1.87452722821536</v>
      </c>
      <c r="E5">
        <v>3.05426090655885</v>
      </c>
      <c r="F5">
        <v>2.00960501280781</v>
      </c>
      <c r="G5">
        <v>2.5432048995882002</v>
      </c>
      <c r="H5">
        <f t="shared" si="1"/>
        <v>14.99621782572288</v>
      </c>
      <c r="I5">
        <f t="shared" si="0"/>
        <v>24.4340872524708</v>
      </c>
      <c r="J5">
        <f t="shared" si="0"/>
        <v>16.07684010246248</v>
      </c>
      <c r="K5">
        <f t="shared" si="0"/>
        <v>20.345639196705601</v>
      </c>
    </row>
    <row r="6" spans="3:11" x14ac:dyDescent="0.2">
      <c r="C6">
        <v>6.25E-2</v>
      </c>
      <c r="D6">
        <v>1.5919855615498999</v>
      </c>
      <c r="E6">
        <v>2.5149692398919101</v>
      </c>
      <c r="F6">
        <v>1.7124383461424499</v>
      </c>
      <c r="G6">
        <v>2.1389132329215998</v>
      </c>
      <c r="H6">
        <f t="shared" si="1"/>
        <v>25.471768984798398</v>
      </c>
      <c r="I6">
        <f t="shared" si="0"/>
        <v>40.239507838270562</v>
      </c>
      <c r="J6">
        <f t="shared" si="0"/>
        <v>27.399013538279199</v>
      </c>
      <c r="K6">
        <f t="shared" si="0"/>
        <v>34.222611726745598</v>
      </c>
    </row>
    <row r="7" spans="3:11" x14ac:dyDescent="0.2">
      <c r="C7">
        <v>3.125E-2</v>
      </c>
      <c r="D7">
        <v>1.4507147282155299</v>
      </c>
      <c r="E7">
        <v>2.2423205094542</v>
      </c>
      <c r="F7">
        <v>1.5608521157042801</v>
      </c>
      <c r="G7">
        <v>1.93376450248343</v>
      </c>
      <c r="H7">
        <f t="shared" si="1"/>
        <v>46.422871302896958</v>
      </c>
      <c r="I7">
        <f t="shared" si="0"/>
        <v>71.754256302534401</v>
      </c>
      <c r="J7">
        <f t="shared" si="0"/>
        <v>49.947267702536962</v>
      </c>
      <c r="K7">
        <f t="shared" si="0"/>
        <v>61.88046407946976</v>
      </c>
    </row>
    <row r="8" spans="3:11" x14ac:dyDescent="0.2">
      <c r="C8">
        <v>1.0625000000000001E-2</v>
      </c>
      <c r="D8">
        <v>1.0759148069133699</v>
      </c>
      <c r="E8">
        <v>1.7069787726079499</v>
      </c>
      <c r="F8">
        <v>1.3419133263359999</v>
      </c>
      <c r="G8">
        <v>1.42863306472282</v>
      </c>
      <c r="H8">
        <f t="shared" si="1"/>
        <v>101.2625700624348</v>
      </c>
      <c r="I8">
        <f t="shared" si="0"/>
        <v>160.6568256572188</v>
      </c>
      <c r="J8">
        <f t="shared" si="0"/>
        <v>126.29772483162351</v>
      </c>
      <c r="K8">
        <f t="shared" si="0"/>
        <v>134.45958256214774</v>
      </c>
    </row>
    <row r="9" spans="3:11" x14ac:dyDescent="0.2">
      <c r="C9">
        <v>5.3125000000000004E-3</v>
      </c>
      <c r="D9">
        <v>0.81209406356924796</v>
      </c>
      <c r="E9">
        <v>1.02644568769176</v>
      </c>
      <c r="F9">
        <v>0.86481737194264996</v>
      </c>
      <c r="G9">
        <v>0.85073755438111198</v>
      </c>
      <c r="H9">
        <f t="shared" si="1"/>
        <v>152.86476490715253</v>
      </c>
      <c r="I9">
        <f t="shared" si="0"/>
        <v>193.21330591844892</v>
      </c>
      <c r="J9">
        <f t="shared" si="0"/>
        <v>162.78915236567528</v>
      </c>
      <c r="K9">
        <f t="shared" si="0"/>
        <v>160.13883376585636</v>
      </c>
    </row>
    <row r="39" spans="8:9" x14ac:dyDescent="0.2">
      <c r="H39" s="4">
        <v>5.3125000000000004E-3</v>
      </c>
      <c r="I39">
        <f>H39/8</f>
        <v>6.6406250000000005E-4</v>
      </c>
    </row>
  </sheetData>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5B1ED-20D7-2A43-A4B4-EA2CAE2F979D}">
  <dimension ref="C4:J41"/>
  <sheetViews>
    <sheetView tabSelected="1" topLeftCell="A9" zoomScale="139" zoomScaleNormal="139" workbookViewId="0">
      <selection activeCell="E37" sqref="E37"/>
    </sheetView>
  </sheetViews>
  <sheetFormatPr baseColWidth="10" defaultRowHeight="16" x14ac:dyDescent="0.2"/>
  <cols>
    <col min="4" max="4" width="29.1640625" customWidth="1"/>
    <col min="5" max="5" width="21.33203125" customWidth="1"/>
    <col min="6" max="6" width="12.1640625" bestFit="1" customWidth="1"/>
  </cols>
  <sheetData>
    <row r="4" spans="3:10" x14ac:dyDescent="0.2">
      <c r="C4" t="s">
        <v>33</v>
      </c>
    </row>
    <row r="6" spans="3:10" x14ac:dyDescent="0.2">
      <c r="D6" t="s">
        <v>34</v>
      </c>
    </row>
    <row r="7" spans="3:10" x14ac:dyDescent="0.2">
      <c r="D7" t="s">
        <v>35</v>
      </c>
    </row>
    <row r="8" spans="3:10" x14ac:dyDescent="0.2">
      <c r="D8" t="s">
        <v>36</v>
      </c>
    </row>
    <row r="10" spans="3:10" x14ac:dyDescent="0.2">
      <c r="C10" t="s">
        <v>38</v>
      </c>
      <c r="E10" t="s">
        <v>39</v>
      </c>
      <c r="J10" t="s">
        <v>40</v>
      </c>
    </row>
    <row r="11" spans="3:10" x14ac:dyDescent="0.2">
      <c r="E11" t="s">
        <v>41</v>
      </c>
    </row>
    <row r="15" spans="3:10" x14ac:dyDescent="0.2">
      <c r="C15" t="s">
        <v>37</v>
      </c>
      <c r="D15" t="s">
        <v>47</v>
      </c>
      <c r="E15" t="s">
        <v>42</v>
      </c>
      <c r="F15" s="6">
        <v>27.3</v>
      </c>
      <c r="G15" s="6">
        <v>42.3</v>
      </c>
      <c r="H15" s="6">
        <v>40.9</v>
      </c>
      <c r="I15" s="6">
        <v>46.5</v>
      </c>
    </row>
    <row r="16" spans="3:10" x14ac:dyDescent="0.2">
      <c r="C16" t="s">
        <v>49</v>
      </c>
      <c r="D16" t="s">
        <v>45</v>
      </c>
      <c r="F16">
        <v>1.03E-2</v>
      </c>
      <c r="G16">
        <v>2.1899999999999999E-2</v>
      </c>
      <c r="H16">
        <v>2.5000000000000001E-2</v>
      </c>
      <c r="I16">
        <v>1.3100000000000001E-2</v>
      </c>
    </row>
    <row r="17" spans="3:9" x14ac:dyDescent="0.2">
      <c r="D17" t="s">
        <v>43</v>
      </c>
      <c r="E17" t="s">
        <v>44</v>
      </c>
      <c r="F17">
        <f>F15*F16</f>
        <v>0.28119</v>
      </c>
      <c r="G17">
        <f t="shared" ref="G17:I17" si="0">G15*G16</f>
        <v>0.92636999999999992</v>
      </c>
      <c r="H17">
        <f t="shared" si="0"/>
        <v>1.0225</v>
      </c>
      <c r="I17">
        <f t="shared" si="0"/>
        <v>0.60915000000000008</v>
      </c>
    </row>
    <row r="18" spans="3:9" x14ac:dyDescent="0.2">
      <c r="D18" t="s">
        <v>54</v>
      </c>
      <c r="E18" t="s">
        <v>46</v>
      </c>
      <c r="F18" s="7">
        <v>136000</v>
      </c>
      <c r="G18" s="7">
        <v>330000</v>
      </c>
      <c r="H18" s="7">
        <v>414000</v>
      </c>
      <c r="I18" s="7">
        <v>181000</v>
      </c>
    </row>
    <row r="21" spans="3:9" x14ac:dyDescent="0.2">
      <c r="E21" t="s">
        <v>65</v>
      </c>
    </row>
    <row r="22" spans="3:9" x14ac:dyDescent="0.2">
      <c r="C22" t="s">
        <v>48</v>
      </c>
      <c r="D22" t="s">
        <v>51</v>
      </c>
      <c r="E22" t="s">
        <v>61</v>
      </c>
      <c r="F22" s="6">
        <v>19.38</v>
      </c>
      <c r="G22" s="6">
        <v>20.76</v>
      </c>
      <c r="H22" s="6">
        <v>20.07</v>
      </c>
      <c r="I22" s="6">
        <v>15.74</v>
      </c>
    </row>
    <row r="23" spans="3:9" x14ac:dyDescent="0.2">
      <c r="C23" t="s">
        <v>50</v>
      </c>
      <c r="E23" t="s">
        <v>52</v>
      </c>
      <c r="F23">
        <f>F22/1000</f>
        <v>1.9379999999999998E-2</v>
      </c>
      <c r="G23">
        <f t="shared" ref="G23:I23" si="1">G22/1000</f>
        <v>2.0760000000000001E-2</v>
      </c>
      <c r="H23">
        <f t="shared" si="1"/>
        <v>2.0070000000000001E-2</v>
      </c>
      <c r="I23">
        <f t="shared" si="1"/>
        <v>1.5740000000000001E-2</v>
      </c>
    </row>
    <row r="24" spans="3:9" x14ac:dyDescent="0.2">
      <c r="D24" t="s">
        <v>45</v>
      </c>
      <c r="F24">
        <v>5.2900000000000003E-2</v>
      </c>
      <c r="G24">
        <v>5.45E-2</v>
      </c>
      <c r="H24">
        <v>2.7099999999999999E-2</v>
      </c>
      <c r="I24">
        <v>2.53E-2</v>
      </c>
    </row>
    <row r="25" spans="3:9" x14ac:dyDescent="0.2">
      <c r="D25" t="s">
        <v>43</v>
      </c>
      <c r="E25" t="s">
        <v>53</v>
      </c>
      <c r="F25" s="8">
        <f>F23*F24</f>
        <v>1.025202E-3</v>
      </c>
      <c r="G25" s="8">
        <f t="shared" ref="G25:I25" si="2">G23*G24</f>
        <v>1.13142E-3</v>
      </c>
      <c r="H25" s="8">
        <f t="shared" si="2"/>
        <v>5.43897E-4</v>
      </c>
      <c r="I25" s="8">
        <f t="shared" si="2"/>
        <v>3.98222E-4</v>
      </c>
    </row>
    <row r="26" spans="3:9" x14ac:dyDescent="0.2">
      <c r="D26" t="s">
        <v>55</v>
      </c>
      <c r="E26" t="s">
        <v>46</v>
      </c>
      <c r="F26" s="7">
        <v>309000</v>
      </c>
      <c r="G26" s="7">
        <v>311000</v>
      </c>
      <c r="H26" s="7">
        <v>221000</v>
      </c>
      <c r="I26" s="7">
        <v>229000</v>
      </c>
    </row>
    <row r="27" spans="3:9" x14ac:dyDescent="0.2">
      <c r="D27" t="s">
        <v>56</v>
      </c>
      <c r="E27" t="s">
        <v>42</v>
      </c>
      <c r="F27" s="1">
        <f>F15/F18*F26</f>
        <v>62.027205882352945</v>
      </c>
      <c r="G27" s="1">
        <f t="shared" ref="G27:I27" si="3">G15/G18*G26</f>
        <v>39.86454545454545</v>
      </c>
      <c r="H27" s="1">
        <f t="shared" si="3"/>
        <v>21.833091787439614</v>
      </c>
      <c r="I27" s="1">
        <f t="shared" si="3"/>
        <v>58.831491712707184</v>
      </c>
    </row>
    <row r="28" spans="3:9" x14ac:dyDescent="0.2">
      <c r="D28" t="s">
        <v>56</v>
      </c>
      <c r="E28" t="s">
        <v>52</v>
      </c>
      <c r="F28" s="1">
        <f>F27/$F$29</f>
        <v>1.3359352373336294E-6</v>
      </c>
      <c r="G28" s="1">
        <f t="shared" ref="G28:I28" si="4">G27/$F$29</f>
        <v>8.5859825919012031E-7</v>
      </c>
      <c r="H28" s="1">
        <f t="shared" si="4"/>
        <v>4.70238764488316E-7</v>
      </c>
      <c r="I28" s="1">
        <f t="shared" si="4"/>
        <v>1.2671062919225838E-6</v>
      </c>
    </row>
    <row r="29" spans="3:9" x14ac:dyDescent="0.2">
      <c r="D29" t="s">
        <v>57</v>
      </c>
      <c r="E29" t="s">
        <v>62</v>
      </c>
      <c r="F29" s="1">
        <f>46429.8*1000000/1000</f>
        <v>46429800</v>
      </c>
    </row>
    <row r="31" spans="3:9" x14ac:dyDescent="0.2">
      <c r="D31" t="s">
        <v>58</v>
      </c>
      <c r="E31" t="s">
        <v>59</v>
      </c>
      <c r="F31" s="1">
        <f>F25/F28</f>
        <v>767.40396641246127</v>
      </c>
      <c r="G31" s="1">
        <f t="shared" ref="G31:I31" si="5">G25/G28</f>
        <v>1317.752497037696</v>
      </c>
      <c r="H31" s="1">
        <f t="shared" si="5"/>
        <v>1156.6400753707198</v>
      </c>
      <c r="I31" s="1">
        <f t="shared" si="5"/>
        <v>314.27671264718975</v>
      </c>
    </row>
    <row r="33" spans="3:3" x14ac:dyDescent="0.2">
      <c r="C33" t="s">
        <v>60</v>
      </c>
    </row>
    <row r="34" spans="3:3" x14ac:dyDescent="0.2">
      <c r="C34" t="s">
        <v>49</v>
      </c>
    </row>
    <row r="40" spans="3:3" x14ac:dyDescent="0.2">
      <c r="C40" t="s">
        <v>63</v>
      </c>
    </row>
    <row r="41" spans="3:3" x14ac:dyDescent="0.2">
      <c r="C41"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Metab dilution</vt:lpstr>
      <vt:lpstr>Turnover protein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Luthert, Philip</dc:creator>
  <cp:lastModifiedBy>Luthert, Philip</cp:lastModifiedBy>
  <dcterms:created xsi:type="dcterms:W3CDTF">2021-06-25T11:06:07Z</dcterms:created>
  <dcterms:modified xsi:type="dcterms:W3CDTF">2021-09-12T16:12:41Z</dcterms:modified>
</cp:coreProperties>
</file>