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</sheets>
  <definedNames/>
  <calcPr/>
</workbook>
</file>

<file path=xl/sharedStrings.xml><?xml version="1.0" encoding="utf-8"?>
<sst xmlns="http://schemas.openxmlformats.org/spreadsheetml/2006/main" count="96" uniqueCount="46">
  <si>
    <t>UCLQ Quantum Energy Hackathon</t>
  </si>
  <si>
    <t>Example data for solar and wind energy sources</t>
  </si>
  <si>
    <t>General constants for the energy sources</t>
  </si>
  <si>
    <t>cost per solar unit</t>
  </si>
  <si>
    <t>Pre-development (£/kW)</t>
  </si>
  <si>
    <t>Construction (£/kW)</t>
  </si>
  <si>
    <t xml:space="preserve">cost per MW per year = </t>
  </si>
  <si>
    <t>Fixed O&amp;M (£/MW/year)</t>
  </si>
  <si>
    <t>Load factor (%)</t>
  </si>
  <si>
    <t>Operating period (years)</t>
  </si>
  <si>
    <t>cost per wind unit (on-shore)</t>
  </si>
  <si>
    <t>cost per wind unit (off-shore)</t>
  </si>
  <si>
    <t>price of GWh</t>
  </si>
  <si>
    <t>UK GWh consumption</t>
  </si>
  <si>
    <t xml:space="preserve">Solar energy </t>
  </si>
  <si>
    <t>Area split for the UK*</t>
  </si>
  <si>
    <t>Number of units per region</t>
  </si>
  <si>
    <t>Generated energy per unit (GWh/year)</t>
  </si>
  <si>
    <t>Weather (sun hours/month)</t>
  </si>
  <si>
    <t>Total capacity (MW)</t>
  </si>
  <si>
    <t>Cost per unit</t>
  </si>
  <si>
    <t>Revenue per unit</t>
  </si>
  <si>
    <t>Solar P/L</t>
  </si>
  <si>
    <t>England</t>
  </si>
  <si>
    <t>East Midlands</t>
  </si>
  <si>
    <t>East of England</t>
  </si>
  <si>
    <t>North East</t>
  </si>
  <si>
    <t>North West</t>
  </si>
  <si>
    <t>London</t>
  </si>
  <si>
    <t>South East</t>
  </si>
  <si>
    <t>South West</t>
  </si>
  <si>
    <t>West Midlands</t>
  </si>
  <si>
    <t>Yorkshire and the Humber</t>
  </si>
  <si>
    <t>Northern Ireland</t>
  </si>
  <si>
    <t>Scotland</t>
  </si>
  <si>
    <t>Wales</t>
  </si>
  <si>
    <r>
      <rPr>
        <rFont val="Arial"/>
        <color theme="1"/>
      </rPr>
      <t xml:space="preserve">* in the example only the 4  regions in </t>
    </r>
    <r>
      <rPr>
        <rFont val="Arial"/>
        <b/>
        <color theme="1"/>
      </rPr>
      <t>BOLD</t>
    </r>
    <r>
      <rPr>
        <rFont val="Arial"/>
        <color theme="1"/>
      </rPr>
      <t xml:space="preserve"> are used </t>
    </r>
  </si>
  <si>
    <t>On-shore wind energy</t>
  </si>
  <si>
    <t xml:space="preserve">Total energy per unit (GWh/year) </t>
  </si>
  <si>
    <t xml:space="preserve">Total capacity (MW) </t>
  </si>
  <si>
    <t>Total energy per unit</t>
  </si>
  <si>
    <t>On-shore P/L</t>
  </si>
  <si>
    <r>
      <rPr>
        <rFont val="Arial"/>
        <color theme="1"/>
      </rPr>
      <t xml:space="preserve">* in the example only the 4  regions in </t>
    </r>
    <r>
      <rPr>
        <rFont val="Arial"/>
        <b/>
        <color theme="1"/>
      </rPr>
      <t>BOLD</t>
    </r>
    <r>
      <rPr>
        <rFont val="Arial"/>
        <color theme="1"/>
      </rPr>
      <t xml:space="preserve"> are used </t>
    </r>
  </si>
  <si>
    <t>Off-shore wind energy</t>
  </si>
  <si>
    <t>Off-shore P/L</t>
  </si>
  <si>
    <r>
      <rPr>
        <rFont val="Arial"/>
        <color theme="1"/>
      </rPr>
      <t xml:space="preserve">* in the example only the 4  regions in </t>
    </r>
    <r>
      <rPr>
        <rFont val="Arial"/>
        <b/>
        <color theme="1"/>
      </rPr>
      <t>BOLD</t>
    </r>
    <r>
      <rPr>
        <rFont val="Arial"/>
        <color theme="1"/>
      </rPr>
      <t xml:space="preserve"> are used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</si>
</sst>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&quot;$&quot;#,##0.00"/>
    <numFmt numFmtId="166" formatCode="[$£]#,##0.00"/>
  </numFmts>
  <fonts count="12">
    <font>
      <sz val="10.0"/>
      <color rgb="FF000000"/>
      <name val="Arial"/>
    </font>
    <font>
      <b/>
      <sz val="24.0"/>
      <color theme="1"/>
      <name val="Arial"/>
    </font>
    <font>
      <color theme="1"/>
      <name val="Arial"/>
    </font>
    <font>
      <sz val="24.0"/>
      <color theme="1"/>
      <name val="Arial"/>
    </font>
    <font>
      <b/>
      <color theme="1"/>
      <name val="Arial"/>
    </font>
    <font>
      <b/>
      <sz val="11.0"/>
      <color rgb="FF000000"/>
      <name val="Arial"/>
    </font>
    <font/>
    <font>
      <b/>
      <sz val="18.0"/>
      <color rgb="FF000000"/>
      <name val="Arial"/>
    </font>
    <font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2" fontId="5" numFmtId="0" xfId="0" applyAlignment="1" applyFill="1" applyFont="1">
      <alignment horizontal="center" readingOrder="0"/>
    </xf>
    <xf borderId="2" fillId="0" fontId="6" numFmtId="0" xfId="0" applyBorder="1" applyFont="1"/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horizontal="center"/>
    </xf>
    <xf borderId="2" fillId="0" fontId="2" numFmtId="166" xfId="0" applyAlignment="1" applyBorder="1" applyFont="1" applyNumberFormat="1">
      <alignment horizontal="center"/>
    </xf>
    <xf borderId="1" fillId="2" fontId="7" numFmtId="0" xfId="0" applyAlignment="1" applyBorder="1" applyFont="1">
      <alignment horizontal="center" readingOrder="0" vertical="center"/>
    </xf>
    <xf borderId="1" fillId="0" fontId="6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4" numFmtId="0" xfId="0" applyAlignment="1" applyBorder="1" applyFont="1">
      <alignment readingOrder="0" shrinkToFit="0" vertical="top" wrapText="0"/>
    </xf>
    <xf borderId="10" fillId="0" fontId="9" numFmtId="4" xfId="0" applyAlignment="1" applyBorder="1" applyFont="1" applyNumberFormat="1">
      <alignment horizontal="center" readingOrder="0" shrinkToFit="0" vertical="bottom" wrapText="0"/>
    </xf>
    <xf borderId="11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6" fillId="0" fontId="10" numFmtId="0" xfId="0" applyAlignment="1" applyBorder="1" applyFont="1">
      <alignment horizontal="left" readingOrder="0" shrinkToFit="0" vertical="top" wrapText="0"/>
    </xf>
    <xf borderId="7" fillId="0" fontId="10" numFmtId="4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top" wrapText="0"/>
    </xf>
    <xf borderId="1" fillId="0" fontId="9" numFmtId="4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readingOrder="0" shrinkToFit="0" vertical="top" wrapText="0"/>
    </xf>
    <xf borderId="0" fillId="0" fontId="9" numFmtId="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readingOrder="0" shrinkToFit="0" vertical="top" wrapText="0"/>
    </xf>
    <xf borderId="2" fillId="0" fontId="9" numFmtId="4" xfId="0" applyAlignment="1" applyBorder="1" applyFont="1" applyNumberFormat="1">
      <alignment horizontal="center" readingOrder="0" shrinkToFit="0" vertical="bottom" wrapText="0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right" readingOrder="0" shrinkToFit="0" vertical="bottom" wrapText="0"/>
    </xf>
    <xf borderId="4" fillId="0" fontId="11" numFmtId="0" xfId="0" applyAlignment="1" applyBorder="1" applyFont="1">
      <alignment horizontal="center" readingOrder="0" vertical="center"/>
    </xf>
    <xf borderId="5" fillId="0" fontId="6" numFmtId="0" xfId="0" applyBorder="1" applyFont="1"/>
    <xf borderId="15" fillId="0" fontId="6" numFmtId="0" xfId="0" applyBorder="1" applyFont="1"/>
    <xf borderId="14" fillId="0" fontId="6" numFmtId="0" xfId="0" applyBorder="1" applyFont="1"/>
    <xf borderId="11" fillId="0" fontId="9" numFmtId="4" xfId="0" applyAlignment="1" applyBorder="1" applyFont="1" applyNumberFormat="1">
      <alignment horizontal="center" readingOrder="0" shrinkToFit="0" vertical="center" wrapText="0"/>
    </xf>
    <xf borderId="12" fillId="0" fontId="4" numFmtId="0" xfId="0" applyAlignment="1" applyBorder="1" applyFont="1">
      <alignment horizontal="center" vertical="center"/>
    </xf>
    <xf borderId="0" fillId="0" fontId="10" numFmtId="4" xfId="0" applyAlignment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vertical="center"/>
    </xf>
    <xf borderId="1" fillId="0" fontId="9" numFmtId="4" xfId="0" applyAlignment="1" applyBorder="1" applyFont="1" applyNumberFormat="1">
      <alignment horizontal="center" readingOrder="0" shrinkToFit="0" vertical="center" wrapText="0"/>
    </xf>
    <xf borderId="5" fillId="0" fontId="4" numFmtId="0" xfId="0" applyAlignment="1" applyBorder="1" applyFont="1">
      <alignment horizontal="center" vertical="center"/>
    </xf>
    <xf borderId="0" fillId="0" fontId="9" numFmtId="4" xfId="0" applyAlignment="1" applyFont="1" applyNumberFormat="1">
      <alignment horizontal="center" readingOrder="0" shrinkToFit="0" vertical="center" wrapText="0"/>
    </xf>
    <xf borderId="8" fillId="0" fontId="4" numFmtId="0" xfId="0" applyAlignment="1" applyBorder="1" applyFont="1">
      <alignment horizontal="center" vertical="center"/>
    </xf>
    <xf borderId="2" fillId="0" fontId="9" numFmtId="4" xfId="0" applyAlignment="1" applyBorder="1" applyFont="1" applyNumberFormat="1">
      <alignment horizontal="center" readingOrder="0" shrinkToFit="0" vertical="center" wrapText="0"/>
    </xf>
    <xf borderId="14" fillId="0" fontId="4" numFmtId="0" xfId="0" applyAlignment="1" applyBorder="1" applyFont="1">
      <alignment horizontal="center" vertical="center"/>
    </xf>
    <xf borderId="10" fillId="0" fontId="9" numFmtId="4" xfId="0" applyAlignment="1" applyBorder="1" applyFont="1" applyNumberFormat="1">
      <alignment horizontal="center" readingOrder="0" shrinkToFit="0" vertical="center" wrapText="0"/>
    </xf>
    <xf borderId="7" fillId="0" fontId="10" numFmtId="4" xfId="0" applyAlignment="1" applyBorder="1" applyFont="1" applyNumberFormat="1">
      <alignment horizontal="center" readingOrder="0" shrinkToFit="0" vertical="center" wrapText="0"/>
    </xf>
    <xf borderId="4" fillId="0" fontId="9" numFmtId="4" xfId="0" applyAlignment="1" applyBorder="1" applyFont="1" applyNumberFormat="1">
      <alignment horizontal="center" readingOrder="0" shrinkToFit="0" vertical="center" wrapText="0"/>
    </xf>
    <xf borderId="7" fillId="0" fontId="9" numFmtId="4" xfId="0" applyAlignment="1" applyBorder="1" applyFont="1" applyNumberFormat="1">
      <alignment horizontal="center" readingOrder="0" shrinkToFit="0" vertical="center" wrapText="0"/>
    </xf>
    <xf borderId="15" fillId="0" fontId="9" numFmtId="4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3714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24.0"/>
    <col customWidth="1" min="3" max="3" width="34.14"/>
    <col customWidth="1" min="4" max="4" width="25.29"/>
    <col customWidth="1" min="5" max="5" width="19.57"/>
    <col customWidth="1" min="6" max="6" width="17.29"/>
    <col customWidth="1" min="7" max="10" width="18.43"/>
    <col customWidth="1" min="12" max="13" width="19.29"/>
    <col customWidth="1" min="14" max="14" width="28.71"/>
    <col customWidth="1" min="15" max="15" width="27.29"/>
    <col customWidth="1" min="18" max="18" width="16.86"/>
    <col customWidth="1" min="19" max="19" width="16.29"/>
    <col customWidth="1" min="20" max="20" width="17.57"/>
    <col customWidth="1" min="21" max="21" width="16.71"/>
  </cols>
  <sheetData>
    <row r="1">
      <c r="A1" s="1" t="s">
        <v>0</v>
      </c>
      <c r="F1" s="2"/>
      <c r="L1" s="3"/>
      <c r="M1" s="3"/>
    </row>
    <row r="2">
      <c r="L2" s="3"/>
      <c r="M2" s="3"/>
    </row>
    <row r="3">
      <c r="L3" s="3"/>
      <c r="M3" s="3"/>
    </row>
    <row r="4">
      <c r="A4" s="4">
        <v>44593.0</v>
      </c>
      <c r="L4" s="3"/>
      <c r="M4" s="3"/>
    </row>
    <row r="5">
      <c r="L5" s="3"/>
      <c r="M5" s="3"/>
    </row>
    <row r="6">
      <c r="A6" s="5" t="s">
        <v>1</v>
      </c>
      <c r="L6" s="3"/>
      <c r="M6" s="3"/>
    </row>
    <row r="7">
      <c r="L7" s="3"/>
      <c r="M7" s="3"/>
    </row>
    <row r="8">
      <c r="L8" s="3"/>
      <c r="M8" s="3"/>
    </row>
    <row r="9">
      <c r="A9" s="2"/>
    </row>
    <row r="10">
      <c r="A10" s="6" t="s">
        <v>2</v>
      </c>
      <c r="D10" s="3"/>
      <c r="E10" s="3"/>
      <c r="F10" s="3"/>
      <c r="G10" s="2"/>
      <c r="H10" s="3"/>
      <c r="I10" s="3"/>
      <c r="J10" s="3"/>
      <c r="K10" s="3"/>
      <c r="L10" s="3"/>
      <c r="M10" s="3"/>
    </row>
    <row r="11">
      <c r="A11" s="7" t="s">
        <v>3</v>
      </c>
      <c r="B11" s="8" t="s">
        <v>4</v>
      </c>
      <c r="C11" s="8">
        <v>50.0</v>
      </c>
      <c r="E11" s="3"/>
      <c r="G11" s="2"/>
      <c r="H11" s="3"/>
      <c r="I11" s="3"/>
      <c r="J11" s="3"/>
      <c r="K11" s="3"/>
      <c r="L11" s="3"/>
      <c r="M11" s="3"/>
    </row>
    <row r="12">
      <c r="B12" s="3" t="s">
        <v>5</v>
      </c>
      <c r="C12" s="3">
        <v>400.0</v>
      </c>
      <c r="D12" s="3" t="s">
        <v>6</v>
      </c>
      <c r="E12" s="3"/>
      <c r="F12" s="3"/>
      <c r="G12" s="9"/>
      <c r="H12" s="3"/>
      <c r="I12" s="3"/>
      <c r="J12" s="3"/>
      <c r="K12" s="3"/>
      <c r="L12" s="3"/>
      <c r="M12" s="3"/>
    </row>
    <row r="13">
      <c r="B13" s="3" t="s">
        <v>7</v>
      </c>
      <c r="C13" s="3">
        <v>6700.0</v>
      </c>
      <c r="D13" s="10">
        <f>(1000*(C11+C12)/C15) +C13</f>
        <v>19557.14286</v>
      </c>
      <c r="E13" s="3"/>
      <c r="F13" s="3"/>
      <c r="G13" s="3"/>
      <c r="H13" s="3"/>
      <c r="I13" s="3"/>
      <c r="J13" s="3"/>
      <c r="K13" s="3"/>
      <c r="L13" s="3"/>
      <c r="M13" s="3"/>
    </row>
    <row r="14">
      <c r="B14" s="3" t="s">
        <v>8</v>
      </c>
      <c r="C14" s="3">
        <v>11.0</v>
      </c>
      <c r="D14" s="2"/>
      <c r="E14" s="3"/>
      <c r="F14" s="3"/>
      <c r="G14" s="2"/>
      <c r="H14" s="3"/>
      <c r="I14" s="3"/>
      <c r="J14" s="3"/>
      <c r="K14" s="3"/>
      <c r="L14" s="3"/>
      <c r="M14" s="3"/>
    </row>
    <row r="15">
      <c r="A15" s="11"/>
      <c r="B15" s="12" t="s">
        <v>9</v>
      </c>
      <c r="C15" s="12">
        <v>35.0</v>
      </c>
      <c r="D15" s="2"/>
      <c r="E15" s="3"/>
      <c r="F15" s="3"/>
      <c r="G15" s="2"/>
      <c r="H15" s="3"/>
      <c r="I15" s="3"/>
      <c r="J15" s="3"/>
      <c r="K15" s="3"/>
      <c r="L15" s="3"/>
      <c r="M15" s="3"/>
    </row>
    <row r="16">
      <c r="A16" s="13" t="s">
        <v>10</v>
      </c>
      <c r="B16" s="3" t="s">
        <v>4</v>
      </c>
      <c r="C16" s="3">
        <v>120.0</v>
      </c>
      <c r="E16" s="3"/>
      <c r="G16" s="2"/>
      <c r="H16" s="3"/>
      <c r="I16" s="3"/>
      <c r="J16" s="3"/>
      <c r="K16" s="3"/>
      <c r="L16" s="3"/>
      <c r="M16" s="3"/>
    </row>
    <row r="17">
      <c r="B17" s="3" t="s">
        <v>5</v>
      </c>
      <c r="C17" s="3">
        <v>1000.0</v>
      </c>
      <c r="D17" s="3" t="s">
        <v>6</v>
      </c>
      <c r="E17" s="3"/>
      <c r="F17" s="3"/>
      <c r="G17" s="9"/>
      <c r="H17" s="3"/>
      <c r="I17" s="3"/>
      <c r="J17" s="3"/>
      <c r="K17" s="3"/>
      <c r="L17" s="3"/>
      <c r="M17" s="3"/>
    </row>
    <row r="18">
      <c r="B18" s="3" t="s">
        <v>7</v>
      </c>
      <c r="C18" s="3">
        <v>23500.0</v>
      </c>
      <c r="D18" s="10">
        <f>(1000*(C16+C17)/C20) +C18</f>
        <v>68300</v>
      </c>
      <c r="E18" s="3"/>
      <c r="F18" s="3"/>
      <c r="G18" s="3"/>
      <c r="H18" s="3"/>
      <c r="I18" s="3"/>
      <c r="J18" s="3"/>
      <c r="K18" s="3"/>
      <c r="L18" s="3"/>
      <c r="M18" s="3"/>
    </row>
    <row r="19">
      <c r="B19" s="3" t="s">
        <v>8</v>
      </c>
      <c r="C19" s="3">
        <v>34.0</v>
      </c>
      <c r="D19" s="2"/>
      <c r="E19" s="3"/>
      <c r="F19" s="2"/>
      <c r="G19" s="2"/>
      <c r="H19" s="3"/>
      <c r="I19" s="3"/>
      <c r="J19" s="3"/>
      <c r="K19" s="3"/>
      <c r="L19" s="3"/>
      <c r="M19" s="3"/>
    </row>
    <row r="20">
      <c r="A20" s="11"/>
      <c r="B20" s="12" t="s">
        <v>9</v>
      </c>
      <c r="C20" s="12">
        <v>25.0</v>
      </c>
      <c r="D20" s="2"/>
      <c r="E20" s="3"/>
      <c r="F20" s="2"/>
      <c r="G20" s="2"/>
      <c r="H20" s="3"/>
      <c r="I20" s="3"/>
      <c r="J20" s="3"/>
      <c r="K20" s="3"/>
      <c r="L20" s="3"/>
      <c r="M20" s="3"/>
    </row>
    <row r="21">
      <c r="A21" s="13" t="s">
        <v>11</v>
      </c>
      <c r="B21" s="3" t="s">
        <v>4</v>
      </c>
      <c r="C21" s="3">
        <v>130.0</v>
      </c>
      <c r="E21" s="3"/>
      <c r="F21" s="3"/>
      <c r="G21" s="2"/>
      <c r="H21" s="3"/>
      <c r="I21" s="3"/>
      <c r="J21" s="3"/>
      <c r="K21" s="3"/>
      <c r="L21" s="3"/>
      <c r="M21" s="3"/>
    </row>
    <row r="22">
      <c r="B22" s="3" t="s">
        <v>5</v>
      </c>
      <c r="C22" s="3">
        <v>1500.0</v>
      </c>
      <c r="D22" s="3" t="s">
        <v>6</v>
      </c>
      <c r="E22" s="3"/>
      <c r="F22" s="3"/>
      <c r="G22" s="2"/>
      <c r="H22" s="3"/>
      <c r="I22" s="3"/>
      <c r="J22" s="3"/>
      <c r="K22" s="3"/>
      <c r="L22" s="3"/>
      <c r="M22" s="3"/>
    </row>
    <row r="23">
      <c r="B23" s="3" t="s">
        <v>7</v>
      </c>
      <c r="C23" s="3">
        <v>36300.0</v>
      </c>
      <c r="D23" s="10">
        <f>(1000*(C21+C22)/C25) +C23</f>
        <v>90633.33333</v>
      </c>
      <c r="E23" s="3"/>
      <c r="F23" s="3"/>
      <c r="G23" s="2"/>
      <c r="H23" s="3"/>
      <c r="I23" s="3"/>
      <c r="J23" s="3"/>
      <c r="K23" s="3"/>
      <c r="L23" s="3"/>
      <c r="M23" s="3"/>
    </row>
    <row r="24">
      <c r="B24" s="3" t="s">
        <v>8</v>
      </c>
      <c r="C24" s="3">
        <v>51.0</v>
      </c>
      <c r="D24" s="2"/>
      <c r="E24" s="3"/>
      <c r="F24" s="2"/>
      <c r="G24" s="2"/>
      <c r="H24" s="3"/>
      <c r="I24" s="3"/>
      <c r="J24" s="3"/>
      <c r="K24" s="3"/>
      <c r="L24" s="3"/>
      <c r="M24" s="3"/>
    </row>
    <row r="25">
      <c r="A25" s="11"/>
      <c r="B25" s="12" t="s">
        <v>9</v>
      </c>
      <c r="C25" s="12">
        <v>30.0</v>
      </c>
      <c r="D25" s="2"/>
      <c r="E25" s="3"/>
      <c r="F25" s="3"/>
      <c r="G25" s="2"/>
      <c r="H25" s="3"/>
      <c r="I25" s="3"/>
      <c r="J25" s="3"/>
      <c r="K25" s="3"/>
      <c r="L25" s="3"/>
      <c r="M25" s="3"/>
    </row>
    <row r="26">
      <c r="A26" s="3" t="s">
        <v>12</v>
      </c>
      <c r="B26" s="3">
        <f>0.19 * 1000000</f>
        <v>190000</v>
      </c>
      <c r="C26" s="14"/>
      <c r="D26" s="2"/>
      <c r="E26" s="3"/>
      <c r="F26" s="3"/>
      <c r="G26" s="2"/>
      <c r="H26" s="3"/>
      <c r="I26" s="3"/>
      <c r="J26" s="3"/>
      <c r="K26" s="3"/>
      <c r="L26" s="3"/>
      <c r="M26" s="3"/>
    </row>
    <row r="27">
      <c r="A27" s="12" t="s">
        <v>13</v>
      </c>
      <c r="B27" s="12">
        <f>330000 * (1/(1-0.046))</f>
        <v>345911.9497</v>
      </c>
      <c r="C27" s="15">
        <f>B27*B26</f>
        <v>65723270440</v>
      </c>
      <c r="D27" s="2"/>
      <c r="E27" s="3"/>
      <c r="F27" s="3"/>
      <c r="G27" s="3"/>
      <c r="H27" s="3"/>
      <c r="I27" s="3"/>
      <c r="J27" s="3"/>
      <c r="K27" s="3"/>
      <c r="L27" s="3"/>
      <c r="M27" s="3"/>
    </row>
    <row r="2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16" t="s">
        <v>14</v>
      </c>
      <c r="B29" s="17"/>
      <c r="C29" s="17"/>
      <c r="D29" s="17"/>
      <c r="E29" s="17"/>
      <c r="F29" s="17"/>
      <c r="G29" s="17"/>
      <c r="H29" s="17"/>
      <c r="I29" s="17"/>
      <c r="J29" s="3"/>
      <c r="K29" s="3"/>
      <c r="L29" s="3"/>
      <c r="M29" s="3"/>
    </row>
    <row r="30">
      <c r="J30" s="3"/>
      <c r="K30" s="3"/>
      <c r="L30" s="3"/>
      <c r="M30" s="3"/>
    </row>
    <row r="31">
      <c r="J31" s="3"/>
      <c r="K31" s="3"/>
      <c r="L31" s="3"/>
      <c r="M31" s="3"/>
    </row>
    <row r="32">
      <c r="A32" s="18" t="s">
        <v>15</v>
      </c>
      <c r="B32" s="19" t="s">
        <v>16</v>
      </c>
      <c r="C32" s="7" t="s">
        <v>17</v>
      </c>
      <c r="D32" s="7" t="s">
        <v>18</v>
      </c>
      <c r="E32" s="7" t="s">
        <v>19</v>
      </c>
      <c r="F32" s="7" t="s">
        <v>20</v>
      </c>
      <c r="G32" s="7" t="s">
        <v>21</v>
      </c>
      <c r="H32" s="7" t="s">
        <v>20</v>
      </c>
      <c r="I32" s="20" t="s">
        <v>22</v>
      </c>
    </row>
    <row r="33">
      <c r="A33" s="21"/>
      <c r="B33" s="22"/>
      <c r="I33" s="23"/>
    </row>
    <row r="34">
      <c r="A34" s="24" t="s">
        <v>23</v>
      </c>
      <c r="B34" s="25">
        <v>743058.0</v>
      </c>
      <c r="C34" s="26">
        <f t="shared" ref="C34:C46" si="1">F34/B34</f>
        <v>0.01465026956</v>
      </c>
      <c r="D34" s="26">
        <f>AVERAGE(D35:D43)</f>
        <v>126.8888889</v>
      </c>
      <c r="E34" s="27">
        <v>11433.0</v>
      </c>
      <c r="F34" s="27">
        <f>10886</f>
        <v>10886</v>
      </c>
      <c r="G34" s="27">
        <f t="shared" ref="G34:G46" si="2">F34*$B$26/B34</f>
        <v>2783.551217</v>
      </c>
      <c r="H34" s="27">
        <f t="shared" ref="H34:H46" si="3">E34*$D$13/B34</f>
        <v>300.9143489</v>
      </c>
      <c r="I34" s="28">
        <f t="shared" ref="I34:I46" si="4">G34-H34</f>
        <v>2482.636868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30"/>
      <c r="Y34" s="30"/>
      <c r="Z34" s="30"/>
      <c r="AA34" s="30"/>
      <c r="AB34" s="30"/>
      <c r="AC34" s="29"/>
      <c r="AD34" s="29"/>
    </row>
    <row r="35">
      <c r="A35" s="31" t="s">
        <v>24</v>
      </c>
      <c r="B35" s="32">
        <v>87552.0</v>
      </c>
      <c r="C35" s="33">
        <f t="shared" si="1"/>
        <v>0</v>
      </c>
      <c r="D35" s="33">
        <f>(55+75+115+160+200+205+215+200+150+115+75+50)/12</f>
        <v>134.5833333</v>
      </c>
      <c r="E35" s="13">
        <v>0.0</v>
      </c>
      <c r="F35" s="13">
        <f t="shared" ref="F35:F43" si="5">0</f>
        <v>0</v>
      </c>
      <c r="G35" s="13">
        <f t="shared" si="2"/>
        <v>0</v>
      </c>
      <c r="H35" s="13">
        <f t="shared" si="3"/>
        <v>0</v>
      </c>
      <c r="I35" s="34">
        <f t="shared" si="4"/>
        <v>0</v>
      </c>
      <c r="X35" s="33"/>
      <c r="Y35" s="33"/>
      <c r="Z35" s="33"/>
      <c r="AA35" s="33"/>
      <c r="AB35" s="33"/>
    </row>
    <row r="36">
      <c r="A36" s="31" t="s">
        <v>25</v>
      </c>
      <c r="B36" s="32">
        <v>105329.0</v>
      </c>
      <c r="C36" s="33">
        <f t="shared" si="1"/>
        <v>0</v>
      </c>
      <c r="D36" s="33">
        <f>(60+80+120+155+203+189+205+192+148+115+75+52)/12</f>
        <v>132.8333333</v>
      </c>
      <c r="E36" s="13">
        <v>0.0</v>
      </c>
      <c r="F36" s="13">
        <f t="shared" si="5"/>
        <v>0</v>
      </c>
      <c r="G36" s="13">
        <f t="shared" si="2"/>
        <v>0</v>
      </c>
      <c r="H36" s="13">
        <f t="shared" si="3"/>
        <v>0</v>
      </c>
      <c r="I36" s="34">
        <f t="shared" si="4"/>
        <v>0</v>
      </c>
      <c r="X36" s="33"/>
      <c r="Y36" s="33"/>
      <c r="Z36" s="33"/>
      <c r="AA36" s="33"/>
      <c r="AB36" s="33"/>
    </row>
    <row r="37">
      <c r="A37" s="31" t="s">
        <v>26</v>
      </c>
      <c r="B37" s="32">
        <v>47458.0</v>
      </c>
      <c r="C37" s="33">
        <f t="shared" si="1"/>
        <v>0</v>
      </c>
      <c r="D37" s="33">
        <f>(48+60+110+146+185+175+200+180+140+90+55+40)/12</f>
        <v>119.0833333</v>
      </c>
      <c r="E37" s="13">
        <v>0.0</v>
      </c>
      <c r="F37" s="13">
        <f t="shared" si="5"/>
        <v>0</v>
      </c>
      <c r="G37" s="13">
        <f t="shared" si="2"/>
        <v>0</v>
      </c>
      <c r="H37" s="13">
        <f t="shared" si="3"/>
        <v>0</v>
      </c>
      <c r="I37" s="34">
        <f t="shared" si="4"/>
        <v>0</v>
      </c>
      <c r="X37" s="33"/>
      <c r="Y37" s="33"/>
      <c r="Z37" s="33"/>
      <c r="AA37" s="33"/>
      <c r="AB37" s="33"/>
    </row>
    <row r="38">
      <c r="A38" s="31" t="s">
        <v>27</v>
      </c>
      <c r="B38" s="32">
        <v>85035.0</v>
      </c>
      <c r="C38" s="33">
        <f t="shared" si="1"/>
        <v>0</v>
      </c>
      <c r="D38" s="33">
        <f>(51+75+100+150+180+175+190+160+135+100+60+50)/12</f>
        <v>118.8333333</v>
      </c>
      <c r="E38" s="13">
        <v>0.0</v>
      </c>
      <c r="F38" s="13">
        <f t="shared" si="5"/>
        <v>0</v>
      </c>
      <c r="G38" s="13">
        <f t="shared" si="2"/>
        <v>0</v>
      </c>
      <c r="H38" s="13">
        <f t="shared" si="3"/>
        <v>0</v>
      </c>
      <c r="I38" s="34">
        <f t="shared" si="4"/>
        <v>0</v>
      </c>
      <c r="X38" s="33"/>
      <c r="Y38" s="33"/>
      <c r="Z38" s="33"/>
      <c r="AA38" s="33"/>
      <c r="AB38" s="33"/>
    </row>
    <row r="39">
      <c r="A39" s="31" t="s">
        <v>28</v>
      </c>
      <c r="B39" s="32">
        <v>25810.0</v>
      </c>
      <c r="C39" s="33">
        <f t="shared" si="1"/>
        <v>0</v>
      </c>
      <c r="D39" s="33">
        <f t="shared" ref="D39:D40" si="6">(55+75+110+160+200+202+210+202+150+120+75+50)/12</f>
        <v>134.0833333</v>
      </c>
      <c r="E39" s="13">
        <v>0.0</v>
      </c>
      <c r="F39" s="13">
        <f t="shared" si="5"/>
        <v>0</v>
      </c>
      <c r="G39" s="13">
        <f t="shared" si="2"/>
        <v>0</v>
      </c>
      <c r="H39" s="13">
        <f t="shared" si="3"/>
        <v>0</v>
      </c>
      <c r="I39" s="34">
        <f t="shared" si="4"/>
        <v>0</v>
      </c>
      <c r="X39" s="33"/>
      <c r="Y39" s="33"/>
      <c r="Z39" s="33"/>
      <c r="AA39" s="33"/>
      <c r="AB39" s="33"/>
    </row>
    <row r="40">
      <c r="A40" s="31" t="s">
        <v>29</v>
      </c>
      <c r="B40" s="32">
        <v>114235.0</v>
      </c>
      <c r="C40" s="33">
        <f t="shared" si="1"/>
        <v>0</v>
      </c>
      <c r="D40" s="33">
        <f t="shared" si="6"/>
        <v>134.0833333</v>
      </c>
      <c r="E40" s="13">
        <v>0.0</v>
      </c>
      <c r="F40" s="13">
        <f t="shared" si="5"/>
        <v>0</v>
      </c>
      <c r="G40" s="13">
        <f t="shared" si="2"/>
        <v>0</v>
      </c>
      <c r="H40" s="13">
        <f t="shared" si="3"/>
        <v>0</v>
      </c>
      <c r="I40" s="34">
        <f t="shared" si="4"/>
        <v>0</v>
      </c>
      <c r="X40" s="33"/>
      <c r="Y40" s="33"/>
      <c r="Z40" s="33"/>
      <c r="AA40" s="33"/>
      <c r="AB40" s="33"/>
    </row>
    <row r="41">
      <c r="A41" s="31" t="s">
        <v>30</v>
      </c>
      <c r="B41" s="32">
        <v>122607.0</v>
      </c>
      <c r="C41" s="33">
        <f t="shared" si="1"/>
        <v>0</v>
      </c>
      <c r="D41" s="33">
        <f>(50+75+110+165+192+199+201+198+145+102+75+50)/12</f>
        <v>130.1666667</v>
      </c>
      <c r="E41" s="13">
        <v>0.0</v>
      </c>
      <c r="F41" s="13">
        <f t="shared" si="5"/>
        <v>0</v>
      </c>
      <c r="G41" s="13">
        <f t="shared" si="2"/>
        <v>0</v>
      </c>
      <c r="H41" s="13">
        <f t="shared" si="3"/>
        <v>0</v>
      </c>
      <c r="I41" s="34">
        <f t="shared" si="4"/>
        <v>0</v>
      </c>
      <c r="X41" s="33"/>
      <c r="Y41" s="33"/>
      <c r="Z41" s="33"/>
      <c r="AA41" s="33"/>
      <c r="AB41" s="33"/>
    </row>
    <row r="42">
      <c r="A42" s="31" t="s">
        <v>31</v>
      </c>
      <c r="B42" s="32">
        <v>71506.0</v>
      </c>
      <c r="C42" s="33">
        <f t="shared" si="1"/>
        <v>0</v>
      </c>
      <c r="D42" s="33">
        <f>(51+65+105+150+185+180+190+175+125+100+60+45)/12 </f>
        <v>119.25</v>
      </c>
      <c r="E42" s="13">
        <v>0.0</v>
      </c>
      <c r="F42" s="13">
        <f t="shared" si="5"/>
        <v>0</v>
      </c>
      <c r="G42" s="13">
        <f t="shared" si="2"/>
        <v>0</v>
      </c>
      <c r="H42" s="13">
        <f t="shared" si="3"/>
        <v>0</v>
      </c>
      <c r="I42" s="34">
        <f t="shared" si="4"/>
        <v>0</v>
      </c>
      <c r="X42" s="33"/>
      <c r="Y42" s="33"/>
      <c r="Z42" s="33"/>
      <c r="AA42" s="33"/>
      <c r="AB42" s="33"/>
    </row>
    <row r="43">
      <c r="A43" s="31" t="s">
        <v>32</v>
      </c>
      <c r="B43" s="32">
        <v>83526.0</v>
      </c>
      <c r="C43" s="33">
        <f t="shared" si="1"/>
        <v>0</v>
      </c>
      <c r="D43" s="33">
        <f>(48+60+110+146+185+175+200+180+140+90+55+40)/12</f>
        <v>119.0833333</v>
      </c>
      <c r="E43" s="13">
        <v>0.0</v>
      </c>
      <c r="F43" s="13">
        <f t="shared" si="5"/>
        <v>0</v>
      </c>
      <c r="G43" s="13">
        <f t="shared" si="2"/>
        <v>0</v>
      </c>
      <c r="H43" s="13">
        <f t="shared" si="3"/>
        <v>0</v>
      </c>
      <c r="I43" s="34">
        <f t="shared" si="4"/>
        <v>0</v>
      </c>
      <c r="X43" s="33"/>
      <c r="Y43" s="33"/>
      <c r="Z43" s="33"/>
      <c r="AA43" s="33"/>
      <c r="AB43" s="33"/>
    </row>
    <row r="44">
      <c r="A44" s="35" t="s">
        <v>33</v>
      </c>
      <c r="B44" s="36">
        <v>23869.0</v>
      </c>
      <c r="C44" s="37">
        <f t="shared" si="1"/>
        <v>0.01227533621</v>
      </c>
      <c r="D44" s="37">
        <f>(50+72+101+151+200+160+150+145+120+90+60+45)/12</f>
        <v>112</v>
      </c>
      <c r="E44" s="38">
        <v>334.0</v>
      </c>
      <c r="F44" s="38">
        <f>293</f>
        <v>293</v>
      </c>
      <c r="G44" s="38">
        <f t="shared" si="2"/>
        <v>2332.31388</v>
      </c>
      <c r="H44" s="38">
        <f t="shared" si="3"/>
        <v>273.6639874</v>
      </c>
      <c r="I44" s="39">
        <f t="shared" si="4"/>
        <v>2058.649893</v>
      </c>
      <c r="X44" s="33"/>
      <c r="Y44" s="33"/>
      <c r="Z44" s="33"/>
      <c r="AA44" s="33"/>
      <c r="AB44" s="33"/>
    </row>
    <row r="45">
      <c r="A45" s="40" t="s">
        <v>34</v>
      </c>
      <c r="B45" s="41">
        <v>61449.0</v>
      </c>
      <c r="C45" s="30">
        <f t="shared" si="1"/>
        <v>0.005728327556</v>
      </c>
      <c r="D45" s="42">
        <v>96.7</v>
      </c>
      <c r="E45" s="42">
        <v>365.0</v>
      </c>
      <c r="F45" s="42">
        <v>352.0</v>
      </c>
      <c r="G45" s="42">
        <f t="shared" si="2"/>
        <v>1088.382236</v>
      </c>
      <c r="H45" s="42">
        <f t="shared" si="3"/>
        <v>116.1671816</v>
      </c>
      <c r="I45" s="43">
        <f t="shared" si="4"/>
        <v>972.2150541</v>
      </c>
      <c r="X45" s="33"/>
      <c r="Y45" s="33"/>
      <c r="Z45" s="33"/>
      <c r="AA45" s="33"/>
      <c r="AB45" s="33"/>
    </row>
    <row r="46">
      <c r="A46" s="44" t="s">
        <v>35</v>
      </c>
      <c r="B46" s="45">
        <v>55773.0</v>
      </c>
      <c r="C46" s="46">
        <f t="shared" si="1"/>
        <v>0.01880838399</v>
      </c>
      <c r="D46" s="47">
        <v>113.275</v>
      </c>
      <c r="E46" s="47">
        <v>1092.0</v>
      </c>
      <c r="F46" s="47">
        <f>1049</f>
        <v>1049</v>
      </c>
      <c r="G46" s="47">
        <f t="shared" si="2"/>
        <v>3573.592957</v>
      </c>
      <c r="H46" s="47">
        <f t="shared" si="3"/>
        <v>382.916465</v>
      </c>
      <c r="I46" s="48">
        <f t="shared" si="4"/>
        <v>3190.676492</v>
      </c>
      <c r="X46" s="33"/>
      <c r="Y46" s="33"/>
      <c r="Z46" s="33"/>
      <c r="AA46" s="33"/>
      <c r="AB46" s="33"/>
    </row>
    <row r="47">
      <c r="A47" s="3" t="s">
        <v>36</v>
      </c>
      <c r="C47" s="2"/>
      <c r="D47" s="2"/>
      <c r="E47" s="2"/>
      <c r="F47" s="2"/>
      <c r="G47" s="2"/>
      <c r="H47" s="2"/>
      <c r="I47" s="2"/>
    </row>
    <row r="48">
      <c r="A48" s="2"/>
      <c r="B48" s="49"/>
      <c r="C48" s="3"/>
      <c r="D48" s="2"/>
      <c r="E48" s="2"/>
      <c r="F48" s="2"/>
      <c r="G48" s="2"/>
      <c r="H48" s="2"/>
      <c r="I48" s="2"/>
    </row>
    <row r="49">
      <c r="A49" s="50" t="s">
        <v>37</v>
      </c>
      <c r="B49" s="17"/>
      <c r="C49" s="17"/>
      <c r="D49" s="17"/>
      <c r="E49" s="17"/>
      <c r="F49" s="17"/>
      <c r="G49" s="17"/>
      <c r="H49" s="51"/>
      <c r="I49" s="2"/>
    </row>
    <row r="50">
      <c r="A50" s="22"/>
      <c r="H50" s="23"/>
      <c r="I50" s="2"/>
    </row>
    <row r="51">
      <c r="A51" s="52"/>
      <c r="B51" s="11"/>
      <c r="C51" s="11"/>
      <c r="D51" s="11"/>
      <c r="E51" s="11"/>
      <c r="F51" s="11"/>
      <c r="G51" s="11"/>
      <c r="H51" s="53"/>
      <c r="I51" s="2"/>
    </row>
    <row r="52">
      <c r="A52" s="18" t="s">
        <v>15</v>
      </c>
      <c r="B52" s="19" t="s">
        <v>16</v>
      </c>
      <c r="C52" s="7" t="s">
        <v>38</v>
      </c>
      <c r="D52" s="7" t="s">
        <v>39</v>
      </c>
      <c r="E52" s="7" t="s">
        <v>40</v>
      </c>
      <c r="F52" s="7" t="s">
        <v>21</v>
      </c>
      <c r="G52" s="7" t="s">
        <v>20</v>
      </c>
      <c r="H52" s="20" t="s">
        <v>41</v>
      </c>
    </row>
    <row r="53">
      <c r="A53" s="21"/>
      <c r="B53" s="52"/>
      <c r="C53" s="11"/>
      <c r="D53" s="11"/>
      <c r="E53" s="11"/>
      <c r="F53" s="11"/>
      <c r="G53" s="11"/>
      <c r="H53" s="53"/>
    </row>
    <row r="54">
      <c r="A54" s="24" t="s">
        <v>23</v>
      </c>
      <c r="B54" s="54">
        <v>4009.0</v>
      </c>
      <c r="C54" s="26">
        <f>2209+1328+1534+2021</f>
        <v>7092</v>
      </c>
      <c r="D54" s="27">
        <v>3074.0</v>
      </c>
      <c r="E54" s="26">
        <f t="shared" ref="E54:E66" si="7">C54/B54</f>
        <v>1.769019706</v>
      </c>
      <c r="F54" s="26">
        <f t="shared" ref="F54:F66" si="8">$B$26*E54</f>
        <v>336113.7441</v>
      </c>
      <c r="G54" s="26">
        <f t="shared" ref="G54:G66" si="9">$D$18*D54/B54</f>
        <v>52370.71589</v>
      </c>
      <c r="H54" s="55">
        <f t="shared" ref="H54:H66" si="10">F54-G54</f>
        <v>283743.0282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>
      <c r="A55" s="31" t="s">
        <v>24</v>
      </c>
      <c r="B55" s="56">
        <v>423.0</v>
      </c>
      <c r="C55" s="33">
        <f t="shared" ref="C55:C63" si="11">0</f>
        <v>0</v>
      </c>
      <c r="D55" s="13">
        <v>0.0</v>
      </c>
      <c r="E55" s="33">
        <f t="shared" si="7"/>
        <v>0</v>
      </c>
      <c r="F55" s="33">
        <f t="shared" si="8"/>
        <v>0</v>
      </c>
      <c r="G55" s="33">
        <f t="shared" si="9"/>
        <v>0</v>
      </c>
      <c r="H55" s="57">
        <f t="shared" si="10"/>
        <v>0</v>
      </c>
    </row>
    <row r="56">
      <c r="A56" s="31" t="s">
        <v>25</v>
      </c>
      <c r="B56" s="56">
        <v>870.0</v>
      </c>
      <c r="C56" s="33">
        <f t="shared" si="11"/>
        <v>0</v>
      </c>
      <c r="D56" s="13">
        <v>0.0</v>
      </c>
      <c r="E56" s="33">
        <f t="shared" si="7"/>
        <v>0</v>
      </c>
      <c r="F56" s="33">
        <f t="shared" si="8"/>
        <v>0</v>
      </c>
      <c r="G56" s="33">
        <f t="shared" si="9"/>
        <v>0</v>
      </c>
      <c r="H56" s="57">
        <f t="shared" si="10"/>
        <v>0</v>
      </c>
    </row>
    <row r="57">
      <c r="A57" s="31" t="s">
        <v>26</v>
      </c>
      <c r="B57" s="56">
        <v>275.0</v>
      </c>
      <c r="C57" s="33">
        <f t="shared" si="11"/>
        <v>0</v>
      </c>
      <c r="D57" s="13">
        <v>0.0</v>
      </c>
      <c r="E57" s="33">
        <f t="shared" si="7"/>
        <v>0</v>
      </c>
      <c r="F57" s="33">
        <f t="shared" si="8"/>
        <v>0</v>
      </c>
      <c r="G57" s="33">
        <f t="shared" si="9"/>
        <v>0</v>
      </c>
      <c r="H57" s="57">
        <f t="shared" si="10"/>
        <v>0</v>
      </c>
    </row>
    <row r="58">
      <c r="A58" s="31" t="s">
        <v>27</v>
      </c>
      <c r="B58" s="56">
        <v>513.0</v>
      </c>
      <c r="C58" s="33">
        <f t="shared" si="11"/>
        <v>0</v>
      </c>
      <c r="D58" s="13">
        <v>0.0</v>
      </c>
      <c r="E58" s="33">
        <f t="shared" si="7"/>
        <v>0</v>
      </c>
      <c r="F58" s="33">
        <f t="shared" si="8"/>
        <v>0</v>
      </c>
      <c r="G58" s="33">
        <f t="shared" si="9"/>
        <v>0</v>
      </c>
      <c r="H58" s="57">
        <f t="shared" si="10"/>
        <v>0</v>
      </c>
    </row>
    <row r="59">
      <c r="A59" s="31" t="s">
        <v>28</v>
      </c>
      <c r="B59" s="56">
        <v>31.0</v>
      </c>
      <c r="C59" s="33">
        <f t="shared" si="11"/>
        <v>0</v>
      </c>
      <c r="D59" s="13">
        <v>0.0</v>
      </c>
      <c r="E59" s="33">
        <f t="shared" si="7"/>
        <v>0</v>
      </c>
      <c r="F59" s="33">
        <f t="shared" si="8"/>
        <v>0</v>
      </c>
      <c r="G59" s="33">
        <f t="shared" si="9"/>
        <v>0</v>
      </c>
      <c r="H59" s="57">
        <f t="shared" si="10"/>
        <v>0</v>
      </c>
    </row>
    <row r="60">
      <c r="A60" s="31" t="s">
        <v>29</v>
      </c>
      <c r="B60" s="56">
        <v>106.0</v>
      </c>
      <c r="C60" s="33">
        <f t="shared" si="11"/>
        <v>0</v>
      </c>
      <c r="D60" s="13">
        <v>0.0</v>
      </c>
      <c r="E60" s="33">
        <f t="shared" si="7"/>
        <v>0</v>
      </c>
      <c r="F60" s="33">
        <f t="shared" si="8"/>
        <v>0</v>
      </c>
      <c r="G60" s="33">
        <f t="shared" si="9"/>
        <v>0</v>
      </c>
      <c r="H60" s="57">
        <f t="shared" si="10"/>
        <v>0</v>
      </c>
    </row>
    <row r="61">
      <c r="A61" s="31" t="s">
        <v>30</v>
      </c>
      <c r="B61" s="56">
        <v>817.0</v>
      </c>
      <c r="C61" s="33">
        <f t="shared" si="11"/>
        <v>0</v>
      </c>
      <c r="D61" s="13">
        <v>0.0</v>
      </c>
      <c r="E61" s="33">
        <f t="shared" si="7"/>
        <v>0</v>
      </c>
      <c r="F61" s="33">
        <f t="shared" si="8"/>
        <v>0</v>
      </c>
      <c r="G61" s="33">
        <f t="shared" si="9"/>
        <v>0</v>
      </c>
      <c r="H61" s="57">
        <f t="shared" si="10"/>
        <v>0</v>
      </c>
    </row>
    <row r="62">
      <c r="A62" s="31" t="s">
        <v>31</v>
      </c>
      <c r="B62" s="56">
        <v>175.0</v>
      </c>
      <c r="C62" s="33">
        <f t="shared" si="11"/>
        <v>0</v>
      </c>
      <c r="D62" s="13">
        <v>0.0</v>
      </c>
      <c r="E62" s="33">
        <f t="shared" si="7"/>
        <v>0</v>
      </c>
      <c r="F62" s="33">
        <f t="shared" si="8"/>
        <v>0</v>
      </c>
      <c r="G62" s="33">
        <f t="shared" si="9"/>
        <v>0</v>
      </c>
      <c r="H62" s="57">
        <f t="shared" si="10"/>
        <v>0</v>
      </c>
    </row>
    <row r="63">
      <c r="A63" s="31" t="s">
        <v>32</v>
      </c>
      <c r="B63" s="56">
        <v>799.0</v>
      </c>
      <c r="C63" s="33">
        <f t="shared" si="11"/>
        <v>0</v>
      </c>
      <c r="D63" s="13">
        <v>0.0</v>
      </c>
      <c r="E63" s="33">
        <f t="shared" si="7"/>
        <v>0</v>
      </c>
      <c r="F63" s="33">
        <f t="shared" si="8"/>
        <v>0</v>
      </c>
      <c r="G63" s="33">
        <f t="shared" si="9"/>
        <v>0</v>
      </c>
      <c r="H63" s="57">
        <f t="shared" si="10"/>
        <v>0</v>
      </c>
    </row>
    <row r="64">
      <c r="A64" s="35" t="s">
        <v>33</v>
      </c>
      <c r="B64" s="58">
        <v>1312.0</v>
      </c>
      <c r="C64" s="38">
        <f>960+579+610+851</f>
        <v>3000</v>
      </c>
      <c r="D64" s="38">
        <v>1349.0</v>
      </c>
      <c r="E64" s="37">
        <f t="shared" si="7"/>
        <v>2.286585366</v>
      </c>
      <c r="F64" s="37">
        <f t="shared" si="8"/>
        <v>434451.2195</v>
      </c>
      <c r="G64" s="37">
        <f t="shared" si="9"/>
        <v>70226.14329</v>
      </c>
      <c r="H64" s="59">
        <f t="shared" si="10"/>
        <v>364225.0762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>
      <c r="A65" s="40" t="s">
        <v>34</v>
      </c>
      <c r="B65" s="60">
        <v>3512.0</v>
      </c>
      <c r="C65" s="30">
        <f>5835+3621+4014+5392</f>
        <v>18862</v>
      </c>
      <c r="D65" s="42">
        <v>8299.0</v>
      </c>
      <c r="E65" s="30">
        <f t="shared" si="7"/>
        <v>5.370728929</v>
      </c>
      <c r="F65" s="30">
        <f t="shared" si="8"/>
        <v>1020438.497</v>
      </c>
      <c r="G65" s="30">
        <f t="shared" si="9"/>
        <v>161395.7005</v>
      </c>
      <c r="H65" s="61">
        <f t="shared" si="10"/>
        <v>859042.7961</v>
      </c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>
      <c r="A66" s="44" t="s">
        <v>35</v>
      </c>
      <c r="B66" s="62">
        <v>708.0</v>
      </c>
      <c r="C66" s="47">
        <f>825+516+638+886</f>
        <v>2865</v>
      </c>
      <c r="D66" s="47">
        <v>1272.0</v>
      </c>
      <c r="E66" s="46">
        <f t="shared" si="7"/>
        <v>4.046610169</v>
      </c>
      <c r="F66" s="46">
        <f t="shared" si="8"/>
        <v>768855.9322</v>
      </c>
      <c r="G66" s="46">
        <f t="shared" si="9"/>
        <v>122708.4746</v>
      </c>
      <c r="H66" s="63">
        <f t="shared" si="10"/>
        <v>646147.4576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>
      <c r="A67" s="3" t="s">
        <v>42</v>
      </c>
      <c r="C67" s="2"/>
      <c r="D67" s="3"/>
      <c r="E67" s="3"/>
    </row>
    <row r="68">
      <c r="B68" s="2"/>
      <c r="C68" s="2"/>
      <c r="D68" s="2"/>
      <c r="E68" s="2"/>
    </row>
    <row r="69">
      <c r="A69" s="50" t="s">
        <v>43</v>
      </c>
      <c r="B69" s="17"/>
      <c r="C69" s="17"/>
      <c r="D69" s="17"/>
      <c r="E69" s="17"/>
      <c r="F69" s="17"/>
      <c r="G69" s="17"/>
      <c r="H69" s="51"/>
    </row>
    <row r="70">
      <c r="A70" s="22"/>
      <c r="H70" s="23"/>
    </row>
    <row r="71">
      <c r="A71" s="52"/>
      <c r="B71" s="11"/>
      <c r="C71" s="11"/>
      <c r="D71" s="11"/>
      <c r="E71" s="11"/>
      <c r="F71" s="11"/>
      <c r="G71" s="11"/>
      <c r="H71" s="53"/>
    </row>
    <row r="72">
      <c r="A72" s="18" t="s">
        <v>15</v>
      </c>
      <c r="B72" s="19" t="s">
        <v>16</v>
      </c>
      <c r="C72" s="7" t="s">
        <v>38</v>
      </c>
      <c r="D72" s="7" t="s">
        <v>39</v>
      </c>
      <c r="E72" s="7" t="s">
        <v>40</v>
      </c>
      <c r="F72" s="7" t="s">
        <v>21</v>
      </c>
      <c r="G72" s="7" t="s">
        <v>20</v>
      </c>
      <c r="H72" s="20" t="s">
        <v>44</v>
      </c>
    </row>
    <row r="73">
      <c r="A73" s="21"/>
      <c r="B73" s="22"/>
      <c r="H73" s="23"/>
    </row>
    <row r="74">
      <c r="A74" s="24" t="s">
        <v>23</v>
      </c>
      <c r="B74" s="64">
        <v>33.0</v>
      </c>
      <c r="C74" s="26">
        <f>7143+4816+6001+8632</f>
        <v>26592</v>
      </c>
      <c r="D74" s="27">
        <v>8264.0</v>
      </c>
      <c r="E74" s="26">
        <f t="shared" ref="E74:E78" si="12">C74/B74</f>
        <v>805.8181818</v>
      </c>
      <c r="F74" s="26">
        <f t="shared" ref="F74:F86" si="13">$B$26*E74</f>
        <v>153105454.5</v>
      </c>
      <c r="G74" s="26">
        <f t="shared" ref="G74:G78" si="14">$D$23*D74/B74</f>
        <v>22696783.84</v>
      </c>
      <c r="H74" s="55">
        <f t="shared" ref="H74:H86" si="15">F74-G74</f>
        <v>130408670.7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>
      <c r="A75" s="31" t="s">
        <v>24</v>
      </c>
      <c r="B75" s="65">
        <v>3.0</v>
      </c>
      <c r="C75" s="33">
        <f t="shared" ref="C75:C78" si="16">0</f>
        <v>0</v>
      </c>
      <c r="D75" s="13">
        <v>0.0</v>
      </c>
      <c r="E75" s="33">
        <f t="shared" si="12"/>
        <v>0</v>
      </c>
      <c r="F75" s="33">
        <f t="shared" si="13"/>
        <v>0</v>
      </c>
      <c r="G75" s="33">
        <f t="shared" si="14"/>
        <v>0</v>
      </c>
      <c r="H75" s="57">
        <f t="shared" si="15"/>
        <v>0</v>
      </c>
    </row>
    <row r="76">
      <c r="A76" s="31" t="s">
        <v>25</v>
      </c>
      <c r="B76" s="65">
        <v>10.0</v>
      </c>
      <c r="C76" s="33">
        <f t="shared" si="16"/>
        <v>0</v>
      </c>
      <c r="D76" s="13">
        <v>0.0</v>
      </c>
      <c r="E76" s="33">
        <f t="shared" si="12"/>
        <v>0</v>
      </c>
      <c r="F76" s="33">
        <f t="shared" si="13"/>
        <v>0</v>
      </c>
      <c r="G76" s="33">
        <f t="shared" si="14"/>
        <v>0</v>
      </c>
      <c r="H76" s="57">
        <f t="shared" si="15"/>
        <v>0</v>
      </c>
    </row>
    <row r="77">
      <c r="A77" s="31" t="s">
        <v>26</v>
      </c>
      <c r="B77" s="65">
        <v>3.0</v>
      </c>
      <c r="C77" s="33">
        <f t="shared" si="16"/>
        <v>0</v>
      </c>
      <c r="D77" s="13">
        <v>0.0</v>
      </c>
      <c r="E77" s="33">
        <f t="shared" si="12"/>
        <v>0</v>
      </c>
      <c r="F77" s="33">
        <f t="shared" si="13"/>
        <v>0</v>
      </c>
      <c r="G77" s="33">
        <f t="shared" si="14"/>
        <v>0</v>
      </c>
      <c r="H77" s="57">
        <f t="shared" si="15"/>
        <v>0</v>
      </c>
    </row>
    <row r="78">
      <c r="A78" s="31" t="s">
        <v>27</v>
      </c>
      <c r="B78" s="65">
        <v>9.0</v>
      </c>
      <c r="C78" s="33">
        <f t="shared" si="16"/>
        <v>0</v>
      </c>
      <c r="D78" s="13">
        <v>0.0</v>
      </c>
      <c r="E78" s="33">
        <f t="shared" si="12"/>
        <v>0</v>
      </c>
      <c r="F78" s="33">
        <f t="shared" si="13"/>
        <v>0</v>
      </c>
      <c r="G78" s="33">
        <f t="shared" si="14"/>
        <v>0</v>
      </c>
      <c r="H78" s="57">
        <f t="shared" si="15"/>
        <v>0</v>
      </c>
    </row>
    <row r="79">
      <c r="A79" s="31" t="s">
        <v>28</v>
      </c>
      <c r="B79" s="65">
        <v>0.0</v>
      </c>
      <c r="C79" s="13">
        <v>0.0</v>
      </c>
      <c r="D79" s="13">
        <v>0.0</v>
      </c>
      <c r="E79" s="13">
        <v>0.0</v>
      </c>
      <c r="F79" s="33">
        <f t="shared" si="13"/>
        <v>0</v>
      </c>
      <c r="G79" s="13">
        <v>0.0</v>
      </c>
      <c r="H79" s="57">
        <f t="shared" si="15"/>
        <v>0</v>
      </c>
    </row>
    <row r="80">
      <c r="A80" s="31" t="s">
        <v>29</v>
      </c>
      <c r="B80" s="65">
        <v>5.0</v>
      </c>
      <c r="C80" s="13">
        <v>0.0</v>
      </c>
      <c r="D80" s="13">
        <v>0.0</v>
      </c>
      <c r="E80" s="33">
        <f>C80/B80</f>
        <v>0</v>
      </c>
      <c r="F80" s="33">
        <f t="shared" si="13"/>
        <v>0</v>
      </c>
      <c r="G80" s="33">
        <f>$D$23*D80/B80</f>
        <v>0</v>
      </c>
      <c r="H80" s="57">
        <f t="shared" si="15"/>
        <v>0</v>
      </c>
    </row>
    <row r="81">
      <c r="A81" s="31" t="s">
        <v>30</v>
      </c>
      <c r="B81" s="65">
        <v>0.0</v>
      </c>
      <c r="C81" s="13">
        <v>0.0</v>
      </c>
      <c r="D81" s="13">
        <v>0.0</v>
      </c>
      <c r="E81" s="13">
        <v>0.0</v>
      </c>
      <c r="F81" s="33">
        <f t="shared" si="13"/>
        <v>0</v>
      </c>
      <c r="G81" s="13">
        <v>0.0</v>
      </c>
      <c r="H81" s="57">
        <f t="shared" si="15"/>
        <v>0</v>
      </c>
    </row>
    <row r="82">
      <c r="A82" s="31" t="s">
        <v>31</v>
      </c>
      <c r="B82" s="65">
        <v>0.0</v>
      </c>
      <c r="C82" s="13">
        <v>0.0</v>
      </c>
      <c r="D82" s="13">
        <v>0.0</v>
      </c>
      <c r="E82" s="13">
        <v>0.0</v>
      </c>
      <c r="F82" s="33">
        <f t="shared" si="13"/>
        <v>0</v>
      </c>
      <c r="G82" s="13">
        <v>0.0</v>
      </c>
      <c r="H82" s="57">
        <f t="shared" si="15"/>
        <v>0</v>
      </c>
    </row>
    <row r="83">
      <c r="A83" s="31" t="s">
        <v>32</v>
      </c>
      <c r="B83" s="65">
        <v>3.0</v>
      </c>
      <c r="C83" s="33">
        <f>0</f>
        <v>0</v>
      </c>
      <c r="D83" s="13">
        <v>0.0</v>
      </c>
      <c r="E83" s="33">
        <f>C83/B83</f>
        <v>0</v>
      </c>
      <c r="F83" s="33">
        <f t="shared" si="13"/>
        <v>0</v>
      </c>
      <c r="G83" s="33">
        <f>$D$23*D83/B83</f>
        <v>0</v>
      </c>
      <c r="H83" s="57">
        <f t="shared" si="15"/>
        <v>0</v>
      </c>
    </row>
    <row r="84">
      <c r="A84" s="35" t="s">
        <v>33</v>
      </c>
      <c r="B84" s="66">
        <v>0.0</v>
      </c>
      <c r="C84" s="38">
        <v>0.0</v>
      </c>
      <c r="D84" s="38">
        <v>0.0</v>
      </c>
      <c r="E84" s="38">
        <v>0.0</v>
      </c>
      <c r="F84" s="37">
        <f t="shared" si="13"/>
        <v>0</v>
      </c>
      <c r="G84" s="38">
        <v>0.0</v>
      </c>
      <c r="H84" s="59">
        <f t="shared" si="15"/>
        <v>0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>
      <c r="A85" s="40" t="s">
        <v>34</v>
      </c>
      <c r="B85" s="67">
        <v>7.0</v>
      </c>
      <c r="C85" s="30">
        <f>776+683+713+989</f>
        <v>3161</v>
      </c>
      <c r="D85" s="42">
        <v>898.0</v>
      </c>
      <c r="E85" s="30">
        <f t="shared" ref="E85:E86" si="17">C85/B85</f>
        <v>451.5714286</v>
      </c>
      <c r="F85" s="30">
        <f t="shared" si="13"/>
        <v>85798571.43</v>
      </c>
      <c r="G85" s="30">
        <f t="shared" ref="G85:G86" si="18">$D$23*D85/B85</f>
        <v>11626961.9</v>
      </c>
      <c r="H85" s="61">
        <f t="shared" si="15"/>
        <v>74171609.52</v>
      </c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>
      <c r="A86" s="44" t="s">
        <v>35</v>
      </c>
      <c r="B86" s="68">
        <v>3.0</v>
      </c>
      <c r="C86" s="47">
        <f>681+437+475+630</f>
        <v>2223</v>
      </c>
      <c r="D86" s="47">
        <v>724.0</v>
      </c>
      <c r="E86" s="46">
        <f t="shared" si="17"/>
        <v>741</v>
      </c>
      <c r="F86" s="46">
        <f t="shared" si="13"/>
        <v>140790000</v>
      </c>
      <c r="G86" s="46">
        <f t="shared" si="18"/>
        <v>21872844.44</v>
      </c>
      <c r="H86" s="63">
        <f t="shared" si="15"/>
        <v>118917155.6</v>
      </c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>
      <c r="A87" s="3" t="s">
        <v>45</v>
      </c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</sheetData>
  <mergeCells count="40">
    <mergeCell ref="A1:E3"/>
    <mergeCell ref="F1:H8"/>
    <mergeCell ref="A4:E5"/>
    <mergeCell ref="A6:E8"/>
    <mergeCell ref="A9:AD9"/>
    <mergeCell ref="A10:C10"/>
    <mergeCell ref="A11:A15"/>
    <mergeCell ref="G32:G33"/>
    <mergeCell ref="H32:H33"/>
    <mergeCell ref="A16:A20"/>
    <mergeCell ref="A21:A25"/>
    <mergeCell ref="A29:I31"/>
    <mergeCell ref="A32:A33"/>
    <mergeCell ref="B32:B33"/>
    <mergeCell ref="C32:C33"/>
    <mergeCell ref="D32:D33"/>
    <mergeCell ref="I32:I33"/>
    <mergeCell ref="F52:F53"/>
    <mergeCell ref="G52:G53"/>
    <mergeCell ref="E32:E33"/>
    <mergeCell ref="F32:F33"/>
    <mergeCell ref="A47:B47"/>
    <mergeCell ref="A49:H51"/>
    <mergeCell ref="A52:A53"/>
    <mergeCell ref="B52:B53"/>
    <mergeCell ref="C52:C53"/>
    <mergeCell ref="H52:H53"/>
    <mergeCell ref="D72:D73"/>
    <mergeCell ref="E72:E73"/>
    <mergeCell ref="A87:B87"/>
    <mergeCell ref="F72:F73"/>
    <mergeCell ref="G72:G73"/>
    <mergeCell ref="D52:D53"/>
    <mergeCell ref="E52:E53"/>
    <mergeCell ref="A67:B67"/>
    <mergeCell ref="A69:H71"/>
    <mergeCell ref="A72:A73"/>
    <mergeCell ref="B72:B73"/>
    <mergeCell ref="C72:C73"/>
    <mergeCell ref="H72:H73"/>
  </mergeCells>
  <drawing r:id="rId1"/>
</worksheet>
</file>