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theme/theme1.xml" ContentType="application/vnd.openxmlformats-officedocument.theme+xml"/>
  <Override PartName="/xl/charts/chart23.xml" ContentType="application/vnd.openxmlformats-officedocument.drawingml.chart+xml"/>
  <Override PartName="/xl/worksheets/sheet2.xml" ContentType="application/vnd.openxmlformats-officedocument.spreadsheetml.worksheet+xml"/>
  <Override PartName="/xl/charts/chart22.xml" ContentType="application/vnd.openxmlformats-officedocument.drawingml.chart+xml"/>
  <Override PartName="/xl/comments1.xml" ContentType="application/vnd.openxmlformats-officedocument.spreadsheetml.comments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3.xml" ContentType="application/vnd.openxmlformats-officedocument.drawingml.chart+xml"/>
  <Override PartName="/xl/charts/chart11.xml" ContentType="application/vnd.openxmlformats-officedocument.drawingml.chart+xml"/>
  <Override PartName="/xl/worksheets/sheet3.xml" ContentType="application/vnd.openxmlformats-officedocument.spreadsheetml.worksheet+xml"/>
  <Override PartName="/xl/charts/chart15.xml" ContentType="application/vnd.openxmlformats-officedocument.drawingml.chart+xml"/>
  <Override PartName="/xl/charts/chart17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16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8.xml" ContentType="application/vnd.openxmlformats-officedocument.drawingml.chart+xml"/>
  <Override PartName="/xl/worksheets/sheet5.xml" ContentType="application/vnd.openxmlformats-officedocument.spreadsheetml.workshee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14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impleServo" sheetId="1" state="visible" r:id="rId2"/>
    <sheet name="StdServo" sheetId="2" state="visible" r:id="rId3"/>
    <sheet name="SuperServo" sheetId="3" state="visible" r:id="rId4"/>
    <sheet name="Props" sheetId="4" state="visible" r:id="rId5"/>
    <sheet name="Loading" sheetId="5" state="visible" r:id="rId6"/>
    <sheet name="Buzz" sheetId="6" state="visible" r:id="rId7"/>
    <sheet name="ServoTest" sheetId="7" state="visible" r:id="rId8"/>
  </sheets>
  <definedNames>
    <definedName name="solver_adj" localSheetId="1" hidden="1">StdServo!$H$7</definedName>
    <definedName name="solver_cvg" localSheetId="1" hidden="1">0.001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StdServo!#REF!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StdServo!$H$15</definedName>
    <definedName name="solver_pre" localSheetId="1" hidden="1">0.000001</definedName>
    <definedName name="solver_rel1" localSheetId="1" hidden="1">1</definedName>
    <definedName name="solver_rhs1" localSheetId="1" hidden="1">StdServo!#REF!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tc={0033004B-00CF-4B8B-B072-0077004E002A}</author>
    <author>tc={00CC0037-004B-4349-91F4-00A8008200D7}</author>
    <author>tc={00E3004B-00BB-427C-AE9C-00B300050071}</author>
    <author>tc={00BD00EF-0027-414C-B9DB-0047001B00B5}</author>
    <author>tc={00210061-00FB-4016-A467-00A8002E0056}</author>
    <author>tc={00DD0031-0086-4BE9-8ABD-002D004C007B}</author>
    <author>tc={004100C6-007B-430B-B398-00C100A6003D}</author>
    <author>tc={00A200D8-0073-4972-9E7F-006300130029}</author>
    <author>tc={00D900F4-0068-4D4B-A237-00A6008A00C4}</author>
    <author>tc={00C200FB-003B-4B76-9B4A-003100AC0002}</author>
    <author>tc={00BD00A2-0030-4408-AA87-003F003800CE}</author>
    <author>tc={003000F3-006D-4EC8-8380-002000940085}</author>
    <author>tc={000200CB-007E-4FB2-8B0C-00B7004B007B}</author>
    <author>tc={0022005B-00D4-4B78-85C7-00FA00890074}</author>
    <author>tc={00FE00A7-0041-4BFB-968D-007500A1002C}</author>
    <author>tc={000D000A-007E-44D6-8D03-00C8008800D0}</author>
    <author>tc={004500B0-00A6-47D4-840D-002400570083}</author>
    <author>tc={00A5001A-00B8-4975-905A-00D100CD00DA}</author>
    <author>tc={00AD009D-0018-456D-BED4-00AB00CB0060}</author>
    <author>tc={00E100E3-000E-4325-A330-00A100D60012}</author>
    <author>tc={004A0069-0046-4A38-B664-0035009800E4}</author>
    <author>tc={00F40000-004F-46F7-852B-00FE005F003B}</author>
    <author>tc={0071004C-001C-4EE6-AE83-0029009C0071}</author>
    <author>tc={00550048-0086-453C-B230-00F400660054}</author>
    <author>tc={00B800BF-00C8-4F67-8F36-003100F500A6}</author>
    <author>tc={00B700D4-0001-4985-B264-00C90027009F}</author>
    <author>tc={00F3007C-00B5-4AEC-B4C4-003600FE0067}</author>
    <author>tc={001000FF-004C-4AA3-AA2A-00080020009D}</author>
    <author>tc={0038007A-0092-43E7-BFAE-0062005500D2}</author>
    <author>tc={00950060-0036-4AA8-AA2A-007A000D000E}</author>
    <author>tc={00DB00F4-004B-4009-A4BC-001C00D8004A}</author>
    <author>tc={00BB00D0-00CA-46E3-BF48-002700EC00F5}</author>
  </authors>
  <commentList>
    <comment ref="C1" authorId="0" xr:uid="{0033004B-00CF-4B8B-B072-0077004E002A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Cells with red triangle markers contain detailed comments.
</t>
        </r>
      </text>
    </comment>
    <comment ref="B11" authorId="1" xr:uid="{00CC0037-004B-4349-91F4-00A8008200D7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Maximum negative control rotation (degrees)
</t>
        </r>
      </text>
    </comment>
    <comment ref="C11" authorId="2" xr:uid="{00E3004B-00BB-427C-AE9C-00B300050071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This cell value can be adjusted manually.
</t>
        </r>
      </text>
    </comment>
    <comment ref="B13" authorId="3" xr:uid="{00BD00EF-0027-414C-B9DB-0047001B00B5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Control offset from neutral (degrees)
</t>
        </r>
      </text>
    </comment>
    <comment ref="B14" authorId="4" xr:uid="{00210061-00FB-4016-A467-00A8002E0056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Relative angle of attack of surface (degrees)
</t>
        </r>
      </text>
    </comment>
    <comment ref="B15" authorId="5" xr:uid="{00DD0031-0086-4BE9-8ABD-002D004C007B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Reverse servo rotation
</t>
        </r>
      </text>
    </comment>
    <comment ref="B16" authorId="6" xr:uid="{004100C6-007B-430B-B398-00C100A6003D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Maximum airspeed (miles / hour)
</t>
        </r>
      </text>
    </comment>
    <comment ref="C16" authorId="7" xr:uid="{00A200D8-0073-4972-9E7F-006300130029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This cell value can be adjusted manually.
</t>
        </r>
      </text>
    </comment>
    <comment ref="B17" authorId="8" xr:uid="{00D900F4-0068-4D4B-A237-00A6008A00C4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Average control surface chord (cm)
</t>
        </r>
      </text>
    </comment>
    <comment ref="C17" authorId="9" xr:uid="{00C200FB-003B-4B76-9B4A-003100AC0002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This cell value can be adjusted manually.
</t>
        </r>
      </text>
    </comment>
    <comment ref="B18" authorId="10" xr:uid="{00BD00A2-0030-4408-AA87-003F003800CE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Average control surface length (cm)
</t>
        </r>
      </text>
    </comment>
    <comment ref="C18" authorId="11" xr:uid="{003000F3-006D-4EC8-8380-002000940085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This cell value can be adjusted manually.
</t>
        </r>
      </text>
    </comment>
    <comment ref="B20" authorId="12" xr:uid="{000200CB-007E-4FB2-8B0C-00B7004B007B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Current transmitter stick position (%)
</t>
        </r>
      </text>
    </comment>
    <comment ref="B3" authorId="13" xr:uid="{0022005B-00D4-4B78-85C7-00FA00890074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Servo distance forward of hingeline (cm)
</t>
        </r>
      </text>
    </comment>
    <comment ref="C3" authorId="14" xr:uid="{00FE00A7-0041-4BFB-968D-007500A1002C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This cell value can be adjusted manually.
</t>
        </r>
      </text>
    </comment>
    <comment ref="B21" authorId="15" xr:uid="{000D000A-007E-44D6-8D03-00C8008800D0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Current control surface deflection angle (degrees)
</t>
        </r>
      </text>
    </comment>
    <comment ref="B25" authorId="16" xr:uid="{004500B0-00A6-47D4-840D-002400570083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Maximum required servo torque (ounce inches)
</t>
        </r>
      </text>
    </comment>
    <comment ref="B26" authorId="17" xr:uid="{00A5001A-00B8-4975-905A-00D100CD00DA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Maximum torque on control horn (ounce inches)
</t>
        </r>
      </text>
    </comment>
    <comment ref="B27" authorId="18" xr:uid="{00AD009D-0018-456D-BED4-00AB00CB0060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Maximum force exerted on/by pushrod (pounds force)
</t>
        </r>
      </text>
    </comment>
    <comment ref="B29" authorId="19" xr:uid="{00E100E3-000E-4325-A330-00A100D60012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Servo arm/pushrod angle at 0% stick (degrees)
</t>
        </r>
      </text>
    </comment>
    <comment ref="B30" authorId="20" xr:uid="{004A0069-0046-4A38-B664-0035009800E4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Servo arm/chordline angle at 0% stick (degrees)
</t>
        </r>
      </text>
    </comment>
    <comment ref="B4" authorId="21" xr:uid="{00F40000-004F-46F7-852B-00FE005F003B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Servo distance above/below chordline (cm)
</t>
        </r>
      </text>
    </comment>
    <comment ref="B31" authorId="22" xr:uid="{0071004C-001C-4EE6-AE83-0029009C0071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Servo arm length (cm)
</t>
        </r>
      </text>
    </comment>
    <comment ref="B32" authorId="23" xr:uid="{00550048-0086-453C-B230-00F400660054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Pushrod length (cm)
</t>
        </r>
      </text>
    </comment>
    <comment ref="B5" authorId="24" xr:uid="{00B800BF-00C8-4F67-8F36-003100F500A6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Control horn distance aft of hingeline (cm)
</t>
        </r>
      </text>
    </comment>
    <comment ref="B6" authorId="25" xr:uid="{00B700D4-0001-4985-B264-00C90027009F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Control horn height above/below chordline (cm)
</t>
        </r>
      </text>
    </comment>
    <comment ref="B8" authorId="26" xr:uid="{00F3007C-00B5-4AEC-B4C4-003600FE0067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Maximum postitive servo rotation (degrees)
</t>
        </r>
      </text>
    </comment>
    <comment ref="C8" authorId="27" xr:uid="{001000FF-004C-4AA3-AA2A-00080020009D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This cell value can be adjusted manually.
</t>
        </r>
      </text>
    </comment>
    <comment ref="B9" authorId="28" xr:uid="{0038007A-0092-43E7-BFAE-0062005500D2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Maximum negative servo rotation (degrees)
</t>
        </r>
      </text>
    </comment>
    <comment ref="C9" authorId="29" xr:uid="{00950060-0036-4AA8-AA2A-007A000D000E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This cell value can be adjusted manually.
</t>
        </r>
      </text>
    </comment>
    <comment ref="B10" authorId="30" xr:uid="{00DB00F4-004B-4009-A4BC-001C00D8004A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Maximum positive control rotation (degrees)
</t>
        </r>
      </text>
    </comment>
    <comment ref="C10" authorId="31" xr:uid="{00BB00D0-00CA-46E3-BF48-002700EC00F5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This cell value can be adjusted manually.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tc={00710062-000E-4842-BCF1-000E00A20070}</author>
    <author>tc={0037006A-0056-47E6-82A7-005800F90091}</author>
  </authors>
  <commentList>
    <comment ref="C21" authorId="0" xr:uid="{00710062-000E-4842-BCF1-000E00A20070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Minimize this value for faster servo response and less chance of sustained surface oscillation (one form of flutter).
</t>
        </r>
      </text>
    </comment>
    <comment ref="C22" authorId="1" xr:uid="{0037006A-0056-47E6-82A7-005800F90091}">
      <text>
        <r>
          <rPr>
            <b/>
            <sz val="9"/>
            <rFont val="Tahoma"/>
          </rPr>
          <t xml:space="preserve">A satisfied Microsoft Office user:</t>
        </r>
        <r>
          <rPr>
            <sz val="9"/>
            <rFont val="Tahoma"/>
          </rPr>
          <t xml:space="preserve">
Minimize this value to avoid flutter and reduce the influence of engine vibration and G's on control surface position.
</t>
        </r>
      </text>
    </comment>
  </commentList>
</comments>
</file>

<file path=xl/sharedStrings.xml><?xml version="1.0" encoding="utf-8"?>
<sst xmlns="http://schemas.openxmlformats.org/spreadsheetml/2006/main" count="348" uniqueCount="348">
  <si>
    <t xml:space="preserve">Maximum airspeed (mi/hr)</t>
  </si>
  <si>
    <t xml:space="preserve">Servo Torque Required for Various Intermediate Surface Deflections</t>
  </si>
  <si>
    <t xml:space="preserve">This spreadsheet predicts required servo torques using the following assumptions:</t>
  </si>
  <si>
    <t xml:space="preserve">Airspeed (mi/hr):</t>
  </si>
  <si>
    <t xml:space="preserve">1 The angle of attack of the wing, stab, or fuse is zero (relative to the airflow).*</t>
  </si>
  <si>
    <t>Aileron(s)</t>
  </si>
  <si>
    <t>Elevator(s)</t>
  </si>
  <si>
    <t>Rudder</t>
  </si>
  <si>
    <t>Surface</t>
  </si>
  <si>
    <t>Servo</t>
  </si>
  <si>
    <t xml:space="preserve">2 Angular velocity and acceleration of the aircraft is zero.</t>
  </si>
  <si>
    <t xml:space="preserve">Average control surface chord (cm)</t>
  </si>
  <si>
    <t>Angle</t>
  </si>
  <si>
    <t xml:space="preserve">Required Servo Torque (oz-in)</t>
  </si>
  <si>
    <t xml:space="preserve">3 Air flow may be modelled using the concept of dynamic pressure.</t>
  </si>
  <si>
    <t xml:space="preserve">Average control surface length (cm)</t>
  </si>
  <si>
    <t xml:space="preserve">4 Conditions are:  sea level, zero humidity, moderate (~55 F) temperature.</t>
  </si>
  <si>
    <r>
      <t>Optional:</t>
    </r>
    <r>
      <rPr>
        <sz val="10"/>
        <rFont val="Arial"/>
      </rPr>
      <t xml:space="preserve">  Maximum available servo torque (oz-in)</t>
    </r>
  </si>
  <si>
    <t xml:space="preserve">5 Control linkages have zero offset at hingeline and are perpendicular to horns at neutral.**</t>
  </si>
  <si>
    <t xml:space="preserve">Maximum deflection of servo arm from center (degrees)</t>
  </si>
  <si>
    <t xml:space="preserve">6 Control mechanisms are frictionless and surfaces are mass-balanced.</t>
  </si>
  <si>
    <t xml:space="preserve">Maximum deflection of control surface from center (degrees)</t>
  </si>
  <si>
    <t xml:space="preserve">7 The wing, stab, fuse, and control surfaces are thin, flat slabs.</t>
  </si>
  <si>
    <t xml:space="preserve">8 No aerodynamic counterbalances are used.  (Account for these manually, if desired.)</t>
  </si>
  <si>
    <t xml:space="preserve">Maximum required torque at maximum airspeed (oz-in)</t>
  </si>
  <si>
    <t xml:space="preserve">9 The pushrods are significantly longer than the servo and control horns.*</t>
  </si>
  <si>
    <t xml:space="preserve">* This assumption dropped in "ServoPlus" worksheet.</t>
  </si>
  <si>
    <t xml:space="preserve">** This assumption dropped in "Offset &amp; Differential" and "ServoPlus" worksheets.</t>
  </si>
  <si>
    <t xml:space="preserve">Please note:</t>
  </si>
  <si>
    <t xml:space="preserve">The calculations are completely theoretical.  No empirical "tweaking" has been done.</t>
  </si>
  <si>
    <t xml:space="preserve">The assumptions (except #6) should generally yield conservative (high) predicted torques.</t>
  </si>
  <si>
    <t xml:space="preserve">Extreme control throws are probably not practical at high speeds.</t>
  </si>
  <si>
    <t xml:space="preserve">This model is best used for comparisons.  No guarantees are made of its validity.</t>
  </si>
  <si>
    <t xml:space="preserve">Maximum required servo torque may occur at LESS than maximum throw.</t>
  </si>
  <si>
    <t xml:space="preserve">The mathematical model:    t = (AMPC2LV2) / (4RT)      where</t>
  </si>
  <si>
    <t xml:space="preserve">t = servo torque</t>
  </si>
  <si>
    <r>
      <t xml:space="preserve">A = sin(S) * tan</t>
    </r>
    <r>
      <rPr>
        <sz val="10"/>
        <rFont val="Arial"/>
      </rPr>
      <t xml:space="preserve">(S) / tan(s)</t>
    </r>
  </si>
  <si>
    <t xml:space="preserve">S = control surface angle from neutral</t>
  </si>
  <si>
    <t xml:space="preserve">s = servo arm angle from neutral</t>
  </si>
  <si>
    <t xml:space="preserve">stalled servo:  required torque exceeds available torque</t>
  </si>
  <si>
    <t xml:space="preserve">M = molecular weight of air (~28.6 g/mol)</t>
  </si>
  <si>
    <t xml:space="preserve">P = air pressure (1 atm)</t>
  </si>
  <si>
    <t xml:space="preserve">C = average chord length of control surface</t>
  </si>
  <si>
    <t xml:space="preserve">L = average length of control surface</t>
  </si>
  <si>
    <t xml:space="preserve">V = airspeed</t>
  </si>
  <si>
    <t xml:space="preserve">T = air temperature (~290 K)</t>
  </si>
  <si>
    <t xml:space="preserve">When using standard (non-digital) servos, pick one with twice the torque you expect to need to minimize surface blow-back.</t>
  </si>
  <si>
    <r>
      <t xml:space="preserve">R = ideal gas constant (82.056 atm cm</t>
    </r>
    <r>
      <rPr>
        <vertAlign val="superscript"/>
        <sz val="10"/>
        <rFont val="Arial"/>
      </rPr>
      <t>3</t>
    </r>
    <r>
      <rPr>
        <sz val="10"/>
        <rFont val="Arial"/>
      </rPr>
      <t xml:space="preserve"> / mol K)</t>
    </r>
  </si>
  <si>
    <t xml:space="preserve">The rated torque will typically be applied only when the servo is 10-15+ degrees from the desired position.</t>
  </si>
  <si>
    <t xml:space="preserve">Half the rated torque is often applied about 5 degrees off center.</t>
  </si>
  <si>
    <t xml:space="preserve">Feel free to share this spreadsheet and model with other individuals for nonprofit use.</t>
  </si>
  <si>
    <t xml:space="preserve">Just be sure to give proper credit to its creator.</t>
  </si>
  <si>
    <t xml:space="preserve">Servo Torque Required for Up/Right (+) Surface Deflections</t>
  </si>
  <si>
    <t xml:space="preserve">Servo Torque Required for Down/Left (-) Surface Deflections</t>
  </si>
  <si>
    <t xml:space="preserve">Data for Control Geometry Plots</t>
  </si>
  <si>
    <t xml:space="preserve">Data for Control Deflection Plots</t>
  </si>
  <si>
    <t>HLx</t>
  </si>
  <si>
    <t>HLy</t>
  </si>
  <si>
    <t>P</t>
  </si>
  <si>
    <t>Hc</t>
  </si>
  <si>
    <t>L</t>
  </si>
  <si>
    <t>Pos</t>
  </si>
  <si>
    <t>Neg</t>
  </si>
  <si>
    <t xml:space="preserve">TE def.</t>
  </si>
  <si>
    <t>(cm)</t>
  </si>
  <si>
    <t>(%)</t>
  </si>
  <si>
    <t>Ax</t>
  </si>
  <si>
    <t>Ex</t>
  </si>
  <si>
    <t>Rx</t>
  </si>
  <si>
    <t>Ay</t>
  </si>
  <si>
    <t>Ey</t>
  </si>
  <si>
    <t>Ry</t>
  </si>
  <si>
    <t>Ail</t>
  </si>
  <si>
    <t xml:space="preserve">Maximum up/right (+) rotation of servo arm (degrees)</t>
  </si>
  <si>
    <t>Hs</t>
  </si>
  <si>
    <t xml:space="preserve">Maximum down/left (-) rotation of servo arm (degrees)</t>
  </si>
  <si>
    <t>Neutral</t>
  </si>
  <si>
    <t xml:space="preserve">Maximum up/right (+) rotation of control surface (degrees)</t>
  </si>
  <si>
    <t>SC</t>
  </si>
  <si>
    <t xml:space="preserve">Maximum down/left (-) rotation of control surface (degrees)</t>
  </si>
  <si>
    <t>SA</t>
  </si>
  <si>
    <r>
      <t>Optional:</t>
    </r>
    <r>
      <rPr>
        <sz val="10"/>
        <rFont val="Arial"/>
      </rPr>
      <t xml:space="preserve"> Control horn distance behind hingeline (D in figure, cm)</t>
    </r>
  </si>
  <si>
    <t>CA</t>
  </si>
  <si>
    <r>
      <t>Optional:</t>
    </r>
    <r>
      <rPr>
        <sz val="10"/>
        <rFont val="Arial"/>
      </rPr>
      <t xml:space="preserve"> Control linkage distance from chordline (H in figure, cm)</t>
    </r>
  </si>
  <si>
    <t>CH</t>
  </si>
  <si>
    <t xml:space="preserve">Pushrod to control horn angle (A in figure, default 90 degrees)</t>
  </si>
  <si>
    <t>HL</t>
  </si>
  <si>
    <t>TE</t>
  </si>
  <si>
    <t>Elev</t>
  </si>
  <si>
    <t xml:space="preserve">Virtual pushrod to control horn angle at neutral (degrees)</t>
  </si>
  <si>
    <r>
      <t>Hint:</t>
    </r>
    <r>
      <rPr>
        <sz val="10"/>
        <rFont val="Arial"/>
      </rPr>
      <t xml:space="preserve"> see sample optimization routine below</t>
    </r>
  </si>
  <si>
    <t xml:space="preserve">Required pushrod to servo arm angle at neutral (degrees)</t>
  </si>
  <si>
    <t xml:space="preserve">Required servo arm length (cm)</t>
  </si>
  <si>
    <t>Rud</t>
  </si>
  <si>
    <t xml:space="preserve">Sample optimization of aileron control setup for minimum servo demand:</t>
  </si>
  <si>
    <t xml:space="preserve">1  To limit total aileron servo throw to 120 degrees, enter the formula (=120-H7) in cell H8.</t>
  </si>
  <si>
    <t xml:space="preserve">2  Use the spin button in cell H7 to vary aileron servo throw.</t>
  </si>
  <si>
    <t xml:space="preserve">3  Watch cell H15 for maximum required aileron servo torque at maximum airspeed.</t>
  </si>
  <si>
    <t xml:space="preserve">4  Choose the servo throw that minimizes the maximum required torque.</t>
  </si>
  <si>
    <t xml:space="preserve">(Note: The maximum required torque is the highest point of the red OR blue line in the graph.)</t>
  </si>
  <si>
    <t xml:space="preserve">Point Here</t>
  </si>
  <si>
    <t xml:space="preserve">Input Data:</t>
  </si>
  <si>
    <r>
      <t xml:space="preserve">Control Linkage Diagram</t>
    </r>
    <r>
      <rPr>
        <sz val="10"/>
        <rFont val="Arial"/>
      </rPr>
      <t xml:space="preserve"> (Click on the diagram to recenter the image.)</t>
    </r>
  </si>
  <si>
    <r>
      <t xml:space="preserve">Deflection vs. Stick Pos. </t>
    </r>
    <r>
      <rPr>
        <sz val="10"/>
        <rFont val="Arial"/>
      </rPr>
      <t xml:space="preserve">(Click to toggle)</t>
    </r>
  </si>
  <si>
    <t xml:space="preserve">Torque, Force, and Deflection Data:</t>
  </si>
  <si>
    <t xml:space="preserve">Control Geometry Data:</t>
  </si>
  <si>
    <t>Xs</t>
  </si>
  <si>
    <t>cm</t>
  </si>
  <si>
    <t>Stick</t>
  </si>
  <si>
    <t>TEdef</t>
  </si>
  <si>
    <t>Ac</t>
  </si>
  <si>
    <t>Tc</t>
  </si>
  <si>
    <t>Fp</t>
  </si>
  <si>
    <t>Ts</t>
  </si>
  <si>
    <t>Xo</t>
  </si>
  <si>
    <t>Yo</t>
  </si>
  <si>
    <t>X+</t>
  </si>
  <si>
    <t>Y+</t>
  </si>
  <si>
    <t>X-</t>
  </si>
  <si>
    <t>Y-</t>
  </si>
  <si>
    <t>X</t>
  </si>
  <si>
    <t>Y</t>
  </si>
  <si>
    <t>Ys</t>
  </si>
  <si>
    <t xml:space="preserve">Condense Axes</t>
  </si>
  <si>
    <t>fYs</t>
  </si>
  <si>
    <t xml:space="preserve">X hl</t>
  </si>
  <si>
    <t>As</t>
  </si>
  <si>
    <t>A</t>
  </si>
  <si>
    <t>B</t>
  </si>
  <si>
    <t>C</t>
  </si>
  <si>
    <t>Ac1</t>
  </si>
  <si>
    <t>Ac2</t>
  </si>
  <si>
    <t>CSang</t>
  </si>
  <si>
    <t>Asp</t>
  </si>
  <si>
    <t>Acp</t>
  </si>
  <si>
    <t>deg</t>
  </si>
  <si>
    <t>oz-in</t>
  </si>
  <si>
    <t>lbf</t>
  </si>
  <si>
    <t>Xc</t>
  </si>
  <si>
    <t>fXc</t>
  </si>
  <si>
    <t xml:space="preserve">Y hl</t>
  </si>
  <si>
    <t>SL</t>
  </si>
  <si>
    <t>Yc</t>
  </si>
  <si>
    <t>fYc</t>
  </si>
  <si>
    <t xml:space="preserve">X sc</t>
  </si>
  <si>
    <t>CL</t>
  </si>
  <si>
    <t>fOc</t>
  </si>
  <si>
    <t xml:space="preserve">Y sc</t>
  </si>
  <si>
    <t>CB</t>
  </si>
  <si>
    <t>Rs+</t>
  </si>
  <si>
    <t>fAoA</t>
  </si>
  <si>
    <t>LE</t>
  </si>
  <si>
    <t>Rs-</t>
  </si>
  <si>
    <t>fStick</t>
  </si>
  <si>
    <t>K+</t>
  </si>
  <si>
    <t>Rc+</t>
  </si>
  <si>
    <t>Unit</t>
  </si>
  <si>
    <t>K-</t>
  </si>
  <si>
    <t>Rc-</t>
  </si>
  <si>
    <t>Max</t>
  </si>
  <si>
    <t>Stuff:</t>
  </si>
  <si>
    <t>Min</t>
  </si>
  <si>
    <t>Oc</t>
  </si>
  <si>
    <t>Stickmin</t>
  </si>
  <si>
    <t>Aro</t>
  </si>
  <si>
    <r>
      <t xml:space="preserve">Pull-Pull Analysis</t>
    </r>
    <r>
      <rPr>
        <sz val="10"/>
        <rFont val="Arial"/>
      </rPr>
      <t xml:space="preserve"> (click plot to toggle between slack and "play")</t>
    </r>
  </si>
  <si>
    <t>AoA</t>
  </si>
  <si>
    <t>Aho</t>
  </si>
  <si>
    <r>
      <t>D</t>
    </r>
    <r>
      <rPr>
        <sz val="10"/>
        <rFont val="Arial"/>
      </rPr>
      <t>Ac</t>
    </r>
  </si>
  <si>
    <t>slack</t>
  </si>
  <si>
    <t xml:space="preserve">S rev</t>
  </si>
  <si>
    <t>atan(B/A)</t>
  </si>
  <si>
    <t>mm</t>
  </si>
  <si>
    <t>Vmax</t>
  </si>
  <si>
    <t>mph</t>
  </si>
  <si>
    <t>Stickmax</t>
  </si>
  <si>
    <t>Lc</t>
  </si>
  <si>
    <t>Cavg</t>
  </si>
  <si>
    <t xml:space="preserve">Click any plot below to toggle +/- axis overlap.</t>
  </si>
  <si>
    <t>Aco</t>
  </si>
  <si>
    <t>Lavg</t>
  </si>
  <si>
    <t xml:space="preserve">Req'd Servo Torque (oz-in) vs. Deflection</t>
  </si>
  <si>
    <t xml:space="preserve">Pushrod Force (lbf) vs. Deflection</t>
  </si>
  <si>
    <t xml:space="preserve">Control Horn Torque (oz-in) vs. Deflection</t>
  </si>
  <si>
    <t>Ac+</t>
  </si>
  <si>
    <t xml:space="preserve">A flip</t>
  </si>
  <si>
    <t>Ac-</t>
  </si>
  <si>
    <t>%</t>
  </si>
  <si>
    <t>Ls</t>
  </si>
  <si>
    <t>Aso</t>
  </si>
  <si>
    <t>As+</t>
  </si>
  <si>
    <t>As-</t>
  </si>
  <si>
    <t xml:space="preserve">Output Data:</t>
  </si>
  <si>
    <t>Lp</t>
  </si>
  <si>
    <t xml:space="preserve">Ts max</t>
  </si>
  <si>
    <t xml:space="preserve">Tc max</t>
  </si>
  <si>
    <t xml:space="preserve">Fp max</t>
  </si>
  <si>
    <r>
      <t>Requires:</t>
    </r>
    <r>
      <rPr>
        <sz val="10"/>
        <rFont val="Arial"/>
      </rPr>
      <t xml:space="preserve">  Equal +/- servo throw (Rs+ = Rs-) and servo on centerline (Ys = 0)</t>
    </r>
  </si>
  <si>
    <t>Aspo</t>
  </si>
  <si>
    <r>
      <t>Assumed:</t>
    </r>
    <r>
      <rPr>
        <sz val="10"/>
        <rFont val="Arial"/>
      </rPr>
      <t xml:space="preserve">  Pull cables are equal length and connected to either side of servo wheel or arm.</t>
    </r>
  </si>
  <si>
    <t>Asco</t>
  </si>
  <si>
    <t xml:space="preserve">Positive values indicate slack.  Negative values indicate binding.</t>
  </si>
  <si>
    <t xml:space="preserve">Offset at either the servo or control horn may be required to eliminate binding.</t>
  </si>
  <si>
    <t xml:space="preserve">Asco = 90 degrees (see Output Data) corresponds to zero servo offset (i.e. straight arms).</t>
  </si>
  <si>
    <r>
      <t>Note:</t>
    </r>
    <r>
      <rPr>
        <sz val="10"/>
        <rFont val="Arial"/>
      </rPr>
      <t xml:space="preserve"> You can make copies of this worksheet in this workbook for use with different control surfaces.</t>
    </r>
  </si>
  <si>
    <t xml:space="preserve">Theoretical max level flight speed based on prop pitch and rpm (and prop tip speed thrown in, too)</t>
  </si>
  <si>
    <t xml:space="preserve">The results are coarse, to say the least, but it's better than a blind guess.</t>
  </si>
  <si>
    <t>T=</t>
  </si>
  <si>
    <t>F</t>
  </si>
  <si>
    <t xml:space="preserve">RPM (1000's) =</t>
  </si>
  <si>
    <t xml:space="preserve">Drag, airfoils, and gravity are ignored (realistic, eh?).</t>
  </si>
  <si>
    <t>K</t>
  </si>
  <si>
    <t xml:space="preserve">Kp =</t>
  </si>
  <si>
    <t>Cp/Cv=</t>
  </si>
  <si>
    <t xml:space="preserve">Diam. (in)</t>
  </si>
  <si>
    <t xml:space="preserve">Pitch (in)</t>
  </si>
  <si>
    <t>kRPM</t>
  </si>
  <si>
    <t>Kp</t>
  </si>
  <si>
    <t xml:space="preserve">Airspeed (mph)</t>
  </si>
  <si>
    <t xml:space="preserve">Tip speed (Mach)</t>
  </si>
  <si>
    <t>Horsepower</t>
  </si>
  <si>
    <t xml:space="preserve">Torque (ft lb)</t>
  </si>
  <si>
    <t xml:space="preserve">Prop Noise (dBA)</t>
  </si>
  <si>
    <t xml:space="preserve">Prop Load (Horsepower)</t>
  </si>
  <si>
    <t xml:space="preserve">High prop tip speeds make for noisy airplanes.</t>
  </si>
  <si>
    <t xml:space="preserve">Diam/Pitch (in.)</t>
  </si>
  <si>
    <t xml:space="preserve">("High" seems to be very roughly Mach 0.6+.)</t>
  </si>
  <si>
    <t xml:space="preserve">Assuming ideal gas behavior:</t>
  </si>
  <si>
    <t xml:space="preserve">speed of sound = sqrt[(R T Cp) / (M Cv)]</t>
  </si>
  <si>
    <t xml:space="preserve">Cp/Cv for air from Perry's ChE's Handbook</t>
  </si>
  <si>
    <t xml:space="preserve">M ~ 28.6 g/mol for dry air</t>
  </si>
  <si>
    <t xml:space="preserve">HP Calculation for various propellers</t>
  </si>
  <si>
    <t xml:space="preserve">Propeller Brand</t>
  </si>
  <si>
    <t xml:space="preserve">Top Flite, Zinger, Master Airscrew</t>
  </si>
  <si>
    <t>APC</t>
  </si>
  <si>
    <t xml:space="preserve">thin carbon fiber folders</t>
  </si>
  <si>
    <t>HP=Kp*P*D^4*R^3</t>
  </si>
  <si>
    <t>www.ezonemag.com/articles/1998/nov/ctower/jtb1198.htm</t>
  </si>
  <si>
    <t xml:space="preserve">For APC props and 75-105 dBA (from Ian Maclaughlin)</t>
  </si>
  <si>
    <t xml:space="preserve">Noise Level(dBA)=0.3x[Dia(inches)xRPM(1000's)]+Pitch(inches)+48</t>
  </si>
  <si>
    <t>Airplane</t>
  </si>
  <si>
    <t>Pounds</t>
  </si>
  <si>
    <t>Ounces</t>
  </si>
  <si>
    <t xml:space="preserve">Wing Area (sq in)</t>
  </si>
  <si>
    <t xml:space="preserve">Wing Loading (oz / sq ft)</t>
  </si>
  <si>
    <t xml:space="preserve">Cubic Loading (oz / cu ft)</t>
  </si>
  <si>
    <t xml:space="preserve">Aeroworks 25% Edge</t>
  </si>
  <si>
    <t xml:space="preserve">Aeroworks 40% Giles</t>
  </si>
  <si>
    <t>Roughly:</t>
  </si>
  <si>
    <t xml:space="preserve">Aeroworks Extra Profile</t>
  </si>
  <si>
    <t>Feather</t>
  </si>
  <si>
    <t xml:space="preserve">Carden 30% Cap 232</t>
  </si>
  <si>
    <t>Floater</t>
  </si>
  <si>
    <t xml:space="preserve">Carden 35% Cap 232</t>
  </si>
  <si>
    <t>Flyer</t>
  </si>
  <si>
    <t xml:space="preserve">CGM Extra 300</t>
  </si>
  <si>
    <t>Faller</t>
  </si>
  <si>
    <t xml:space="preserve">CGM Sukhoi</t>
  </si>
  <si>
    <t xml:space="preserve">CGM Ultimate</t>
  </si>
  <si>
    <t xml:space="preserve">DH Models Staudacher</t>
  </si>
  <si>
    <t xml:space="preserve">GP Cap 232</t>
  </si>
  <si>
    <t xml:space="preserve">GP Easy Sport 60</t>
  </si>
  <si>
    <t xml:space="preserve">GP Fun One</t>
  </si>
  <si>
    <t xml:space="preserve">GP Electrostreak</t>
  </si>
  <si>
    <t xml:space="preserve">GP Giant Aeromaster</t>
  </si>
  <si>
    <t xml:space="preserve">GP Super Sportster 40</t>
  </si>
  <si>
    <t xml:space="preserve">GP Ultra Sport 60</t>
  </si>
  <si>
    <t xml:space="preserve">Lanier 1/3 Laser</t>
  </si>
  <si>
    <t xml:space="preserve">Lanier Cap 232</t>
  </si>
  <si>
    <t xml:space="preserve">Midwest Cap 232</t>
  </si>
  <si>
    <t xml:space="preserve">Morris the Knife</t>
  </si>
  <si>
    <t xml:space="preserve">Ohio 62" Ultimate</t>
  </si>
  <si>
    <t xml:space="preserve">Ohio 70" Extra 300s</t>
  </si>
  <si>
    <t xml:space="preserve">Ohio 74" Giles 202</t>
  </si>
  <si>
    <t xml:space="preserve">Ohio 84" Extra 260</t>
  </si>
  <si>
    <t xml:space="preserve">Ohio 87" Extra 300</t>
  </si>
  <si>
    <t xml:space="preserve">PMA Flying Machine</t>
  </si>
  <si>
    <t xml:space="preserve">Sig Fazer</t>
  </si>
  <si>
    <t xml:space="preserve">Sig Hog Bipe</t>
  </si>
  <si>
    <t xml:space="preserve">Sig Kadet LT40</t>
  </si>
  <si>
    <t xml:space="preserve">Sig Ultimate Fun Fly</t>
  </si>
  <si>
    <t xml:space="preserve">Sig Wonder</t>
  </si>
  <si>
    <t xml:space="preserve">Top Flite P47</t>
  </si>
  <si>
    <t xml:space="preserve">Tower Uproar</t>
  </si>
  <si>
    <t xml:space="preserve">Troy One Design</t>
  </si>
  <si>
    <t xml:space="preserve">Troy Staudacher</t>
  </si>
  <si>
    <t xml:space="preserve">Sig Kadet LT25</t>
  </si>
  <si>
    <t xml:space="preserve">GP Piper Cub 40</t>
  </si>
  <si>
    <t xml:space="preserve">Sig Something Extra</t>
  </si>
  <si>
    <t>Input</t>
  </si>
  <si>
    <t xml:space="preserve">Control horn height above hingeline</t>
  </si>
  <si>
    <t xml:space="preserve">Servo arm length</t>
  </si>
  <si>
    <t xml:space="preserve">Reference servo torque</t>
  </si>
  <si>
    <t xml:space="preserve">oz in</t>
  </si>
  <si>
    <t xml:space="preserve">Displacement to achieve reference torque</t>
  </si>
  <si>
    <t>degrees</t>
  </si>
  <si>
    <t xml:space="preserve">Mass of main control surface</t>
  </si>
  <si>
    <t>g</t>
  </si>
  <si>
    <t xml:space="preserve">Distance from hingeline to main control surface CofG</t>
  </si>
  <si>
    <t xml:space="preserve">Mass of counterbalance</t>
  </si>
  <si>
    <t xml:space="preserve">Distance from hingeline to counterbalance CofG</t>
  </si>
  <si>
    <t xml:space="preserve">Mass of control hardware</t>
  </si>
  <si>
    <t>Output</t>
  </si>
  <si>
    <t xml:space="preserve">Control horn / servo arm length ratio</t>
  </si>
  <si>
    <t xml:space="preserve">Servo "stiffness" constant</t>
  </si>
  <si>
    <t xml:space="preserve">N m/radian</t>
  </si>
  <si>
    <t xml:space="preserve">Control surface "stiffness" constant K </t>
  </si>
  <si>
    <t xml:space="preserve">Linkage stress at max torque and zero displacement</t>
  </si>
  <si>
    <t xml:space="preserve">Net moment of inertia I</t>
  </si>
  <si>
    <t xml:space="preserve">g cm^2</t>
  </si>
  <si>
    <t xml:space="preserve">Net moment</t>
  </si>
  <si>
    <t xml:space="preserve">g cm</t>
  </si>
  <si>
    <t xml:space="preserve">Resonant frequency</t>
  </si>
  <si>
    <t>Hz</t>
  </si>
  <si>
    <t>RPM</t>
  </si>
  <si>
    <t>Assumptions</t>
  </si>
  <si>
    <t xml:space="preserve">Excitation movement is perpendicular to surface.</t>
  </si>
  <si>
    <t xml:space="preserve">Resonant frequency = sqroot(2*K/M) / (2*pi*L) = sqroot(2*K/I)/(2*pi)</t>
  </si>
  <si>
    <t xml:space="preserve">Servo torque versus angular displacement is linear.</t>
  </si>
  <si>
    <t xml:space="preserve">Airframe, control surface, linkages, et cetera are infinitely rigid.</t>
  </si>
  <si>
    <t xml:space="preserve">Angular "buzz" displacements are "small".</t>
  </si>
  <si>
    <t>Degrees</t>
  </si>
  <si>
    <t xml:space="preserve">M4 ts51</t>
  </si>
  <si>
    <t xml:space="preserve">M5 ts51</t>
  </si>
  <si>
    <t xml:space="preserve">H4 ts51</t>
  </si>
  <si>
    <t xml:space="preserve">H5 ts51</t>
  </si>
  <si>
    <t xml:space="preserve">M4 ts11</t>
  </si>
  <si>
    <t xml:space="preserve">M5 ts11</t>
  </si>
  <si>
    <t xml:space="preserve">H4 ts11</t>
  </si>
  <si>
    <t xml:space="preserve">H5 ts11</t>
  </si>
  <si>
    <t xml:space="preserve">M4 ts57</t>
  </si>
  <si>
    <t xml:space="preserve">M5 ts57</t>
  </si>
  <si>
    <t xml:space="preserve">H4 ts57</t>
  </si>
  <si>
    <t xml:space="preserve">H5 ts57</t>
  </si>
  <si>
    <t xml:space="preserve">M4 hs422</t>
  </si>
  <si>
    <t xml:space="preserve">M5 hs422</t>
  </si>
  <si>
    <t xml:space="preserve">H4 hs422</t>
  </si>
  <si>
    <t xml:space="preserve">H5 hs422</t>
  </si>
  <si>
    <t xml:space="preserve">M4 jr517</t>
  </si>
  <si>
    <t xml:space="preserve">M5 jr517</t>
  </si>
  <si>
    <t xml:space="preserve">H4 jr517</t>
  </si>
  <si>
    <t xml:space="preserve">H5 jr517</t>
  </si>
  <si>
    <t xml:space="preserve">Supplied servo torque versus displacement from center</t>
  </si>
  <si>
    <t xml:space="preserve">M denotes moving torque</t>
  </si>
  <si>
    <t xml:space="preserve">H denotes holding torque</t>
  </si>
  <si>
    <t xml:space="preserve">4 denotes 4 cell (4.8V) battery</t>
  </si>
  <si>
    <t xml:space="preserve">5 denotes 5 cell (6.0V) battery</t>
  </si>
  <si>
    <t xml:space="preserve">All results are experimental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</si>
</sst>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0.000000"/>
      <color theme="1"/>
      <name val="Arial"/>
    </font>
    <font>
      <sz val="10.000000"/>
      <name val="Arial"/>
    </font>
    <font>
      <sz val="10.000000"/>
      <color indexed="6"/>
      <name val="Arial"/>
    </font>
    <font>
      <u/>
      <sz val="10.000000"/>
      <name val="Arial"/>
    </font>
    <font>
      <b/>
      <sz val="10.000000"/>
      <name val="Arial"/>
    </font>
    <font>
      <sz val="10.000000"/>
      <color indexed="4"/>
      <name val="Arial"/>
    </font>
    <font>
      <sz val="10.000000"/>
      <color indexed="17"/>
      <name val="Arial"/>
    </font>
    <font>
      <i/>
      <sz val="10.000000"/>
      <name val="Arial"/>
    </font>
    <font>
      <sz val="10.000000"/>
      <color indexed="2"/>
      <name val="Arial"/>
    </font>
    <font>
      <b/>
      <i/>
      <sz val="10.000000"/>
      <name val="Arial"/>
    </font>
    <font>
      <i/>
      <u/>
      <sz val="10.000000"/>
      <name val="Arial"/>
    </font>
    <font>
      <sz val="10.000000"/>
      <name val="Symbol"/>
    </font>
    <font>
      <b/>
      <sz val="14.00000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22"/>
      </patternFill>
    </fill>
    <fill>
      <patternFill patternType="solid">
        <fgColor indexed="65"/>
        <bgColor indexed="65"/>
      </patternFill>
    </fill>
    <fill>
      <patternFill patternType="solid">
        <fgColor indexed="27"/>
        <bgColor indexed="27"/>
      </patternFill>
    </fill>
    <fill>
      <patternFill patternType="solid">
        <fgColor indexed="43"/>
        <bgColor indexed="43"/>
      </patternFill>
    </fill>
    <fill>
      <patternFill patternType="solid">
        <fgColor indexed="45"/>
        <bgColor indexed="45"/>
      </patternFill>
    </fill>
  </fills>
  <borders count="48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none"/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none"/>
      <right style="medium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none"/>
      <right style="none"/>
      <top style="thin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9" applyNumberFormat="1" applyFont="0" applyFill="0" applyBorder="0" applyProtection="0"/>
  </cellStyleXfs>
  <cellXfs count="249">
    <xf fontId="0" fillId="0" borderId="0" numFmtId="0" xfId="0"/>
    <xf fontId="1" fillId="2" borderId="0" numFmtId="1" xfId="0" applyNumberFormat="1" applyFont="1" applyFill="1" applyProtection="1">
      <protection hidden="1"/>
    </xf>
    <xf fontId="1" fillId="2" borderId="0" numFmtId="1" xfId="0" applyNumberFormat="1" applyFont="1" applyFill="1" applyAlignment="1" applyProtection="1">
      <alignment horizontal="center"/>
      <protection hidden="1"/>
    </xf>
    <xf fontId="1" fillId="2" borderId="0" numFmtId="1" xfId="0" applyNumberFormat="1" applyFont="1" applyFill="1" applyAlignment="1" applyProtection="1">
      <alignment horizontal="right"/>
      <protection hidden="1"/>
    </xf>
    <xf fontId="2" fillId="3" borderId="1" numFmtId="1" xfId="0" applyNumberFormat="1" applyFont="1" applyFill="1" applyBorder="1" applyAlignment="1" applyProtection="1">
      <alignment horizontal="center"/>
      <protection locked="0"/>
    </xf>
    <xf fontId="3" fillId="4" borderId="2" numFmtId="1" xfId="0" applyNumberFormat="1" applyFont="1" applyFill="1" applyBorder="1" applyAlignment="1" applyProtection="1">
      <alignment horizontal="left"/>
      <protection hidden="1"/>
    </xf>
    <xf fontId="0" fillId="4" borderId="3" numFmtId="0" xfId="0" applyFill="1" applyBorder="1" applyAlignment="1" applyProtection="1">
      <alignment horizontal="left"/>
      <protection hidden="1"/>
    </xf>
    <xf fontId="0" fillId="4" borderId="4" numFmtId="0" xfId="0" applyFill="1" applyBorder="1" applyAlignment="1" applyProtection="1">
      <alignment horizontal="left"/>
      <protection hidden="1"/>
    </xf>
    <xf fontId="4" fillId="2" borderId="0" numFmtId="1" xfId="0" applyNumberFormat="1" applyFont="1" applyFill="1" applyProtection="1">
      <protection hidden="1"/>
    </xf>
    <xf fontId="0" fillId="2" borderId="0" numFmtId="1" xfId="0" applyNumberFormat="1" applyFill="1" applyAlignment="1" applyProtection="1">
      <alignment horizontal="center"/>
      <protection hidden="1"/>
    </xf>
    <xf fontId="0" fillId="2" borderId="0" numFmtId="1" xfId="0" applyNumberFormat="1" applyFill="1" applyProtection="1">
      <protection hidden="1"/>
    </xf>
    <xf fontId="1" fillId="4" borderId="5" numFmtId="1" xfId="0" applyNumberFormat="1" applyFont="1" applyFill="1" applyBorder="1" applyProtection="1">
      <protection hidden="1"/>
    </xf>
    <xf fontId="1" fillId="4" borderId="0" numFmtId="1" xfId="0" applyNumberFormat="1" applyFont="1" applyFill="1" applyAlignment="1" applyProtection="1">
      <alignment horizontal="center"/>
      <protection hidden="1"/>
    </xf>
    <xf fontId="1" fillId="4" borderId="0" numFmtId="1" xfId="0" applyNumberFormat="1" applyFont="1" applyFill="1" applyAlignment="1" applyProtection="1">
      <alignment horizontal="right"/>
      <protection hidden="1"/>
    </xf>
    <xf fontId="1" fillId="4" borderId="0" numFmtId="1" xfId="0" applyNumberFormat="1" applyFont="1" applyFill="1" applyAlignment="1" applyProtection="1">
      <alignment horizontal="center" wrapText="1"/>
      <protection hidden="1"/>
    </xf>
    <xf fontId="2" fillId="4" borderId="6" numFmtId="1" xfId="0" applyNumberFormat="1" applyFont="1" applyFill="1" applyBorder="1" applyAlignment="1" applyProtection="1">
      <alignment horizontal="center" wrapText="1"/>
      <protection hidden="1"/>
    </xf>
    <xf fontId="1" fillId="2" borderId="0" numFmtId="1" xfId="0" applyNumberFormat="1" applyFont="1" applyFill="1" applyAlignment="1" applyProtection="1">
      <alignment horizontal="left"/>
      <protection hidden="1"/>
    </xf>
    <xf fontId="1" fillId="3" borderId="1" numFmtId="0" xfId="0" applyFont="1" applyFill="1" applyBorder="1" applyAlignment="1" applyProtection="1">
      <alignment horizontal="center"/>
      <protection locked="0"/>
    </xf>
    <xf fontId="1" fillId="4" borderId="0" numFmtId="1" xfId="0" applyNumberFormat="1" applyFont="1" applyFill="1" applyAlignment="1" applyProtection="1">
      <alignment horizontal="center" vertical="top" wrapText="1"/>
      <protection hidden="1"/>
    </xf>
    <xf fontId="1" fillId="4" borderId="0" numFmtId="1" xfId="0" applyNumberFormat="1" applyFont="1" applyFill="1" applyAlignment="1" applyProtection="1">
      <alignment textRotation="180"/>
      <protection hidden="1"/>
    </xf>
    <xf fontId="1" fillId="4" borderId="7" numFmtId="1" xfId="0" applyNumberFormat="1" applyFont="1" applyFill="1" applyBorder="1" applyAlignment="1" applyProtection="1">
      <alignment horizontal="left"/>
      <protection hidden="1"/>
    </xf>
    <xf fontId="0" fillId="4" borderId="7" numFmtId="0" xfId="0" applyFill="1" applyBorder="1" applyAlignment="1" applyProtection="1">
      <alignment horizontal="left"/>
      <protection hidden="1"/>
    </xf>
    <xf fontId="0" fillId="4" borderId="8" numFmtId="0" xfId="0" applyFill="1" applyBorder="1" applyAlignment="1" applyProtection="1">
      <alignment horizontal="left"/>
      <protection hidden="1"/>
    </xf>
    <xf fontId="1" fillId="4" borderId="2" numFmtId="1" xfId="0" applyNumberFormat="1" applyFont="1" applyFill="1" applyBorder="1" applyProtection="1">
      <protection hidden="1"/>
    </xf>
    <xf fontId="5" fillId="4" borderId="3" numFmtId="1" xfId="0" applyNumberFormat="1" applyFont="1" applyFill="1" applyBorder="1" applyAlignment="1" applyProtection="1">
      <alignment horizontal="center"/>
      <protection hidden="1"/>
    </xf>
    <xf fontId="6" fillId="4" borderId="3" numFmtId="1" xfId="0" applyNumberFormat="1" applyFont="1" applyFill="1" applyBorder="1" applyAlignment="1" applyProtection="1">
      <alignment horizontal="center"/>
      <protection hidden="1"/>
    </xf>
    <xf fontId="1" fillId="4" borderId="3" numFmtId="1" xfId="0" applyNumberFormat="1" applyFont="1" applyFill="1" applyBorder="1" applyProtection="1">
      <protection hidden="1"/>
    </xf>
    <xf fontId="1" fillId="4" borderId="3" numFmtId="1" xfId="0" applyNumberFormat="1" applyFont="1" applyFill="1" applyBorder="1" applyAlignment="1" applyProtection="1">
      <alignment horizontal="center"/>
      <protection hidden="1"/>
    </xf>
    <xf fontId="1" fillId="4" borderId="4" numFmtId="1" xfId="0" applyNumberFormat="1" applyFont="1" applyFill="1" applyBorder="1" applyAlignment="1" applyProtection="1">
      <alignment horizontal="center"/>
      <protection hidden="1"/>
    </xf>
    <xf fontId="7" fillId="2" borderId="0" numFmtId="1" xfId="0" applyNumberFormat="1" applyFont="1" applyFill="1" applyAlignment="1" applyProtection="1">
      <alignment horizontal="right"/>
      <protection hidden="1"/>
    </xf>
    <xf fontId="8" fillId="3" borderId="1" numFmtId="1" xfId="0" applyNumberFormat="1" applyFont="1" applyFill="1" applyBorder="1" applyAlignment="1" applyProtection="1">
      <alignment horizontal="center"/>
      <protection locked="0"/>
    </xf>
    <xf fontId="1" fillId="4" borderId="0" numFmtId="1" xfId="0" applyNumberFormat="1" applyFont="1" applyFill="1" applyProtection="1">
      <protection hidden="1"/>
    </xf>
    <xf fontId="1" fillId="4" borderId="6" numFmtId="1" xfId="0" applyNumberFormat="1" applyFont="1" applyFill="1" applyBorder="1" applyAlignment="1" applyProtection="1">
      <alignment horizontal="center"/>
      <protection hidden="1"/>
    </xf>
    <xf fontId="6" fillId="3" borderId="1" numFmtId="1" xfId="0" applyNumberFormat="1" applyFont="1" applyFill="1" applyBorder="1" applyAlignment="1" applyProtection="1">
      <alignment horizontal="center"/>
      <protection locked="0"/>
    </xf>
    <xf fontId="5" fillId="3" borderId="1" numFmtId="1" xfId="0" applyNumberFormat="1" applyFont="1" applyFill="1" applyBorder="1" applyAlignment="1" applyProtection="1">
      <alignment horizontal="center"/>
      <protection locked="0"/>
    </xf>
    <xf fontId="1" fillId="4" borderId="1" numFmtId="164" xfId="0" applyNumberFormat="1" applyFont="1" applyFill="1" applyBorder="1" applyAlignment="1" applyProtection="1">
      <alignment horizontal="center"/>
      <protection hidden="1"/>
    </xf>
    <xf fontId="1" fillId="4" borderId="9" numFmtId="1" xfId="0" applyNumberFormat="1" applyFont="1" applyFill="1" applyBorder="1" applyProtection="1">
      <protection hidden="1"/>
    </xf>
    <xf fontId="1" fillId="4" borderId="7" numFmtId="1" xfId="0" applyNumberFormat="1" applyFont="1" applyFill="1" applyBorder="1" applyAlignment="1" applyProtection="1">
      <alignment horizontal="center"/>
      <protection hidden="1"/>
    </xf>
    <xf fontId="1" fillId="4" borderId="7" numFmtId="1" xfId="0" applyNumberFormat="1" applyFont="1" applyFill="1" applyBorder="1" applyProtection="1">
      <protection hidden="1"/>
    </xf>
    <xf fontId="1" fillId="4" borderId="8" numFmtId="1" xfId="0" applyNumberFormat="1" applyFont="1" applyFill="1" applyBorder="1" applyAlignment="1" applyProtection="1">
      <alignment horizontal="center"/>
      <protection hidden="1"/>
    </xf>
    <xf fontId="4" fillId="2" borderId="0" numFmtId="1" xfId="0" applyNumberFormat="1" applyFont="1" applyFill="1" applyAlignment="1" applyProtection="1">
      <alignment horizontal="left"/>
      <protection hidden="1"/>
    </xf>
    <xf fontId="8" fillId="4" borderId="10" numFmtId="1" xfId="0" applyNumberFormat="1" applyFont="1" applyFill="1" applyBorder="1" applyAlignment="1" applyProtection="1">
      <alignment horizontal="left"/>
      <protection hidden="1"/>
    </xf>
    <xf fontId="0" fillId="4" borderId="11" numFmtId="0" xfId="0" applyFill="1" applyBorder="1" applyAlignment="1" applyProtection="1">
      <alignment horizontal="left"/>
      <protection hidden="1"/>
    </xf>
    <xf fontId="0" fillId="4" borderId="12" numFmtId="0" xfId="0" applyFill="1" applyBorder="1" applyAlignment="1" applyProtection="1">
      <alignment horizontal="left"/>
      <protection hidden="1"/>
    </xf>
    <xf fontId="0" fillId="2" borderId="0" numFmtId="1" xfId="0" applyNumberFormat="1" applyFill="1" applyAlignment="1" applyProtection="1">
      <alignment horizontal="left"/>
      <protection hidden="1"/>
    </xf>
    <xf fontId="4" fillId="2" borderId="0" numFmtId="1" xfId="0" applyNumberFormat="1" applyFont="1" applyFill="1" applyAlignment="1" applyProtection="1">
      <alignment horizontal="center" textRotation="90"/>
      <protection hidden="1"/>
    </xf>
    <xf fontId="0" fillId="2" borderId="0" numFmtId="0" xfId="0" applyFill="1" applyProtection="1">
      <protection hidden="1"/>
    </xf>
    <xf fontId="4" fillId="4" borderId="2" numFmtId="1" xfId="0" applyNumberFormat="1" applyFont="1" applyFill="1" applyBorder="1" applyAlignment="1" applyProtection="1">
      <alignment horizontal="left"/>
      <protection hidden="1"/>
    </xf>
    <xf fontId="4" fillId="4" borderId="3" numFmtId="0" xfId="0" applyFont="1" applyFill="1" applyBorder="1" applyAlignment="1" applyProtection="1">
      <alignment horizontal="left"/>
      <protection hidden="1"/>
    </xf>
    <xf fontId="4" fillId="4" borderId="4" numFmtId="0" xfId="0" applyFont="1" applyFill="1" applyBorder="1" applyAlignment="1" applyProtection="1">
      <alignment horizontal="left"/>
      <protection hidden="1"/>
    </xf>
    <xf fontId="1" fillId="4" borderId="4" numFmtId="1" xfId="0" applyNumberFormat="1" applyFont="1" applyFill="1" applyBorder="1" applyProtection="1">
      <protection hidden="1"/>
    </xf>
    <xf fontId="4" fillId="4" borderId="2" numFmtId="1" xfId="0" applyNumberFormat="1" applyFont="1" applyFill="1" applyBorder="1" applyProtection="1">
      <protection hidden="1"/>
    </xf>
    <xf fontId="4" fillId="4" borderId="5" numFmtId="1" xfId="0" applyNumberFormat="1" applyFont="1" applyFill="1" applyBorder="1" applyAlignment="1" applyProtection="1">
      <alignment horizontal="center"/>
      <protection hidden="1"/>
    </xf>
    <xf fontId="4" fillId="4" borderId="0" numFmtId="1" xfId="0" applyNumberFormat="1" applyFont="1" applyFill="1" applyAlignment="1" applyProtection="1">
      <alignment horizontal="center"/>
      <protection hidden="1"/>
    </xf>
    <xf fontId="4" fillId="4" borderId="6" numFmtId="1" xfId="0" applyNumberFormat="1" applyFont="1" applyFill="1" applyBorder="1" applyAlignment="1" applyProtection="1">
      <alignment horizontal="center"/>
      <protection hidden="1"/>
    </xf>
    <xf fontId="1" fillId="4" borderId="0" numFmtId="164" xfId="0" applyNumberFormat="1" applyFont="1" applyFill="1" applyAlignment="1" applyProtection="1">
      <alignment horizontal="center"/>
      <protection hidden="1"/>
    </xf>
    <xf fontId="7" fillId="4" borderId="2" numFmtId="1" xfId="0" applyNumberFormat="1" applyFont="1" applyFill="1" applyBorder="1" applyProtection="1">
      <protection hidden="1"/>
    </xf>
    <xf fontId="9" fillId="4" borderId="2" numFmtId="1" xfId="0" applyNumberFormat="1" applyFont="1" applyFill="1" applyBorder="1" applyAlignment="1" applyProtection="1">
      <alignment horizontal="center"/>
      <protection hidden="1"/>
    </xf>
    <xf fontId="1" fillId="4" borderId="3" numFmtId="164" xfId="0" applyNumberFormat="1" applyFont="1" applyFill="1" applyBorder="1" applyAlignment="1" applyProtection="1">
      <alignment horizontal="center"/>
      <protection hidden="1"/>
    </xf>
    <xf fontId="1" fillId="4" borderId="6" numFmtId="164" xfId="0" applyNumberFormat="1" applyFont="1" applyFill="1" applyBorder="1" applyAlignment="1" applyProtection="1">
      <alignment horizontal="center"/>
      <protection hidden="1"/>
    </xf>
    <xf fontId="1" fillId="4" borderId="4" numFmtId="164" xfId="0" applyNumberFormat="1" applyFont="1" applyFill="1" applyBorder="1" applyAlignment="1" applyProtection="1">
      <alignment horizontal="center"/>
      <protection hidden="1"/>
    </xf>
    <xf fontId="5" fillId="3" borderId="1" numFmtId="0" xfId="0" applyFont="1" applyFill="1" applyBorder="1" applyAlignment="1" applyProtection="1">
      <alignment horizontal="center"/>
      <protection locked="0"/>
    </xf>
    <xf fontId="4" fillId="4" borderId="9" numFmtId="1" xfId="0" applyNumberFormat="1" applyFont="1" applyFill="1" applyBorder="1" applyAlignment="1" applyProtection="1">
      <alignment horizontal="center"/>
      <protection hidden="1"/>
    </xf>
    <xf fontId="1" fillId="4" borderId="7" numFmtId="164" xfId="0" applyNumberFormat="1" applyFont="1" applyFill="1" applyBorder="1" applyAlignment="1" applyProtection="1">
      <alignment horizontal="center"/>
      <protection hidden="1"/>
    </xf>
    <xf fontId="1" fillId="4" borderId="8" numFmtId="164" xfId="0" applyNumberFormat="1" applyFont="1" applyFill="1" applyBorder="1" applyAlignment="1" applyProtection="1">
      <alignment horizontal="center"/>
      <protection hidden="1"/>
    </xf>
    <xf fontId="1" fillId="4" borderId="1" numFmtId="1" xfId="0" applyNumberFormat="1" applyFont="1" applyFill="1" applyBorder="1" applyAlignment="1" applyProtection="1">
      <alignment horizontal="center"/>
      <protection hidden="1"/>
    </xf>
    <xf fontId="5" fillId="4" borderId="1" numFmtId="1" xfId="0" applyNumberFormat="1" applyFont="1" applyFill="1" applyBorder="1" applyAlignment="1" applyProtection="1">
      <alignment horizontal="center"/>
      <protection hidden="1"/>
    </xf>
    <xf fontId="9" fillId="2" borderId="0" numFmtId="1" xfId="0" applyNumberFormat="1" applyFont="1" applyFill="1" applyAlignment="1" applyProtection="1">
      <alignment horizontal="right"/>
      <protection hidden="1"/>
    </xf>
    <xf fontId="6" fillId="4" borderId="1" numFmtId="1" xfId="0" applyNumberFormat="1" applyFont="1" applyFill="1" applyBorder="1" applyAlignment="1" applyProtection="1">
      <alignment horizontal="center"/>
      <protection hidden="1"/>
    </xf>
    <xf fontId="6" fillId="4" borderId="1" numFmtId="164" xfId="0" applyNumberFormat="1" applyFont="1" applyFill="1" applyBorder="1" applyAlignment="1" applyProtection="1">
      <alignment horizontal="center"/>
      <protection hidden="1"/>
    </xf>
    <xf fontId="1" fillId="2" borderId="0" numFmtId="164" xfId="0" applyNumberFormat="1" applyFont="1" applyFill="1" applyAlignment="1" applyProtection="1">
      <alignment horizontal="center"/>
      <protection hidden="1"/>
    </xf>
    <xf fontId="10" fillId="2" borderId="0" numFmtId="1" xfId="0" applyNumberFormat="1" applyFont="1" applyFill="1" applyProtection="1">
      <protection hidden="1"/>
    </xf>
    <xf fontId="1" fillId="2" borderId="0" numFmtId="0" xfId="0" applyFont="1" applyFill="1" applyAlignment="1" applyProtection="1">
      <alignment horizontal="center"/>
      <protection hidden="1"/>
    </xf>
    <xf fontId="4" fillId="2" borderId="0" numFmtId="0" xfId="0" applyFont="1" applyFill="1" applyAlignment="1" applyProtection="1">
      <alignment horizontal="center"/>
      <protection hidden="1"/>
    </xf>
    <xf fontId="1" fillId="2" borderId="0" numFmtId="0" xfId="0" applyFont="1" applyFill="1" applyAlignment="1" applyProtection="1">
      <alignment horizontal="left"/>
      <protection hidden="1"/>
    </xf>
    <xf fontId="8" fillId="2" borderId="0" numFmtId="0" xfId="0" applyFont="1" applyFill="1" applyAlignment="1" applyProtection="1">
      <alignment horizontal="center"/>
      <protection hidden="1"/>
    </xf>
    <xf fontId="4" fillId="2" borderId="0" numFmtId="0" xfId="0" applyFont="1" applyFill="1" applyAlignment="1" applyProtection="1">
      <alignment horizontal="left"/>
      <protection hidden="1"/>
    </xf>
    <xf fontId="1" fillId="2" borderId="0" numFmtId="164" xfId="0" applyNumberFormat="1" applyFont="1" applyFill="1" applyAlignment="1" applyProtection="1">
      <alignment horizontal="left"/>
      <protection hidden="1"/>
    </xf>
    <xf fontId="4" fillId="2" borderId="0" numFmtId="164" xfId="0" applyNumberFormat="1" applyFont="1" applyFill="1" applyAlignment="1" applyProtection="1">
      <alignment horizontal="left"/>
      <protection hidden="1"/>
    </xf>
    <xf fontId="1" fillId="5" borderId="2" numFmtId="0" xfId="0" applyFont="1" applyFill="1" applyBorder="1" applyAlignment="1" applyProtection="1">
      <alignment horizontal="center"/>
      <protection hidden="1"/>
    </xf>
    <xf fontId="4" fillId="5" borderId="3" numFmtId="0" xfId="0" applyFont="1" applyFill="1" applyBorder="1" applyAlignment="1" applyProtection="1">
      <alignment horizontal="center"/>
      <protection hidden="1" locked="0"/>
    </xf>
    <xf fontId="1" fillId="5" borderId="3" numFmtId="0" xfId="0" applyFont="1" applyFill="1" applyBorder="1" applyAlignment="1" applyProtection="1">
      <alignment horizontal="center"/>
      <protection hidden="1"/>
    </xf>
    <xf fontId="1" fillId="5" borderId="4" numFmtId="0" xfId="0" applyFont="1" applyFill="1" applyBorder="1" applyAlignment="1" applyProtection="1">
      <alignment horizontal="center"/>
      <protection hidden="1"/>
    </xf>
    <xf fontId="1" fillId="4" borderId="2" numFmtId="0" xfId="0" applyFont="1" applyFill="1" applyBorder="1" applyAlignment="1" applyProtection="1">
      <alignment horizontal="center"/>
      <protection hidden="1"/>
    </xf>
    <xf fontId="1" fillId="4" borderId="3" numFmtId="0" xfId="0" applyFont="1" applyFill="1" applyBorder="1" applyAlignment="1" applyProtection="1">
      <alignment horizontal="center"/>
      <protection hidden="1"/>
    </xf>
    <xf fontId="1" fillId="4" borderId="13" numFmtId="0" xfId="0" applyFont="1" applyFill="1" applyBorder="1" applyAlignment="1" applyProtection="1">
      <alignment horizontal="center"/>
      <protection hidden="1"/>
    </xf>
    <xf fontId="1" fillId="4" borderId="10" numFmtId="0" xfId="0" applyFont="1" applyFill="1" applyBorder="1" applyAlignment="1" applyProtection="1">
      <alignment horizontal="center"/>
      <protection hidden="1"/>
    </xf>
    <xf fontId="1" fillId="4" borderId="12" numFmtId="0" xfId="0" applyFont="1" applyFill="1" applyBorder="1" applyAlignment="1" applyProtection="1">
      <alignment horizontal="center"/>
      <protection hidden="1"/>
    </xf>
    <xf fontId="1" fillId="4" borderId="11" numFmtId="0" xfId="0" applyFont="1" applyFill="1" applyBorder="1" applyAlignment="1" applyProtection="1">
      <alignment horizontal="center"/>
      <protection hidden="1"/>
    </xf>
    <xf fontId="1" fillId="4" borderId="11" numFmtId="164" xfId="0" applyNumberFormat="1" applyFont="1" applyFill="1" applyBorder="1" applyAlignment="1" applyProtection="1">
      <alignment horizontal="center"/>
      <protection hidden="1"/>
    </xf>
    <xf fontId="1" fillId="4" borderId="12" numFmtId="164" xfId="0" applyNumberFormat="1" applyFont="1" applyFill="1" applyBorder="1" applyAlignment="1" applyProtection="1">
      <alignment horizontal="center"/>
      <protection hidden="1"/>
    </xf>
    <xf fontId="1" fillId="5" borderId="14" numFmtId="0" xfId="0" applyFont="1" applyFill="1" applyBorder="1" applyAlignment="1" applyProtection="1">
      <alignment horizontal="center"/>
      <protection hidden="1"/>
    </xf>
    <xf fontId="1" fillId="5" borderId="15" numFmtId="0" xfId="0" applyFont="1" applyFill="1" applyBorder="1" applyAlignment="1" applyProtection="1">
      <alignment horizontal="center"/>
      <protection hidden="1"/>
    </xf>
    <xf fontId="1" fillId="5" borderId="16" numFmtId="0" xfId="0" applyFont="1" applyFill="1" applyBorder="1" applyAlignment="1" applyProtection="1">
      <alignment horizontal="center"/>
      <protection hidden="1"/>
    </xf>
    <xf fontId="4" fillId="2" borderId="0" numFmtId="0" xfId="0" applyFont="1" applyFill="1" applyAlignment="1" applyProtection="1">
      <alignment horizontal="center"/>
      <protection hidden="1" locked="0"/>
    </xf>
    <xf fontId="4" fillId="2" borderId="0" numFmtId="164" xfId="0" applyNumberFormat="1" applyFont="1" applyFill="1" applyAlignment="1" applyProtection="1">
      <alignment horizontal="center"/>
      <protection hidden="1"/>
    </xf>
    <xf fontId="1" fillId="4" borderId="9" numFmtId="0" xfId="0" applyFont="1" applyFill="1" applyBorder="1" applyAlignment="1" applyProtection="1">
      <alignment horizontal="center"/>
      <protection hidden="1"/>
    </xf>
    <xf fontId="1" fillId="4" borderId="7" numFmtId="0" xfId="0" applyFont="1" applyFill="1" applyBorder="1" applyAlignment="1" applyProtection="1">
      <alignment horizontal="center"/>
      <protection hidden="1"/>
    </xf>
    <xf fontId="1" fillId="4" borderId="17" numFmtId="0" xfId="0" applyFont="1" applyFill="1" applyBorder="1" applyAlignment="1" applyProtection="1">
      <alignment horizontal="center"/>
      <protection hidden="1"/>
    </xf>
    <xf fontId="1" fillId="4" borderId="5" numFmtId="164" xfId="0" applyNumberFormat="1" applyFont="1" applyFill="1" applyBorder="1" applyAlignment="1" applyProtection="1">
      <alignment horizontal="right"/>
      <protection hidden="1"/>
    </xf>
    <xf fontId="1" fillId="4" borderId="6" numFmtId="164" xfId="0" applyNumberFormat="1" applyFont="1" applyFill="1" applyBorder="1" applyAlignment="1" applyProtection="1">
      <alignment horizontal="right"/>
      <protection hidden="1"/>
    </xf>
    <xf fontId="1" fillId="4" borderId="0" numFmtId="164" xfId="0" applyNumberFormat="1" applyFont="1" applyFill="1" applyAlignment="1" applyProtection="1">
      <alignment horizontal="right"/>
      <protection hidden="1"/>
    </xf>
    <xf fontId="1" fillId="2" borderId="0" numFmtId="1" xfId="0" applyNumberFormat="1" applyFont="1" applyFill="1" applyAlignment="1" applyProtection="1">
      <alignment horizontal="center"/>
      <protection hidden="1" locked="0"/>
    </xf>
    <xf fontId="1" fillId="2" borderId="0" numFmtId="9" xfId="1" applyNumberFormat="1" applyFont="1" applyFill="1" applyAlignment="1" applyProtection="1">
      <alignment horizontal="center"/>
      <protection hidden="1"/>
    </xf>
    <xf fontId="1" fillId="4" borderId="18" numFmtId="9" xfId="1" applyNumberFormat="1" applyFont="1" applyFill="1" applyBorder="1" applyAlignment="1" applyProtection="1">
      <alignment horizontal="center"/>
      <protection hidden="1"/>
    </xf>
    <xf fontId="1" fillId="4" borderId="19" numFmtId="9" xfId="1" applyNumberFormat="1" applyFont="1" applyFill="1" applyBorder="1" applyAlignment="1" applyProtection="1">
      <alignment horizontal="center"/>
      <protection hidden="1"/>
    </xf>
    <xf fontId="1" fillId="4" borderId="19" numFmtId="164" xfId="0" applyNumberFormat="1" applyFont="1" applyFill="1" applyBorder="1" applyAlignment="1" applyProtection="1">
      <alignment horizontal="center"/>
      <protection hidden="1"/>
    </xf>
    <xf fontId="1" fillId="4" borderId="19" numFmtId="1" xfId="0" applyNumberFormat="1" applyFont="1" applyFill="1" applyBorder="1" applyAlignment="1" applyProtection="1">
      <alignment horizontal="center"/>
      <protection hidden="1"/>
    </xf>
    <xf fontId="1" fillId="4" borderId="20" numFmtId="1" xfId="0" applyNumberFormat="1" applyFont="1" applyFill="1" applyBorder="1" applyAlignment="1" applyProtection="1">
      <alignment horizontal="center"/>
      <protection hidden="1"/>
    </xf>
    <xf fontId="1" fillId="5" borderId="9" numFmtId="0" xfId="0" applyFont="1" applyFill="1" applyBorder="1" applyAlignment="1" applyProtection="1">
      <alignment horizontal="center"/>
      <protection hidden="1"/>
    </xf>
    <xf fontId="1" fillId="5" borderId="7" numFmtId="0" xfId="0" applyFont="1" applyFill="1" applyBorder="1" applyAlignment="1" applyProtection="1">
      <alignment horizontal="center"/>
      <protection hidden="1"/>
    </xf>
    <xf fontId="1" fillId="5" borderId="8" numFmtId="0" xfId="0" applyFont="1" applyFill="1" applyBorder="1" applyAlignment="1" applyProtection="1">
      <alignment horizontal="center"/>
      <protection hidden="1"/>
    </xf>
    <xf fontId="1" fillId="4" borderId="5" numFmtId="9" xfId="1" applyNumberFormat="1" applyFont="1" applyFill="1" applyBorder="1" applyAlignment="1" applyProtection="1">
      <alignment horizontal="center"/>
      <protection hidden="1"/>
    </xf>
    <xf fontId="1" fillId="4" borderId="0" numFmtId="9" xfId="1" applyNumberFormat="1" applyFont="1" applyFill="1" applyAlignment="1" applyProtection="1">
      <alignment horizontal="center"/>
      <protection hidden="1"/>
    </xf>
    <xf fontId="4" fillId="5" borderId="15" numFmtId="0" xfId="0" applyFont="1" applyFill="1" applyBorder="1" applyAlignment="1" applyProtection="1">
      <alignment horizontal="center"/>
      <protection hidden="1" locked="0"/>
    </xf>
    <xf fontId="4" fillId="5" borderId="7" numFmtId="0" xfId="0" applyFont="1" applyFill="1" applyBorder="1" applyAlignment="1" applyProtection="1">
      <alignment horizontal="center"/>
      <protection hidden="1" locked="0"/>
    </xf>
    <xf fontId="1" fillId="4" borderId="2" numFmtId="0" xfId="0" applyFont="1" applyFill="1" applyBorder="1" applyAlignment="1" applyProtection="1">
      <alignment horizontal="right"/>
      <protection hidden="1"/>
    </xf>
    <xf fontId="1" fillId="4" borderId="3" numFmtId="164" xfId="0" applyNumberFormat="1" applyFont="1" applyFill="1" applyBorder="1" applyAlignment="1" applyProtection="1">
      <alignment horizontal="right"/>
      <protection hidden="1"/>
    </xf>
    <xf fontId="1" fillId="4" borderId="4" numFmtId="164" xfId="0" applyNumberFormat="1" applyFont="1" applyFill="1" applyBorder="1" applyAlignment="1" applyProtection="1">
      <alignment horizontal="right"/>
      <protection hidden="1"/>
    </xf>
    <xf fontId="1" fillId="4" borderId="9" numFmtId="0" xfId="0" applyFont="1" applyFill="1" applyBorder="1" applyAlignment="1" applyProtection="1">
      <alignment horizontal="right"/>
      <protection hidden="1"/>
    </xf>
    <xf fontId="1" fillId="4" borderId="7" numFmtId="164" xfId="0" applyNumberFormat="1" applyFont="1" applyFill="1" applyBorder="1" applyAlignment="1" applyProtection="1">
      <alignment horizontal="right"/>
      <protection hidden="1"/>
    </xf>
    <xf fontId="1" fillId="4" borderId="8" numFmtId="164" xfId="0" applyNumberFormat="1" applyFont="1" applyFill="1" applyBorder="1" applyAlignment="1" applyProtection="1">
      <alignment horizontal="right"/>
      <protection hidden="1"/>
    </xf>
    <xf fontId="1" fillId="5" borderId="21" numFmtId="0" xfId="0" applyFont="1" applyFill="1" applyBorder="1" applyAlignment="1" applyProtection="1">
      <alignment horizontal="center"/>
      <protection hidden="1"/>
    </xf>
    <xf fontId="1" fillId="5" borderId="22" numFmtId="0" xfId="0" applyFont="1" applyFill="1" applyBorder="1" applyAlignment="1" applyProtection="1">
      <alignment horizontal="center"/>
      <protection hidden="1"/>
    </xf>
    <xf fontId="1" fillId="5" borderId="23" numFmtId="0" xfId="0" applyFont="1" applyFill="1" applyBorder="1" applyAlignment="1" applyProtection="1">
      <alignment horizontal="center"/>
      <protection hidden="1"/>
    </xf>
    <xf fontId="1" fillId="2" borderId="0" numFmtId="2" xfId="0" applyNumberFormat="1" applyFont="1" applyFill="1" applyAlignment="1" applyProtection="1">
      <alignment horizontal="center"/>
      <protection hidden="1"/>
    </xf>
    <xf fontId="11" fillId="4" borderId="3" numFmtId="0" xfId="0" applyFont="1" applyFill="1" applyBorder="1" applyAlignment="1" applyProtection="1">
      <alignment horizontal="center"/>
      <protection hidden="1"/>
    </xf>
    <xf fontId="1" fillId="4" borderId="4" numFmtId="0" xfId="0" applyFont="1" applyFill="1" applyBorder="1" applyAlignment="1" applyProtection="1">
      <alignment horizontal="center"/>
      <protection hidden="1"/>
    </xf>
    <xf fontId="1" fillId="4" borderId="5" numFmtId="0" xfId="0" applyFont="1" applyFill="1" applyBorder="1" applyAlignment="1" applyProtection="1">
      <alignment horizontal="center"/>
      <protection hidden="1"/>
    </xf>
    <xf fontId="1" fillId="4" borderId="0" numFmtId="0" xfId="0" applyFont="1" applyFill="1" applyAlignment="1" applyProtection="1">
      <alignment horizontal="center"/>
      <protection hidden="1"/>
    </xf>
    <xf fontId="1" fillId="4" borderId="6" numFmtId="0" xfId="0" applyFont="1" applyFill="1" applyBorder="1" applyAlignment="1" applyProtection="1">
      <alignment horizontal="center"/>
      <protection hidden="1"/>
    </xf>
    <xf fontId="4" fillId="5" borderId="22" numFmtId="0" xfId="0" applyFont="1" applyFill="1" applyBorder="1" applyAlignment="1" applyProtection="1">
      <alignment horizontal="center"/>
      <protection hidden="1" locked="0"/>
    </xf>
    <xf fontId="1" fillId="4" borderId="2" numFmtId="9" xfId="1" applyNumberFormat="1" applyFont="1" applyFill="1" applyBorder="1" applyAlignment="1" applyProtection="1">
      <alignment horizontal="center"/>
      <protection hidden="1"/>
    </xf>
    <xf fontId="1" fillId="4" borderId="3" numFmtId="2" xfId="0" applyNumberFormat="1" applyFont="1" applyFill="1" applyBorder="1" applyAlignment="1" applyProtection="1">
      <alignment horizontal="center"/>
      <protection hidden="1"/>
    </xf>
    <xf fontId="1" fillId="4" borderId="4" numFmtId="2" xfId="0" applyNumberFormat="1" applyFont="1" applyFill="1" applyBorder="1" applyAlignment="1" applyProtection="1">
      <alignment horizontal="center"/>
      <protection hidden="1"/>
    </xf>
    <xf fontId="1" fillId="4" borderId="0" numFmtId="2" xfId="0" applyNumberFormat="1" applyFont="1" applyFill="1" applyAlignment="1" applyProtection="1">
      <alignment horizontal="center"/>
      <protection hidden="1"/>
    </xf>
    <xf fontId="1" fillId="4" borderId="6" numFmtId="2" xfId="0" applyNumberFormat="1" applyFont="1" applyFill="1" applyBorder="1" applyAlignment="1" applyProtection="1">
      <alignment horizontal="center"/>
      <protection hidden="1"/>
    </xf>
    <xf fontId="1" fillId="5" borderId="24" numFmtId="0" xfId="0" applyFont="1" applyFill="1" applyBorder="1" applyAlignment="1" applyProtection="1">
      <alignment horizontal="center"/>
      <protection hidden="1"/>
    </xf>
    <xf fontId="4" fillId="5" borderId="25" numFmtId="0" xfId="0" applyFont="1" applyFill="1" applyBorder="1" applyAlignment="1" applyProtection="1">
      <alignment horizontal="center"/>
      <protection hidden="1" locked="0"/>
    </xf>
    <xf fontId="1" fillId="5" borderId="25" numFmtId="0" xfId="0" applyFont="1" applyFill="1" applyBorder="1" applyAlignment="1" applyProtection="1">
      <alignment horizontal="center"/>
      <protection hidden="1"/>
    </xf>
    <xf fontId="1" fillId="5" borderId="26" numFmtId="0" xfId="0" applyFont="1" applyFill="1" applyBorder="1" applyAlignment="1" applyProtection="1">
      <alignment horizontal="center"/>
      <protection hidden="1"/>
    </xf>
    <xf fontId="1" fillId="6" borderId="2" numFmtId="0" xfId="0" applyFont="1" applyFill="1" applyBorder="1" applyAlignment="1" applyProtection="1">
      <alignment horizontal="center"/>
      <protection hidden="1"/>
    </xf>
    <xf fontId="1" fillId="6" borderId="3" numFmtId="1" xfId="0" applyNumberFormat="1" applyFont="1" applyFill="1" applyBorder="1" applyAlignment="1" applyProtection="1">
      <alignment horizontal="center"/>
      <protection hidden="1"/>
    </xf>
    <xf fontId="1" fillId="6" borderId="3" numFmtId="9" xfId="0" applyNumberFormat="1" applyFont="1" applyFill="1" applyBorder="1" applyAlignment="1" applyProtection="1">
      <alignment horizontal="center"/>
      <protection hidden="1"/>
    </xf>
    <xf fontId="1" fillId="6" borderId="4" numFmtId="0" xfId="0" applyFont="1" applyFill="1" applyBorder="1" applyAlignment="1" applyProtection="1">
      <alignment horizontal="center"/>
      <protection hidden="1"/>
    </xf>
    <xf fontId="1" fillId="6" borderId="5" numFmtId="0" xfId="0" applyFont="1" applyFill="1" applyBorder="1" applyAlignment="1" applyProtection="1">
      <alignment horizontal="center"/>
      <protection hidden="1"/>
    </xf>
    <xf fontId="1" fillId="6" borderId="0" numFmtId="164" xfId="0" applyNumberFormat="1" applyFont="1" applyFill="1" applyAlignment="1" applyProtection="1">
      <alignment horizontal="center"/>
      <protection hidden="1"/>
    </xf>
    <xf fontId="1" fillId="6" borderId="0" numFmtId="0" xfId="0" applyFont="1" applyFill="1" applyAlignment="1" applyProtection="1">
      <alignment horizontal="center"/>
      <protection hidden="1"/>
    </xf>
    <xf fontId="1" fillId="6" borderId="6" numFmtId="0" xfId="0" applyFont="1" applyFill="1" applyBorder="1" applyAlignment="1" applyProtection="1">
      <alignment horizontal="center"/>
      <protection hidden="1"/>
    </xf>
    <xf fontId="1" fillId="6" borderId="9" numFmtId="0" xfId="0" applyFont="1" applyFill="1" applyBorder="1" applyAlignment="1" applyProtection="1">
      <alignment horizontal="center"/>
      <protection hidden="1"/>
    </xf>
    <xf fontId="1" fillId="6" borderId="7" numFmtId="0" xfId="0" applyFont="1" applyFill="1" applyBorder="1" applyAlignment="1" applyProtection="1">
      <alignment horizontal="center"/>
      <protection hidden="1"/>
    </xf>
    <xf fontId="1" fillId="6" borderId="8" numFmtId="0" xfId="0" applyFont="1" applyFill="1" applyBorder="1" applyAlignment="1" applyProtection="1">
      <alignment horizontal="center"/>
      <protection hidden="1"/>
    </xf>
    <xf fontId="1" fillId="4" borderId="21" numFmtId="0" xfId="0" applyFont="1" applyFill="1" applyBorder="1" applyAlignment="1" applyProtection="1">
      <alignment horizontal="center"/>
      <protection hidden="1"/>
    </xf>
    <xf fontId="1" fillId="4" borderId="22" numFmtId="1" xfId="0" applyNumberFormat="1" applyFont="1" applyFill="1" applyBorder="1" applyAlignment="1" applyProtection="1">
      <alignment horizontal="center"/>
      <protection hidden="1"/>
    </xf>
    <xf fontId="1" fillId="4" borderId="22" numFmtId="0" xfId="0" applyFont="1" applyFill="1" applyBorder="1" applyAlignment="1" applyProtection="1">
      <alignment horizontal="center"/>
      <protection hidden="1"/>
    </xf>
    <xf fontId="1" fillId="4" borderId="23" numFmtId="0" xfId="0" applyFont="1" applyFill="1" applyBorder="1" applyAlignment="1" applyProtection="1">
      <alignment horizontal="center"/>
      <protection hidden="1"/>
    </xf>
    <xf fontId="1" fillId="4" borderId="14" numFmtId="0" xfId="0" applyFont="1" applyFill="1" applyBorder="1" applyAlignment="1" applyProtection="1">
      <alignment horizontal="center"/>
      <protection hidden="1"/>
    </xf>
    <xf fontId="1" fillId="4" borderId="15" numFmtId="1" xfId="0" applyNumberFormat="1" applyFont="1" applyFill="1" applyBorder="1" applyAlignment="1" applyProtection="1">
      <alignment horizontal="center"/>
      <protection hidden="1"/>
    </xf>
    <xf fontId="1" fillId="4" borderId="15" numFmtId="0" xfId="0" applyFont="1" applyFill="1" applyBorder="1" applyAlignment="1" applyProtection="1">
      <alignment horizontal="center"/>
      <protection hidden="1"/>
    </xf>
    <xf fontId="1" fillId="4" borderId="16" numFmtId="0" xfId="0" applyFont="1" applyFill="1" applyBorder="1" applyAlignment="1" applyProtection="1">
      <alignment horizontal="center"/>
      <protection hidden="1"/>
    </xf>
    <xf fontId="1" fillId="4" borderId="9" numFmtId="9" xfId="1" applyNumberFormat="1" applyFont="1" applyFill="1" applyBorder="1" applyAlignment="1" applyProtection="1">
      <alignment horizontal="center"/>
      <protection hidden="1"/>
    </xf>
    <xf fontId="1" fillId="4" borderId="7" numFmtId="9" xfId="1" applyNumberFormat="1" applyFont="1" applyFill="1" applyBorder="1" applyAlignment="1" applyProtection="1">
      <alignment horizontal="center"/>
      <protection hidden="1"/>
    </xf>
    <xf fontId="1" fillId="4" borderId="7" numFmtId="2" xfId="0" applyNumberFormat="1" applyFont="1" applyFill="1" applyBorder="1" applyAlignment="1" applyProtection="1">
      <alignment horizontal="center"/>
      <protection hidden="1"/>
    </xf>
    <xf fontId="1" fillId="4" borderId="8" numFmtId="2" xfId="0" applyNumberFormat="1" applyFont="1" applyFill="1" applyBorder="1" applyAlignment="1" applyProtection="1">
      <alignment horizontal="center"/>
      <protection hidden="1"/>
    </xf>
    <xf fontId="1" fillId="4" borderId="24" numFmtId="0" xfId="0" applyFont="1" applyFill="1" applyBorder="1" applyAlignment="1" applyProtection="1">
      <alignment horizontal="center"/>
      <protection hidden="1"/>
    </xf>
    <xf fontId="1" fillId="4" borderId="25" numFmtId="164" xfId="0" applyNumberFormat="1" applyFont="1" applyFill="1" applyBorder="1" applyAlignment="1" applyProtection="1">
      <alignment horizontal="center"/>
      <protection hidden="1"/>
    </xf>
    <xf fontId="1" fillId="4" borderId="25" numFmtId="0" xfId="0" applyFont="1" applyFill="1" applyBorder="1" applyAlignment="1" applyProtection="1">
      <alignment horizontal="center"/>
      <protection hidden="1"/>
    </xf>
    <xf fontId="1" fillId="4" borderId="26" numFmtId="0" xfId="0" applyFont="1" applyFill="1" applyBorder="1" applyAlignment="1" applyProtection="1">
      <alignment horizontal="center"/>
      <protection hidden="1"/>
    </xf>
    <xf fontId="1" fillId="4" borderId="22" numFmtId="164" xfId="0" applyNumberFormat="1" applyFont="1" applyFill="1" applyBorder="1" applyAlignment="1" applyProtection="1">
      <alignment horizontal="center"/>
      <protection hidden="1"/>
    </xf>
    <xf fontId="1" fillId="4" borderId="15" numFmtId="164" xfId="0" applyNumberFormat="1" applyFont="1" applyFill="1" applyBorder="1" applyAlignment="1" applyProtection="1">
      <alignment horizontal="center"/>
      <protection hidden="1"/>
    </xf>
    <xf fontId="0" fillId="2" borderId="0" numFmtId="0" xfId="0" applyFill="1"/>
    <xf fontId="4" fillId="2" borderId="0" numFmtId="0" xfId="0" applyFont="1" applyFill="1"/>
    <xf fontId="0" fillId="2" borderId="0" numFmtId="0" xfId="0" applyFill="1" applyAlignment="1">
      <alignment horizontal="right"/>
    </xf>
    <xf fontId="0" fillId="3" borderId="0" numFmtId="0" xfId="0" applyFill="1" applyAlignment="1" applyProtection="1">
      <alignment horizontal="center"/>
      <protection locked="0"/>
    </xf>
    <xf fontId="4" fillId="2" borderId="0" numFmtId="0" xfId="0" applyFont="1" applyFill="1" applyAlignment="1">
      <alignment horizontal="right"/>
    </xf>
    <xf fontId="1" fillId="3" borderId="0" numFmtId="0" xfId="0" applyFont="1" applyFill="1" applyAlignment="1" applyProtection="1">
      <alignment horizontal="center"/>
      <protection locked="0"/>
    </xf>
    <xf fontId="1" fillId="2" borderId="0" numFmtId="0" xfId="0" applyFont="1" applyFill="1" applyAlignment="1">
      <alignment horizontal="center"/>
    </xf>
    <xf fontId="0" fillId="2" borderId="0" numFmtId="1" xfId="0" applyNumberFormat="1" applyFill="1" applyAlignment="1">
      <alignment horizontal="center"/>
    </xf>
    <xf fontId="0" fillId="2" borderId="0" numFmtId="2" xfId="0" applyNumberFormat="1" applyFill="1" applyAlignment="1">
      <alignment horizontal="center"/>
    </xf>
    <xf fontId="4" fillId="2" borderId="0" numFmtId="0" xfId="0" applyFont="1" applyFill="1" applyAlignment="1">
      <alignment horizontal="center"/>
    </xf>
    <xf fontId="4" fillId="0" borderId="21" numFmtId="0" xfId="0" applyFont="1" applyBorder="1" applyAlignment="1">
      <alignment horizontal="centerContinuous"/>
    </xf>
    <xf fontId="4" fillId="0" borderId="22" numFmtId="0" xfId="0" applyFont="1" applyBorder="1" applyAlignment="1">
      <alignment horizontal="centerContinuous"/>
    </xf>
    <xf fontId="4" fillId="0" borderId="23" numFmtId="0" xfId="0" applyFont="1" applyBorder="1" applyAlignment="1">
      <alignment horizontal="centerContinuous"/>
    </xf>
    <xf fontId="0" fillId="3" borderId="1" numFmtId="0" xfId="0" applyFill="1" applyBorder="1" applyAlignment="1" applyProtection="1">
      <alignment horizontal="center"/>
      <protection locked="0"/>
    </xf>
    <xf fontId="0" fillId="4" borderId="1" numFmtId="1" xfId="0" applyNumberFormat="1" applyFill="1" applyBorder="1" applyAlignment="1">
      <alignment horizontal="center"/>
    </xf>
    <xf fontId="0" fillId="4" borderId="1" numFmtId="2" xfId="0" applyNumberFormat="1" applyFill="1" applyBorder="1" applyAlignment="1">
      <alignment horizontal="center"/>
    </xf>
    <xf fontId="4" fillId="0" borderId="27" numFmtId="0" xfId="0" applyFont="1" applyBorder="1" applyAlignment="1">
      <alignment horizontal="center"/>
    </xf>
    <xf fontId="4" fillId="0" borderId="1" numFmtId="0" xfId="0" applyFont="1" applyBorder="1" applyAlignment="1">
      <alignment horizontal="center"/>
    </xf>
    <xf fontId="4" fillId="0" borderId="28" numFmtId="0" xfId="0" applyFont="1" applyBorder="1" applyAlignment="1">
      <alignment horizontal="center"/>
    </xf>
    <xf fontId="1" fillId="0" borderId="1" numFmtId="2" xfId="0" applyNumberFormat="1" applyFont="1" applyBorder="1" applyAlignment="1">
      <alignment horizontal="center"/>
    </xf>
    <xf fontId="1" fillId="0" borderId="28" numFmtId="2" xfId="0" applyNumberFormat="1" applyFont="1" applyBorder="1" applyAlignment="1">
      <alignment horizontal="center"/>
    </xf>
    <xf fontId="4" fillId="2" borderId="29" numFmtId="0" xfId="0" applyFont="1" applyFill="1" applyBorder="1" applyAlignment="1">
      <alignment horizontal="centerContinuous"/>
    </xf>
    <xf fontId="4" fillId="2" borderId="30" numFmtId="0" xfId="0" applyFont="1" applyFill="1" applyBorder="1" applyAlignment="1">
      <alignment horizontal="centerContinuous"/>
    </xf>
    <xf fontId="4" fillId="2" borderId="31" numFmtId="0" xfId="0" applyFont="1" applyFill="1" applyBorder="1" applyAlignment="1">
      <alignment horizontal="center"/>
    </xf>
    <xf fontId="4" fillId="2" borderId="32" numFmtId="0" xfId="0" applyFont="1" applyFill="1" applyBorder="1" applyAlignment="1">
      <alignment horizontal="center"/>
    </xf>
    <xf fontId="0" fillId="2" borderId="27" numFmtId="0" xfId="0" applyFill="1" applyBorder="1" applyAlignment="1">
      <alignment horizontal="center"/>
    </xf>
    <xf fontId="0" fillId="2" borderId="28" numFmtId="0" xfId="0" applyFill="1" applyBorder="1" applyAlignment="1">
      <alignment horizontal="center"/>
    </xf>
    <xf fontId="0" fillId="2" borderId="33" numFmtId="0" xfId="0" applyFill="1" applyBorder="1" applyAlignment="1">
      <alignment horizontal="center"/>
    </xf>
    <xf fontId="0" fillId="2" borderId="34" numFmtId="0" xfId="0" applyFill="1" applyBorder="1" applyAlignment="1">
      <alignment horizontal="center"/>
    </xf>
    <xf fontId="4" fillId="0" borderId="33" numFmtId="0" xfId="0" applyFont="1" applyBorder="1" applyAlignment="1">
      <alignment horizontal="center"/>
    </xf>
    <xf fontId="1" fillId="0" borderId="35" numFmtId="2" xfId="0" applyNumberFormat="1" applyFont="1" applyBorder="1" applyAlignment="1">
      <alignment horizontal="center"/>
    </xf>
    <xf fontId="1" fillId="0" borderId="34" numFmtId="2" xfId="0" applyNumberFormat="1" applyFont="1" applyBorder="1" applyAlignment="1">
      <alignment horizontal="center"/>
    </xf>
    <xf fontId="0" fillId="2" borderId="0" numFmtId="0" xfId="0" applyFill="1" applyAlignment="1">
      <alignment horizontal="left"/>
    </xf>
    <xf fontId="0" fillId="2" borderId="0" numFmtId="0" xfId="0" applyFill="1" applyAlignment="1">
      <alignment horizontal="center"/>
    </xf>
    <xf fontId="0" fillId="3" borderId="27" numFmtId="0" xfId="0" applyFill="1" applyBorder="1" applyAlignment="1" applyProtection="1">
      <alignment horizontal="left"/>
      <protection locked="0"/>
    </xf>
    <xf fontId="0" fillId="3" borderId="28" numFmtId="0" xfId="0" applyFill="1" applyBorder="1" applyAlignment="1" applyProtection="1">
      <alignment horizontal="center"/>
      <protection locked="0"/>
    </xf>
    <xf fontId="0" fillId="0" borderId="36" numFmtId="0" xfId="0" applyBorder="1" applyAlignment="1">
      <alignment horizontal="center"/>
    </xf>
    <xf fontId="0" fillId="0" borderId="28" numFmtId="0" xfId="0" applyBorder="1" applyAlignment="1">
      <alignment horizontal="center"/>
    </xf>
    <xf fontId="1" fillId="2" borderId="0" numFmtId="0" xfId="0" applyFont="1" applyFill="1" applyAlignment="1" applyProtection="1">
      <alignment horizontal="center" wrapText="1"/>
    </xf>
    <xf fontId="4" fillId="0" borderId="37" numFmtId="0" xfId="0" applyFont="1" applyBorder="1" applyAlignment="1" applyProtection="1">
      <alignment horizontal="left" wrapText="1"/>
    </xf>
    <xf fontId="4" fillId="0" borderId="38" numFmtId="0" xfId="0" applyFont="1" applyBorder="1" applyAlignment="1" applyProtection="1">
      <alignment horizontal="center" wrapText="1"/>
    </xf>
    <xf fontId="4" fillId="0" borderId="39" numFmtId="0" xfId="0" applyFont="1" applyBorder="1" applyAlignment="1" applyProtection="1">
      <alignment horizontal="center" wrapText="1"/>
    </xf>
    <xf fontId="4" fillId="0" borderId="40" numFmtId="0" xfId="0" applyFont="1" applyBorder="1" applyAlignment="1" applyProtection="1">
      <alignment horizontal="center" wrapText="1"/>
    </xf>
    <xf fontId="0" fillId="3" borderId="41" numFmtId="0" xfId="0" applyFill="1" applyBorder="1" applyAlignment="1" applyProtection="1">
      <alignment horizontal="left"/>
      <protection locked="0"/>
    </xf>
    <xf fontId="0" fillId="3" borderId="42" numFmtId="0" xfId="0" applyFill="1" applyBorder="1" applyAlignment="1" applyProtection="1">
      <alignment horizontal="center"/>
      <protection locked="0"/>
    </xf>
    <xf fontId="0" fillId="3" borderId="43" numFmtId="0" xfId="0" applyFill="1" applyBorder="1" applyAlignment="1" applyProtection="1">
      <alignment horizontal="center"/>
      <protection locked="0"/>
    </xf>
    <xf fontId="0" fillId="0" borderId="44" numFmtId="164" xfId="0" applyNumberFormat="1" applyBorder="1" applyAlignment="1">
      <alignment horizontal="center"/>
    </xf>
    <xf fontId="0" fillId="0" borderId="43" numFmtId="164" xfId="0" applyNumberFormat="1" applyBorder="1" applyAlignment="1">
      <alignment horizontal="center"/>
    </xf>
    <xf fontId="0" fillId="0" borderId="36" numFmtId="164" xfId="0" applyNumberFormat="1" applyBorder="1" applyAlignment="1">
      <alignment horizontal="center"/>
    </xf>
    <xf fontId="0" fillId="0" borderId="28" numFmtId="164" xfId="0" applyNumberFormat="1" applyBorder="1" applyAlignment="1">
      <alignment horizontal="center"/>
    </xf>
    <xf fontId="4" fillId="2" borderId="13" numFmtId="0" xfId="0" applyFont="1" applyFill="1" applyBorder="1" applyAlignment="1">
      <alignment horizontal="center"/>
    </xf>
    <xf fontId="0" fillId="4" borderId="45" numFmtId="0" xfId="0" applyFill="1" applyBorder="1" applyAlignment="1">
      <alignment horizontal="center"/>
    </xf>
    <xf fontId="0" fillId="5" borderId="46" numFmtId="0" xfId="0" applyFill="1" applyBorder="1" applyAlignment="1">
      <alignment horizontal="center"/>
    </xf>
    <xf fontId="0" fillId="6" borderId="46" numFmtId="0" xfId="0" applyFill="1" applyBorder="1" applyAlignment="1">
      <alignment horizontal="center"/>
    </xf>
    <xf fontId="0" fillId="7" borderId="47" numFmtId="0" xfId="0" applyFill="1" applyBorder="1" applyAlignment="1">
      <alignment horizontal="center"/>
    </xf>
    <xf fontId="4" fillId="3" borderId="27" numFmtId="0" xfId="0" applyFont="1" applyFill="1" applyBorder="1" applyAlignment="1" applyProtection="1">
      <alignment horizontal="left"/>
      <protection locked="0"/>
    </xf>
    <xf fontId="1" fillId="2" borderId="0" numFmtId="0" xfId="0" applyFont="1" applyFill="1"/>
    <xf fontId="12" fillId="2" borderId="0" numFmtId="0" xfId="0" applyFont="1" applyFill="1" applyAlignment="1">
      <alignment horizontal="center"/>
    </xf>
    <xf fontId="0" fillId="5" borderId="21" numFmtId="0" xfId="0" applyFill="1" applyBorder="1" applyAlignment="1">
      <alignment horizontal="right"/>
    </xf>
    <xf fontId="4" fillId="3" borderId="22" numFmtId="0" xfId="0" applyFont="1" applyFill="1" applyBorder="1" applyAlignment="1" applyProtection="1">
      <alignment horizontal="center"/>
      <protection locked="0"/>
    </xf>
    <xf fontId="1" fillId="5" borderId="23" numFmtId="0" xfId="0" applyFont="1" applyFill="1" applyBorder="1"/>
    <xf fontId="0" fillId="5" borderId="24" numFmtId="0" xfId="0" applyFill="1" applyBorder="1" applyAlignment="1">
      <alignment horizontal="right"/>
    </xf>
    <xf fontId="4" fillId="3" borderId="25" numFmtId="0" xfId="0" applyFont="1" applyFill="1" applyBorder="1" applyAlignment="1" applyProtection="1">
      <alignment horizontal="center"/>
      <protection locked="0"/>
    </xf>
    <xf fontId="1" fillId="5" borderId="26" numFmtId="0" xfId="0" applyFont="1" applyFill="1" applyBorder="1"/>
    <xf fontId="0" fillId="4" borderId="21" numFmtId="0" xfId="0" applyFill="1" applyBorder="1" applyAlignment="1">
      <alignment horizontal="right"/>
    </xf>
    <xf fontId="4" fillId="4" borderId="22" numFmtId="164" xfId="0" applyNumberFormat="1" applyFont="1" applyFill="1" applyBorder="1" applyAlignment="1">
      <alignment horizontal="center"/>
    </xf>
    <xf fontId="1" fillId="4" borderId="23" numFmtId="0" xfId="0" applyFont="1" applyFill="1" applyBorder="1"/>
    <xf fontId="0" fillId="4" borderId="14" numFmtId="0" xfId="0" applyFill="1" applyBorder="1" applyAlignment="1">
      <alignment horizontal="right"/>
    </xf>
    <xf fontId="4" fillId="4" borderId="15" numFmtId="164" xfId="0" applyNumberFormat="1" applyFont="1" applyFill="1" applyBorder="1" applyAlignment="1">
      <alignment horizontal="center"/>
    </xf>
    <xf fontId="1" fillId="4" borderId="16" numFmtId="0" xfId="0" applyFont="1" applyFill="1" applyBorder="1"/>
    <xf fontId="0" fillId="4" borderId="24" numFmtId="0" xfId="0" applyFill="1" applyBorder="1" applyAlignment="1">
      <alignment horizontal="right"/>
    </xf>
    <xf fontId="4" fillId="4" borderId="25" numFmtId="164" xfId="0" applyNumberFormat="1" applyFont="1" applyFill="1" applyBorder="1" applyAlignment="1">
      <alignment horizontal="center"/>
    </xf>
    <xf fontId="1" fillId="4" borderId="26" numFmtId="0" xfId="0" applyFont="1" applyFill="1" applyBorder="1"/>
    <xf fontId="4" fillId="4" borderId="22" numFmtId="1" xfId="0" applyNumberFormat="1" applyFont="1" applyFill="1" applyBorder="1" applyAlignment="1">
      <alignment horizontal="center"/>
    </xf>
    <xf fontId="4" fillId="4" borderId="25" numFmtId="1" xfId="0" applyNumberFormat="1" applyFont="1" applyFill="1" applyBorder="1" applyAlignment="1">
      <alignment horizontal="center"/>
    </xf>
    <xf fontId="0" fillId="6" borderId="24" numFmtId="0" xfId="0" applyFill="1" applyBorder="1" applyAlignment="1">
      <alignment horizontal="right"/>
    </xf>
    <xf fontId="4" fillId="6" borderId="25" numFmtId="1" xfId="0" applyNumberFormat="1" applyFont="1" applyFill="1" applyBorder="1" applyAlignment="1">
      <alignment horizontal="center"/>
    </xf>
    <xf fontId="1" fillId="6" borderId="26" numFmtId="0" xfId="0" applyFont="1" applyFill="1" applyBorder="1"/>
    <xf fontId="0" fillId="2" borderId="0" numFmtId="1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10" Type="http://schemas.openxmlformats.org/officeDocument/2006/relationships/sharedStrings" Target="sharedStrings.xml"/><Relationship  Id="rId11" Type="http://schemas.openxmlformats.org/officeDocument/2006/relationships/styles" Target="styles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worksheet" Target="worksheets/sheet4.xml"/><Relationship  Id="rId6" Type="http://schemas.openxmlformats.org/officeDocument/2006/relationships/worksheet" Target="worksheets/sheet5.xml"/><Relationship  Id="rId7" Type="http://schemas.openxmlformats.org/officeDocument/2006/relationships/worksheet" Target="worksheets/sheet6.xml"/><Relationship  Id="rId8" Type="http://schemas.openxmlformats.org/officeDocument/2006/relationships/worksheet" Target="worksheets/sheet7.xml"/><Relationship  Id="rId9" Type="http://schemas.openxmlformats.org/officeDocument/2006/relationships/theme" Target="theme/theme1.xml"/></Relationships>
</file>

<file path=xl/charts/_rels/chart1.xml.rels><?xml version="1.0" encoding="UTF-8" standalone="yes"?><Relationships xmlns="http://schemas.openxmlformats.org/package/2006/relationships"></Relationships>
</file>

<file path=xl/charts/_rels/chart10.xml.rels><?xml version="1.0" encoding="UTF-8" standalone="yes"?><Relationships xmlns="http://schemas.openxmlformats.org/package/2006/relationships"></Relationships>
</file>

<file path=xl/charts/_rels/chart11.xml.rels><?xml version="1.0" encoding="UTF-8" standalone="yes"?><Relationships xmlns="http://schemas.openxmlformats.org/package/2006/relationships"></Relationships>
</file>

<file path=xl/charts/_rels/chart12.xml.rels><?xml version="1.0" encoding="UTF-8" standalone="yes"?><Relationships xmlns="http://schemas.openxmlformats.org/package/2006/relationships"></Relationships>
</file>

<file path=xl/charts/_rels/chart13.xml.rels><?xml version="1.0" encoding="UTF-8" standalone="yes"?><Relationships xmlns="http://schemas.openxmlformats.org/package/2006/relationships"></Relationships>
</file>

<file path=xl/charts/_rels/chart14.xml.rels><?xml version="1.0" encoding="UTF-8" standalone="yes"?><Relationships xmlns="http://schemas.openxmlformats.org/package/2006/relationships"></Relationships>
</file>

<file path=xl/charts/_rels/chart15.xml.rels><?xml version="1.0" encoding="UTF-8" standalone="yes"?><Relationships xmlns="http://schemas.openxmlformats.org/package/2006/relationships"></Relationships>
</file>

<file path=xl/charts/_rels/chart16.xml.rels><?xml version="1.0" encoding="UTF-8" standalone="yes"?><Relationships xmlns="http://schemas.openxmlformats.org/package/2006/relationships"></Relationships>
</file>

<file path=xl/charts/_rels/chart17.xml.rels><?xml version="1.0" encoding="UTF-8" standalone="yes"?><Relationships xmlns="http://schemas.openxmlformats.org/package/2006/relationships"></Relationships>
</file>

<file path=xl/charts/_rels/chart18.xml.rels><?xml version="1.0" encoding="UTF-8" standalone="yes"?><Relationships xmlns="http://schemas.openxmlformats.org/package/2006/relationships"></Relationships>
</file>

<file path=xl/charts/_rels/chart19.xml.rels><?xml version="1.0" encoding="UTF-8" standalone="yes"?><Relationships xmlns="http://schemas.openxmlformats.org/package/2006/relationships"></Relationships>
</file>

<file path=xl/charts/_rels/chart2.xml.rels><?xml version="1.0" encoding="UTF-8" standalone="yes"?><Relationships xmlns="http://schemas.openxmlformats.org/package/2006/relationships"></Relationships>
</file>

<file path=xl/charts/_rels/chart20.xml.rels><?xml version="1.0" encoding="UTF-8" standalone="yes"?><Relationships xmlns="http://schemas.openxmlformats.org/package/2006/relationships"></Relationships>
</file>

<file path=xl/charts/_rels/chart21.xml.rels><?xml version="1.0" encoding="UTF-8" standalone="yes"?><Relationships xmlns="http://schemas.openxmlformats.org/package/2006/relationships"></Relationships>
</file>

<file path=xl/charts/_rels/chart22.xml.rels><?xml version="1.0" encoding="UTF-8" standalone="yes"?><Relationships xmlns="http://schemas.openxmlformats.org/package/2006/relationships"></Relationships>
</file>

<file path=xl/charts/_rels/chart23.xml.rels><?xml version="1.0" encoding="UTF-8" standalone="yes"?><Relationships xmlns="http://schemas.openxmlformats.org/package/2006/relationships"></Relationships>
</file>

<file path=xl/charts/_rels/chart24.xml.rels><?xml version="1.0" encoding="UTF-8" standalone="yes"?><Relationships xmlns="http://schemas.openxmlformats.org/package/2006/relationships"></Relationships>
</file>

<file path=xl/charts/_rels/chart25.xml.rels><?xml version="1.0" encoding="UTF-8" standalone="yes"?><Relationships xmlns="http://schemas.openxmlformats.org/package/2006/relationships"></Relationships>
</file>

<file path=xl/charts/_rels/chart3.xml.rels><?xml version="1.0" encoding="UTF-8" standalone="yes"?><Relationships xmlns="http://schemas.openxmlformats.org/package/2006/relationships"></Relationships>
</file>

<file path=xl/charts/_rels/chart4.xml.rels><?xml version="1.0" encoding="UTF-8" standalone="yes"?><Relationships xmlns="http://schemas.openxmlformats.org/package/2006/relationships"></Relationships>
</file>

<file path=xl/charts/_rels/chart5.xml.rels><?xml version="1.0" encoding="UTF-8" standalone="yes"?><Relationships xmlns="http://schemas.openxmlformats.org/package/2006/relationships"></Relationships>
</file>

<file path=xl/charts/_rels/chart6.xml.rels><?xml version="1.0" encoding="UTF-8" standalone="yes"?><Relationships xmlns="http://schemas.openxmlformats.org/package/2006/relationships"></Relationships>
</file>

<file path=xl/charts/_rels/chart7.xml.rels><?xml version="1.0" encoding="UTF-8" standalone="yes"?><Relationships xmlns="http://schemas.openxmlformats.org/package/2006/relationships"></Relationships>
</file>

<file path=xl/charts/_rels/chart8.xml.rels><?xml version="1.0" encoding="UTF-8" standalone="yes"?><Relationships xmlns="http://schemas.openxmlformats.org/package/2006/relationships"></Relationships>
</file>

<file path=xl/charts/_rels/chart9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Elevator Torque (oz-in) vs. Deflection</a:t>
            </a:r>
            <a:endParaRPr/>
          </a:p>
        </c:rich>
      </c:tx>
      <c:layout>
        <c:manualLayout>
          <c:xMode val="edge"/>
          <c:yMode val="edge"/>
          <c:x val="0.121324"/>
          <c:y val="0.016181"/>
        </c:manualLayout>
      </c:layout>
      <c:overlay val="0"/>
      <c:spPr bwMode="auto">
        <a:prstGeom prst="rect">
          <a:avLst/>
        </a:prstGeom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29"/>
          <c:y val="0.181230"/>
          <c:w val="0.783088"/>
          <c:h val="0.6796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SimpleServo!$Y$3</c:f>
              <c:strCache>
                <c:ptCount val="1"/>
                <c:pt idx="0">
                  <c:v>65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SimpleServo!$P$13:$P$19</c:f>
              <c:numCache>
                <c:formatCode>0</c:formatCode>
                <c:ptCount val="7"/>
                <c:pt idx="0">
                  <c:v>50</c:v>
                </c:pt>
                <c:pt idx="1">
                  <c:v>42.5</c:v>
                </c:pt>
                <c:pt idx="2">
                  <c:v>35</c:v>
                </c:pt>
                <c:pt idx="3">
                  <c:v>27.5</c:v>
                </c:pt>
                <c:pt idx="4">
                  <c:v>20</c:v>
                </c:pt>
                <c:pt idx="5">
                  <c:v>12.5</c:v>
                </c:pt>
                <c:pt idx="6">
                  <c:v>5</c:v>
                </c:pt>
              </c:numCache>
            </c:numRef>
          </c:xVal>
          <c:yVal>
            <c:numRef>
              <c:f>SimpleServo!$Y$13:$Y$19</c:f>
              <c:numCache>
                <c:formatCode>0</c:formatCode>
                <c:ptCount val="7"/>
                <c:pt idx="0">
                  <c:v>114.88414476121903</c:v>
                </c:pt>
                <c:pt idx="1">
                  <c:v>101.31866879024513</c:v>
                </c:pt>
                <c:pt idx="2">
                  <c:v>86.01960230542817</c:v>
                </c:pt>
                <c:pt idx="3">
                  <c:v>69.24871657602597</c:v>
                </c:pt>
                <c:pt idx="4">
                  <c:v>51.292966106636534</c:v>
                </c:pt>
                <c:pt idx="5">
                  <c:v>32.45957876606565</c:v>
                </c:pt>
                <c:pt idx="6">
                  <c:v>13.070799033311946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SimpleServo!$W$3</c:f>
              <c:strCache>
                <c:ptCount val="1"/>
                <c:pt idx="0">
                  <c:v>49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SimpleServo!$P$13:$P$19</c:f>
              <c:numCache>
                <c:formatCode>0</c:formatCode>
                <c:ptCount val="7"/>
                <c:pt idx="0">
                  <c:v>50</c:v>
                </c:pt>
                <c:pt idx="1">
                  <c:v>42.5</c:v>
                </c:pt>
                <c:pt idx="2">
                  <c:v>35</c:v>
                </c:pt>
                <c:pt idx="3">
                  <c:v>27.5</c:v>
                </c:pt>
                <c:pt idx="4">
                  <c:v>20</c:v>
                </c:pt>
                <c:pt idx="5">
                  <c:v>12.5</c:v>
                </c:pt>
                <c:pt idx="6">
                  <c:v>5</c:v>
                </c:pt>
              </c:numCache>
            </c:numRef>
          </c:xVal>
          <c:yVal>
            <c:numRef>
              <c:f>SimpleServo!$W$13:$W$19</c:f>
              <c:numCache>
                <c:formatCode>0</c:formatCode>
                <c:ptCount val="7"/>
                <c:pt idx="0">
                  <c:v>64.62233142818572</c:v>
                </c:pt>
                <c:pt idx="1">
                  <c:v>56.99175119451289</c:v>
                </c:pt>
                <c:pt idx="2">
                  <c:v>48.38602629680336</c:v>
                </c:pt>
                <c:pt idx="3">
                  <c:v>38.95240307401461</c:v>
                </c:pt>
                <c:pt idx="4">
                  <c:v>28.85229343498305</c:v>
                </c:pt>
                <c:pt idx="5">
                  <c:v>18.25851305591193</c:v>
                </c:pt>
                <c:pt idx="6">
                  <c:v>7.3523244562379695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SimpleServo!$U$3</c:f>
              <c:strCache>
                <c:ptCount val="1"/>
                <c:pt idx="0">
                  <c:v>33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SimpleServo!$P$13:$P$19</c:f>
              <c:numCache>
                <c:formatCode>0</c:formatCode>
                <c:ptCount val="7"/>
                <c:pt idx="0">
                  <c:v>50</c:v>
                </c:pt>
                <c:pt idx="1">
                  <c:v>42.5</c:v>
                </c:pt>
                <c:pt idx="2">
                  <c:v>35</c:v>
                </c:pt>
                <c:pt idx="3">
                  <c:v>27.5</c:v>
                </c:pt>
                <c:pt idx="4">
                  <c:v>20</c:v>
                </c:pt>
                <c:pt idx="5">
                  <c:v>12.5</c:v>
                </c:pt>
                <c:pt idx="6">
                  <c:v>5</c:v>
                </c:pt>
              </c:numCache>
            </c:numRef>
          </c:xVal>
          <c:yVal>
            <c:numRef>
              <c:f>SimpleServo!$U$13:$U$19</c:f>
              <c:numCache>
                <c:formatCode>0</c:formatCode>
                <c:ptCount val="7"/>
                <c:pt idx="0">
                  <c:v>28.72103619030476</c:v>
                </c:pt>
                <c:pt idx="1">
                  <c:v>25.32966719756128</c:v>
                </c:pt>
                <c:pt idx="2">
                  <c:v>21.50490057635704</c:v>
                </c:pt>
                <c:pt idx="3">
                  <c:v>17.312179144006492</c:v>
                </c:pt>
                <c:pt idx="4">
                  <c:v>12.823241526659134</c:v>
                </c:pt>
                <c:pt idx="5">
                  <c:v>8.114894691516412</c:v>
                </c:pt>
                <c:pt idx="6">
                  <c:v>3.2676997583279865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0254080"/>
        <c:axId val="60273024"/>
      </c:scatterChart>
      <c:valAx>
        <c:axId val="6025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Surface Deflection (degrees)</a:t>
                </a:r>
                <a:endParaRPr/>
              </a:p>
            </c:rich>
          </c:tx>
          <c:layout>
            <c:manualLayout>
              <c:xMode val="edge"/>
              <c:yMode val="edge"/>
              <c:x val="0.264706"/>
              <c:y val="0.919097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73024"/>
        <c:crosses val="autoZero"/>
        <c:crossBetween val="midCat"/>
      </c:valAx>
      <c:valAx>
        <c:axId val="6027302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254080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7353"/>
          <c:y val="0.093851"/>
          <c:w val="0.536765"/>
          <c:h val="0.071198"/>
        </c:manualLayout>
      </c:layout>
      <c:overlay val="0"/>
      <c:spPr bwMode="auto">
        <a:prstGeom prst="rect">
          <a:avLst/>
        </a:prstGeom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 orientation="landscape" blackAndWhite="0" horizont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125"/>
          <c:y val="0.077720"/>
          <c:w val="0.800000"/>
          <c:h val="0.704665"/>
        </c:manualLayout>
      </c:layout>
      <c:scatterChart>
        <c:scatterStyle val="smoothMarker"/>
        <c:varyColors val="0"/>
        <c:ser>
          <c:idx val="0"/>
          <c:order val="0"/>
          <c:tx>
            <c:v>+</c:v>
          </c:tx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StdServo!$AX$6:$AX$13</c:f>
              <c:numCache>
                <c:formatCode>0</c:formatCode>
                <c:ptCount val="8"/>
                <c:pt idx="0">
                  <c:v>100</c:v>
                </c:pt>
                <c:pt idx="1">
                  <c:v>84.5532562639665</c:v>
                </c:pt>
                <c:pt idx="2">
                  <c:v>70.62444771604775</c:v>
                </c:pt>
                <c:pt idx="3">
                  <c:v>57.576765163671865</c:v>
                </c:pt>
                <c:pt idx="4">
                  <c:v>45.055205585530764</c:v>
                </c:pt>
                <c:pt idx="5">
                  <c:v>32.82484378818362</c:v>
                </c:pt>
                <c:pt idx="6">
                  <c:v>20.705520448491132</c:v>
                </c:pt>
                <c:pt idx="7">
                  <c:v>8.53758882999429</c:v>
                </c:pt>
              </c:numCache>
            </c:numRef>
          </c:xVal>
          <c:yVal>
            <c:numRef>
              <c:f>StdServo!$AW$6:$AW$13</c:f>
              <c:numCache>
                <c:formatCode>0.0</c:formatCode>
                <c:ptCount val="8"/>
                <c:pt idx="0">
                  <c:v>2.9583278321848963</c:v>
                </c:pt>
                <c:pt idx="1">
                  <c:v>2.5939020625688536</c:v>
                </c:pt>
                <c:pt idx="2">
                  <c:v>2.221132594835645</c:v>
                </c:pt>
                <c:pt idx="3">
                  <c:v>1.8412185012058235</c:v>
                </c:pt>
                <c:pt idx="4">
                  <c:v>1.4553818357243153</c:v>
                </c:pt>
                <c:pt idx="5">
                  <c:v>1.0648637033294168</c:v>
                </c:pt>
                <c:pt idx="6">
                  <c:v>0.6709202676415679</c:v>
                </c:pt>
                <c:pt idx="7">
                  <c:v>0.27481871031348026</c:v>
                </c:pt>
              </c:numCache>
            </c:numRef>
          </c:yVal>
          <c:smooth val="1"/>
        </c:ser>
        <c:ser>
          <c:idx val="1"/>
          <c:order val="1"/>
          <c:tx>
            <c:v>-</c:v>
          </c:tx>
          <c:spPr bwMode="auto">
            <a:prstGeom prst="rect">
              <a:avLst/>
            </a:prstGeom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StdServo!$AZ$6:$AZ$13</c:f>
              <c:numCache>
                <c:formatCode>0</c:formatCode>
                <c:ptCount val="8"/>
                <c:pt idx="0">
                  <c:v>100</c:v>
                </c:pt>
                <c:pt idx="1">
                  <c:v>83.93780276346028</c:v>
                </c:pt>
                <c:pt idx="2">
                  <c:v>69.41853995072623</c:v>
                </c:pt>
                <c:pt idx="3">
                  <c:v>55.940559653610215</c:v>
                </c:pt>
                <c:pt idx="4">
                  <c:v>43.20701859345071</c:v>
                </c:pt>
                <c:pt idx="5">
                  <c:v>31.023641702401257</c:v>
                </c:pt>
                <c:pt idx="6">
                  <c:v>19.25352895848544</c:v>
                </c:pt>
                <c:pt idx="7">
                  <c:v>7.79427863975954</c:v>
                </c:pt>
              </c:numCache>
            </c:numRef>
          </c:xVal>
          <c:yVal>
            <c:numRef>
              <c:f>StdServo!$AY$6:$AY$13</c:f>
              <c:numCache>
                <c:formatCode>0.0</c:formatCode>
                <c:ptCount val="8"/>
                <c:pt idx="0">
                  <c:v>1.8117333157176452</c:v>
                </c:pt>
                <c:pt idx="1">
                  <c:v>1.580608868083726</c:v>
                </c:pt>
                <c:pt idx="2">
                  <c:v>1.347653765681352</c:v>
                </c:pt>
                <c:pt idx="3">
                  <c:v>1.1131378161635495</c:v>
                </c:pt>
                <c:pt idx="4">
                  <c:v>0.87733263495013</c:v>
                </c:pt>
                <c:pt idx="5">
                  <c:v>0.6405113306438168</c:v>
                </c:pt>
                <c:pt idx="6">
                  <c:v>0.40294818871697113</c:v>
                </c:pt>
                <c:pt idx="7">
                  <c:v>0.16491835383527126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1528576"/>
        <c:axId val="91600384"/>
      </c:scatterChart>
      <c:valAx>
        <c:axId val="91528576"/>
        <c:scaling>
          <c:orientation val="minMax"/>
          <c:max val="100.000000"/>
        </c:scaling>
        <c:delete val="0"/>
        <c:axPos val="b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Servo or (no-expo) Stick deflection (%)</a:t>
                </a:r>
                <a:endParaRPr/>
              </a:p>
            </c:rich>
          </c:tx>
          <c:layout>
            <c:manualLayout>
              <c:xMode val="edge"/>
              <c:yMode val="edge"/>
              <c:x val="0.250000"/>
              <c:y val="0.870468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600384"/>
        <c:crosses val="autoZero"/>
        <c:crossBetween val="midCat"/>
      </c:valAx>
      <c:valAx>
        <c:axId val="9160038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Trailing edge deflection (cm)</a:t>
                </a:r>
                <a:endParaRPr/>
              </a:p>
            </c:rich>
          </c:tx>
          <c:layout>
            <c:manualLayout>
              <c:xMode val="edge"/>
              <c:yMode val="edge"/>
              <c:x val="0.015625"/>
              <c:y val="0.067358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28576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 orientation="landscape" blackAndWhite="0" horizont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000"/>
          <c:y val="0.077720"/>
          <c:w val="0.850003"/>
          <c:h val="0.704665"/>
        </c:manualLayout>
      </c:layout>
      <c:scatterChart>
        <c:scatterStyle val="smoothMarker"/>
        <c:varyColors val="0"/>
        <c:ser>
          <c:idx val="0"/>
          <c:order val="0"/>
          <c:tx>
            <c:v>+</c:v>
          </c:tx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StdServo!$AX$14:$AX$21</c:f>
              <c:numCache>
                <c:formatCode>0</c:formatCode>
                <c:ptCount val="8"/>
                <c:pt idx="0">
                  <c:v>100</c:v>
                </c:pt>
                <c:pt idx="1">
                  <c:v>84.39286974683151</c:v>
                </c:pt>
                <c:pt idx="2">
                  <c:v>70.21983075211371</c:v>
                </c:pt>
                <c:pt idx="3">
                  <c:v>56.949377309165605</c:v>
                </c:pt>
                <c:pt idx="4">
                  <c:v>44.278772262226745</c:v>
                </c:pt>
                <c:pt idx="5">
                  <c:v>32.01218070418379</c:v>
                </c:pt>
                <c:pt idx="6">
                  <c:v>20.009613749490306</c:v>
                </c:pt>
                <c:pt idx="7">
                  <c:v>8.161558325261378</c:v>
                </c:pt>
              </c:numCache>
            </c:numRef>
          </c:xVal>
          <c:yVal>
            <c:numRef>
              <c:f>StdServo!$AW$14:$AW$21</c:f>
              <c:numCache>
                <c:formatCode>0.0</c:formatCode>
                <c:ptCount val="8"/>
                <c:pt idx="0">
                  <c:v>5.494037402629092</c:v>
                </c:pt>
                <c:pt idx="1">
                  <c:v>4.817246687627871</c:v>
                </c:pt>
                <c:pt idx="2">
                  <c:v>4.124960533266198</c:v>
                </c:pt>
                <c:pt idx="3">
                  <c:v>3.4194057879536723</c:v>
                </c:pt>
                <c:pt idx="4">
                  <c:v>2.7028519806308715</c:v>
                </c:pt>
                <c:pt idx="5">
                  <c:v>1.977604020468917</c:v>
                </c:pt>
                <c:pt idx="6">
                  <c:v>1.2459947827629119</c:v>
                </c:pt>
                <c:pt idx="7">
                  <c:v>0.510377604867892</c:v>
                </c:pt>
              </c:numCache>
            </c:numRef>
          </c:yVal>
          <c:smooth val="1"/>
        </c:ser>
        <c:ser>
          <c:idx val="1"/>
          <c:order val="1"/>
          <c:tx>
            <c:v>-</c:v>
          </c:tx>
          <c:spPr bwMode="auto">
            <a:prstGeom prst="rect">
              <a:avLst/>
            </a:prstGeom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StdServo!$AZ$14:$AZ$21</c:f>
              <c:numCache>
                <c:formatCode>0</c:formatCode>
                <c:ptCount val="8"/>
                <c:pt idx="0">
                  <c:v>100</c:v>
                </c:pt>
                <c:pt idx="1">
                  <c:v>84.39401080736496</c:v>
                </c:pt>
                <c:pt idx="2">
                  <c:v>70.22110039046879</c:v>
                </c:pt>
                <c:pt idx="3">
                  <c:v>56.95041843992112</c:v>
                </c:pt>
                <c:pt idx="4">
                  <c:v>44.27948537100403</c:v>
                </c:pt>
                <c:pt idx="5">
                  <c:v>32.012582605532714</c:v>
                </c:pt>
                <c:pt idx="6">
                  <c:v>20.00977791360549</c:v>
                </c:pt>
                <c:pt idx="7">
                  <c:v>8.16158624779149</c:v>
                </c:pt>
              </c:numCache>
            </c:numRef>
          </c:xVal>
          <c:yVal>
            <c:numRef>
              <c:f>StdServo!$AY$14:$AY$21</c:f>
              <c:numCache>
                <c:formatCode>0.0</c:formatCode>
                <c:ptCount val="8"/>
                <c:pt idx="0">
                  <c:v>5.494037402629092</c:v>
                </c:pt>
                <c:pt idx="1">
                  <c:v>4.817246687627871</c:v>
                </c:pt>
                <c:pt idx="2">
                  <c:v>4.124960533266198</c:v>
                </c:pt>
                <c:pt idx="3">
                  <c:v>3.4194057879536723</c:v>
                </c:pt>
                <c:pt idx="4">
                  <c:v>2.7028519806308715</c:v>
                </c:pt>
                <c:pt idx="5">
                  <c:v>1.977604020468917</c:v>
                </c:pt>
                <c:pt idx="6">
                  <c:v>1.2459947827629119</c:v>
                </c:pt>
                <c:pt idx="7">
                  <c:v>0.510377604867892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1702400"/>
        <c:axId val="91704320"/>
      </c:scatterChart>
      <c:valAx>
        <c:axId val="91702400"/>
        <c:scaling>
          <c:orientation val="minMax"/>
          <c:max val="100.000000"/>
        </c:scaling>
        <c:delete val="0"/>
        <c:axPos val="b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Servo or (no-expo) Stick deflection (%)</a:t>
                </a:r>
                <a:endParaRPr/>
              </a:p>
            </c:rich>
          </c:tx>
          <c:layout>
            <c:manualLayout>
              <c:xMode val="edge"/>
              <c:yMode val="edge"/>
              <c:x val="0.200001"/>
              <c:y val="0.870468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704320"/>
        <c:crosses val="autoZero"/>
        <c:crossBetween val="midCat"/>
      </c:valAx>
      <c:valAx>
        <c:axId val="917043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702400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000"/>
          <c:y val="0.077720"/>
          <c:w val="0.830003"/>
          <c:h val="0.704665"/>
        </c:manualLayout>
      </c:layout>
      <c:scatterChart>
        <c:scatterStyle val="smoothMarker"/>
        <c:varyColors val="0"/>
        <c:ser>
          <c:idx val="0"/>
          <c:order val="0"/>
          <c:tx>
            <c:v>+</c:v>
          </c:tx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StdServo!$AX$22:$AX$29</c:f>
              <c:numCache>
                <c:formatCode>0</c:formatCode>
                <c:ptCount val="8"/>
                <c:pt idx="0">
                  <c:v>100</c:v>
                </c:pt>
                <c:pt idx="1">
                  <c:v>81.42667685985359</c:v>
                </c:pt>
                <c:pt idx="2">
                  <c:v>66.93705982568807</c:v>
                </c:pt>
                <c:pt idx="3">
                  <c:v>54.04631314291491</c:v>
                </c:pt>
                <c:pt idx="4">
                  <c:v>41.981212321225556</c:v>
                </c:pt>
                <c:pt idx="5">
                  <c:v>30.378351907303056</c:v>
                </c:pt>
                <c:pt idx="6">
                  <c:v>19.026407263891773</c:v>
                </c:pt>
                <c:pt idx="7">
                  <c:v>7.781681219493588</c:v>
                </c:pt>
              </c:numCache>
            </c:numRef>
          </c:xVal>
          <c:yVal>
            <c:numRef>
              <c:f>StdServo!$AW$22:$AW$29</c:f>
              <c:numCache>
                <c:formatCode>0.0</c:formatCode>
                <c:ptCount val="8"/>
                <c:pt idx="0">
                  <c:v>8.999999999999998</c:v>
                </c:pt>
                <c:pt idx="1">
                  <c:v>7.918905057406472</c:v>
                </c:pt>
                <c:pt idx="2">
                  <c:v>6.801134162732409</c:v>
                </c:pt>
                <c:pt idx="3">
                  <c:v>5.65186420741329</c:v>
                </c:pt>
                <c:pt idx="4">
                  <c:v>4.476417968967388</c:v>
                </c:pt>
                <c:pt idx="5">
                  <c:v>3.2802394588586554</c:v>
                </c:pt>
                <c:pt idx="6">
                  <c:v>2.0688687088716</c:v>
                </c:pt>
                <c:pt idx="7">
                  <c:v>0.8479161127735688</c:v>
                </c:pt>
              </c:numCache>
            </c:numRef>
          </c:yVal>
          <c:smooth val="1"/>
        </c:ser>
        <c:ser>
          <c:idx val="1"/>
          <c:order val="1"/>
          <c:tx>
            <c:v>-</c:v>
          </c:tx>
          <c:spPr bwMode="auto">
            <a:prstGeom prst="rect">
              <a:avLst/>
            </a:prstGeom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StdServo!$AZ$22:$AZ$29</c:f>
              <c:numCache>
                <c:formatCode>0</c:formatCode>
                <c:ptCount val="8"/>
                <c:pt idx="0">
                  <c:v>100</c:v>
                </c:pt>
                <c:pt idx="1">
                  <c:v>83.49308412544819</c:v>
                </c:pt>
                <c:pt idx="2">
                  <c:v>68.93011459919553</c:v>
                </c:pt>
                <c:pt idx="3">
                  <c:v>55.55213883909424</c:v>
                </c:pt>
                <c:pt idx="4">
                  <c:v>42.96081445637857</c:v>
                </c:pt>
                <c:pt idx="5">
                  <c:v>30.912450637889037</c:v>
                </c:pt>
                <c:pt idx="6">
                  <c:v>19.240172206679798</c:v>
                </c:pt>
                <c:pt idx="7">
                  <c:v>7.8176651102858825</c:v>
                </c:pt>
              </c:numCache>
            </c:numRef>
          </c:xVal>
          <c:yVal>
            <c:numRef>
              <c:f>StdServo!$AY$22:$AY$29</c:f>
              <c:numCache>
                <c:formatCode>0.0</c:formatCode>
                <c:ptCount val="8"/>
                <c:pt idx="0">
                  <c:v>8.999999999999998</c:v>
                </c:pt>
                <c:pt idx="1">
                  <c:v>7.918905057406472</c:v>
                </c:pt>
                <c:pt idx="2">
                  <c:v>6.801134162732409</c:v>
                </c:pt>
                <c:pt idx="3">
                  <c:v>5.65186420741329</c:v>
                </c:pt>
                <c:pt idx="4">
                  <c:v>4.476417968967388</c:v>
                </c:pt>
                <c:pt idx="5">
                  <c:v>3.2802394588586554</c:v>
                </c:pt>
                <c:pt idx="6">
                  <c:v>2.0688687088716</c:v>
                </c:pt>
                <c:pt idx="7">
                  <c:v>0.8479161127735688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1724800"/>
        <c:axId val="91620480"/>
      </c:scatterChart>
      <c:valAx>
        <c:axId val="91724800"/>
        <c:scaling>
          <c:orientation val="minMax"/>
          <c:max val="100.000000"/>
        </c:scaling>
        <c:delete val="0"/>
        <c:axPos val="b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Servo or (no-expo) Stick deflection (%)</a:t>
                </a:r>
                <a:endParaRPr/>
              </a:p>
            </c:rich>
          </c:tx>
          <c:layout>
            <c:manualLayout>
              <c:xMode val="edge"/>
              <c:yMode val="edge"/>
              <c:x val="0.210001"/>
              <c:y val="0.870468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620480"/>
        <c:crosses val="autoZero"/>
        <c:crossBetween val="midCat"/>
      </c:valAx>
      <c:valAx>
        <c:axId val="916204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724800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09579"/>
          <c:y val="0.019841"/>
          <c:w val="0.982760"/>
          <c:h val="0.964289"/>
        </c:manualLayout>
      </c:layout>
      <c:scatterChart>
        <c:scatterStyle val="lineMarker"/>
        <c:varyColors val="0"/>
        <c:ser>
          <c:idx val="5"/>
          <c:order val="0"/>
          <c:spPr bwMode="auto">
            <a:prstGeom prst="rect">
              <a:avLst/>
            </a:prstGeom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dLblPos val="r"/>
              <c:layout>
                <c:manualLayout>
                  <c:x val="-0.032397"/>
                  <c:y val="-0.014418"/>
                </c:manualLayout>
              </c:layout>
              <c:showBubbleSize val="0"/>
              <c:showCatName val="0"/>
              <c:showLegendKey val="0"/>
              <c:showPercent val="0"/>
              <c:showSerName val="0"/>
              <c:showVal val="1"/>
            </c:dLbl>
            <c:showBubbleSize val="0"/>
            <c:showCatName val="1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50" b="0" i="0" u="none" strike="noStrike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Lbls>
          <c:xVal>
            <c:numRef>
              <c:f>SuperServo!$AT$8:$AT$10</c:f>
              <c:numCache>
                <c:formatCode>0.0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-15.588457268119896</c:v>
                </c:pt>
              </c:numCache>
            </c:numRef>
          </c:xVal>
          <c:yVal>
            <c:numRef>
              <c:f>SuperServo!$AU$8:$AU$10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8.999999999999998</c:v>
                </c:pt>
              </c:numCache>
            </c:numRef>
          </c:yVal>
          <c:smooth val="0"/>
        </c:ser>
        <c:ser>
          <c:idx val="6"/>
          <c:order val="1"/>
          <c:spPr bwMode="auto">
            <a:prstGeom prst="rect">
              <a:avLst/>
            </a:prstGeom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dLblPos val="r"/>
              <c:layout>
                <c:manualLayout>
                  <c:x val="-0.030482"/>
                  <c:y val="-0.049696"/>
                </c:manualLayout>
              </c:layout>
              <c:showBubbleSize val="0"/>
              <c:showCatName val="0"/>
              <c:showLegendKey val="0"/>
              <c:showPercent val="0"/>
              <c:showSerName val="0"/>
              <c:showVal val="1"/>
            </c:dLbl>
            <c:showBubbleSize val="0"/>
            <c:showCatName val="1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50" b="0" i="0" u="none" strike="noStrike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Lbls>
          <c:xVal>
            <c:numRef>
              <c:f>SuperServo!$AV$8:$AV$10</c:f>
              <c:numCache>
                <c:formatCode>0.0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-15.588457268119896</c:v>
                </c:pt>
              </c:numCache>
            </c:numRef>
          </c:xVal>
          <c:yVal>
            <c:numRef>
              <c:f>SuperServo!$AW$8:$AW$10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-8.999999999999998</c:v>
                </c:pt>
              </c:numCache>
            </c:numRef>
          </c:yVal>
          <c:smooth val="0"/>
        </c:ser>
        <c:ser>
          <c:idx val="4"/>
          <c:order val="2"/>
          <c:spPr bwMode="auto">
            <a:prstGeom prst="rect">
              <a:avLst/>
            </a:prstGeom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dLblPos val="r"/>
              <c:layout>
                <c:manualLayout>
                  <c:x val="-0.032535"/>
                  <c:y val="-0.048307"/>
                </c:manualLayout>
              </c:layout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dLbl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</c:dLbls>
          <c:xVal>
            <c:numRef>
              <c:f>SuperServo!$AR$8:$AR$10</c:f>
              <c:numCache>
                <c:formatCode>0.0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-18</c:v>
                </c:pt>
              </c:numCache>
            </c:numRef>
          </c:xVal>
          <c:yVal>
            <c:numRef>
              <c:f>SuperServo!$AS$8:$AS$10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7"/>
          <c:order val="3"/>
          <c:spPr bwMode="auto">
            <a:prstGeom prst="rect">
              <a:avLst/>
            </a:prstGeom>
            <a:ln w="25400">
              <a:solidFill>
                <a:srgbClr val="FFFF00"/>
              </a:solidFill>
              <a:prstDash val="sysDash"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Lbls>
            <c:dLbl>
              <c:idx val="2"/>
              <c:dLblPos val="r"/>
              <c:layout>
                <c:manualLayout>
                  <c:x val="-0.033064"/>
                  <c:y val="-0.055103"/>
                </c:manualLayout>
              </c:layout>
              <c:showBubbleSize val="0"/>
              <c:showCatName val="0"/>
              <c:showLegendKey val="0"/>
              <c:showPercent val="0"/>
              <c:showSerName val="0"/>
              <c:showVal val="1"/>
            </c:dLbl>
            <c:showBubbleSize val="0"/>
            <c:showCatName val="1"/>
            <c:showLeaderLines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50" b="0" i="0" u="none" strike="noStrike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Lbls>
          <c:xVal>
            <c:numRef>
              <c:f>SuperServo!$AX$8:$AX$10</c:f>
              <c:numCache>
                <c:formatCode>0.0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-17.74457162209893</c:v>
                </c:pt>
              </c:numCache>
            </c:numRef>
          </c:xVal>
          <c:yVal>
            <c:numRef>
              <c:f>SuperServo!$AY$8:$AY$10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-3.021618431933674</c:v>
                </c:pt>
              </c:numCache>
            </c:numRef>
          </c:yVal>
          <c:smooth val="0"/>
        </c:ser>
        <c:ser>
          <c:idx val="2"/>
          <c:order val="4"/>
          <c:spPr bwMode="auto">
            <a:prstGeom prst="rect">
              <a:avLst/>
            </a:prstGeom>
            <a:ln w="3175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3"/>
            <c:marker>
              <c:symbol val="none"/>
            </c:marker>
            <c:bubble3D val="0"/>
          </c:dPt>
          <c:xVal>
            <c:numRef>
              <c:f>SuperServo!$AV$4:$AV$7</c:f>
              <c:numCache>
                <c:formatCode>0.0</c:formatCode>
                <c:ptCount val="4"/>
                <c:pt idx="0">
                  <c:v>10</c:v>
                </c:pt>
                <c:pt idx="1">
                  <c:v>12.627564372360013</c:v>
                </c:pt>
                <c:pt idx="2">
                  <c:v>2.4999999999999996</c:v>
                </c:pt>
                <c:pt idx="3">
                  <c:v>0</c:v>
                </c:pt>
              </c:numCache>
            </c:numRef>
          </c:xVal>
          <c:yVal>
            <c:numRef>
              <c:f>SuperServo!$AW$4:$AW$7</c:f>
              <c:numCache>
                <c:formatCode>0.0</c:formatCode>
                <c:ptCount val="4"/>
                <c:pt idx="0">
                  <c:v>0</c:v>
                </c:pt>
                <c:pt idx="1">
                  <c:v>-1.851817990636966</c:v>
                </c:pt>
                <c:pt idx="2">
                  <c:v>-4.330127018922194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5"/>
          <c:spPr bwMode="auto">
            <a:prstGeom prst="rect">
              <a:avLst/>
            </a:prstGeom>
            <a:ln w="3175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3"/>
            <c:marker>
              <c:symbol val="none"/>
            </c:marker>
            <c:bubble3D val="0"/>
          </c:dPt>
          <c:xVal>
            <c:numRef>
              <c:f>SuperServo!$AT$4:$AT$7</c:f>
              <c:numCache>
                <c:formatCode>0.0</c:formatCode>
                <c:ptCount val="4"/>
                <c:pt idx="0">
                  <c:v>10</c:v>
                </c:pt>
                <c:pt idx="1">
                  <c:v>7.72004352069036</c:v>
                </c:pt>
                <c:pt idx="2">
                  <c:v>-2.499999999999999</c:v>
                </c:pt>
                <c:pt idx="3">
                  <c:v>0</c:v>
                </c:pt>
              </c:numCache>
            </c:numRef>
          </c:xVal>
          <c:yVal>
            <c:numRef>
              <c:f>SuperServo!$AU$4:$AU$7</c:f>
              <c:numCache>
                <c:formatCode>0.0</c:formatCode>
                <c:ptCount val="4"/>
                <c:pt idx="0">
                  <c:v>0</c:v>
                </c:pt>
                <c:pt idx="1">
                  <c:v>-2.26608094599385</c:v>
                </c:pt>
                <c:pt idx="2">
                  <c:v>-4.330127018922194</c:v>
                </c:pt>
                <c:pt idx="3">
                  <c:v>0</c:v>
                </c:pt>
              </c:numCache>
            </c:numRef>
          </c:yVal>
          <c:smooth val="0"/>
        </c:ser>
        <c:ser>
          <c:idx val="0"/>
          <c:order val="6"/>
          <c:spPr bwMode="auto">
            <a:prstGeom prst="rect">
              <a:avLst/>
            </a:prstGeom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3"/>
            <c:marker>
              <c:symbol val="none"/>
            </c:marker>
            <c:bubble3D val="0"/>
          </c:dPt>
          <c:xVal>
            <c:numRef>
              <c:f>SuperServo!$AR$4:$AR$7</c:f>
              <c:numCache>
                <c:formatCode>0.0</c:formatCode>
                <c:ptCount val="4"/>
                <c:pt idx="0">
                  <c:v>10</c:v>
                </c:pt>
                <c:pt idx="1">
                  <c:v>10.270390940811604</c:v>
                </c:pt>
                <c:pt idx="2">
                  <c:v>3.06287113727155e-16</c:v>
                </c:pt>
                <c:pt idx="3">
                  <c:v>0</c:v>
                </c:pt>
              </c:numCache>
            </c:numRef>
          </c:xVal>
          <c:yVal>
            <c:numRef>
              <c:f>SuperServo!$AS$4:$AS$7</c:f>
              <c:numCache>
                <c:formatCode>0.0</c:formatCode>
                <c:ptCount val="4"/>
                <c:pt idx="0">
                  <c:v>0</c:v>
                </c:pt>
                <c:pt idx="1">
                  <c:v>-3.203156746159858</c:v>
                </c:pt>
                <c:pt idx="2">
                  <c:v>-5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7"/>
          <c:spPr bwMode="auto">
            <a:prstGeom prst="rect">
              <a:avLst/>
            </a:prstGeom>
            <a:ln w="12700">
              <a:solidFill>
                <a:srgbClr val="FFFF00"/>
              </a:solidFill>
              <a:prstDash val="sysDash"/>
            </a:ln>
          </c:spPr>
          <c:marker>
            <c:symbol val="circle"/>
            <c:size val="5"/>
            <c:spPr bwMode="auto">
              <a:prstGeom prst="rect">
                <a:avLst/>
              </a:prstGeom>
              <a:noFill/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 bwMode="auto">
                <a:prstGeom prst="rect">
                  <a:avLst/>
                </a:prstGeom>
                <a:solidFill>
                  <a:srgbClr val="FFFF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</c:dPt>
          <c:dPt>
            <c:idx val="3"/>
            <c:marker>
              <c:symbol val="none"/>
            </c:marker>
            <c:bubble3D val="0"/>
          </c:dPt>
          <c:xVal>
            <c:numRef>
              <c:f>SuperServo!$AX$4:$AX$7</c:f>
              <c:numCache>
                <c:formatCode>0.0</c:formatCode>
                <c:ptCount val="4"/>
                <c:pt idx="0">
                  <c:v>10</c:v>
                </c:pt>
                <c:pt idx="1">
                  <c:v>11.090215563279319</c:v>
                </c:pt>
                <c:pt idx="2">
                  <c:v>0.8393384533149096</c:v>
                </c:pt>
                <c:pt idx="3">
                  <c:v>0</c:v>
                </c:pt>
              </c:numCache>
            </c:numRef>
          </c:xVal>
          <c:yVal>
            <c:numRef>
              <c:f>SuperServo!$AY$4:$AY$7</c:f>
              <c:numCache>
                <c:formatCode>0.0</c:formatCode>
                <c:ptCount val="4"/>
                <c:pt idx="0">
                  <c:v>0</c:v>
                </c:pt>
                <c:pt idx="1">
                  <c:v>-3.0240295016626324</c:v>
                </c:pt>
                <c:pt idx="2">
                  <c:v>-4.929047672805258</c:v>
                </c:pt>
                <c:pt idx="3">
                  <c:v>0</c:v>
                </c:pt>
              </c:numCache>
            </c:numRef>
          </c:yVal>
          <c:smooth val="0"/>
        </c:ser>
        <c:ser>
          <c:idx val="8"/>
          <c:order val="8"/>
          <c:spPr bwMode="auto">
            <a:prstGeom prst="rect">
              <a:avLst/>
            </a:prstGeom>
            <a:ln w="28575">
              <a:noFill/>
            </a:ln>
          </c:spPr>
          <c:marker>
            <c:symbol val="none"/>
          </c:marker>
          <c:xVal>
            <c:numRef>
              <c:f>SuperServo!$AR$11:$AR$12</c:f>
              <c:numCache>
                <c:formatCode>0.0</c:formatCode>
                <c:ptCount val="2"/>
                <c:pt idx="0">
                  <c:v>20</c:v>
                </c:pt>
                <c:pt idx="1">
                  <c:v>-20</c:v>
                </c:pt>
              </c:numCache>
            </c:numRef>
          </c:xVal>
          <c:yVal>
            <c:numRef>
              <c:f>SuperServo!$AS$11:$AS$12</c:f>
              <c:numCache>
                <c:formatCode>0.0</c:formatCode>
                <c:ptCount val="2"/>
                <c:pt idx="0">
                  <c:v>9.999999999999998</c:v>
                </c:pt>
                <c:pt idx="1">
                  <c:v>-9.999999999999998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4180864"/>
        <c:axId val="94182400"/>
      </c:scatterChart>
      <c:valAx>
        <c:axId val="94180864"/>
        <c:scaling>
          <c:orientation val="minMax"/>
          <c:max val="20.000000"/>
          <c:min val="-20.000000"/>
        </c:scaling>
        <c:delete val="0"/>
        <c:axPos val="b"/>
        <c:numFmt formatCode="0.0" sourceLinked="1"/>
        <c:majorTickMark val="none"/>
        <c:minorTickMark val="none"/>
        <c:tickLblPos val="none"/>
        <c:spPr bwMode="auto">
          <a:prstGeom prst="rect">
            <a:avLst/>
          </a:prstGeom>
          <a:ln w="9525">
            <a:noFill/>
          </a:ln>
        </c:spPr>
        <c:crossAx val="94182400"/>
        <c:crosses val="autoZero"/>
        <c:crossBetween val="midCat"/>
      </c:valAx>
      <c:valAx>
        <c:axId val="94182400"/>
        <c:scaling>
          <c:orientation val="minMax"/>
          <c:max val="10.000000"/>
          <c:min val="-10.000000"/>
        </c:scaling>
        <c:delete val="0"/>
        <c:axPos val="l"/>
        <c:numFmt formatCode="0.0" sourceLinked="1"/>
        <c:majorTickMark val="none"/>
        <c:minorTickMark val="none"/>
        <c:tickLblPos val="none"/>
        <c:spPr bwMode="auto">
          <a:prstGeom prst="rect">
            <a:avLst/>
          </a:prstGeom>
          <a:ln w="9525">
            <a:noFill/>
          </a:ln>
        </c:spPr>
        <c:crossAx val="94180864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 orientation="landscape" blackAndWhite="0" horizont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437"/>
          <c:y val="0.059524"/>
          <c:w val="0.827589"/>
          <c:h val="0.773813"/>
        </c:manualLayout>
      </c:layout>
      <c:scatterChart>
        <c:scatterStyle val="smoothMarker"/>
        <c:varyColors val="0"/>
        <c:ser>
          <c:idx val="0"/>
          <c:order val="0"/>
          <c:tx>
            <c:v>Positive</c:v>
          </c:tx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xVal>
            <c:numRef>
              <c:f>SuperServo!$AL$6:$AL$16</c:f>
              <c:numCache>
                <c:formatCode>0.0</c:formatCode>
                <c:ptCount val="11"/>
                <c:pt idx="0">
                  <c:v>29.99999999999996</c:v>
                </c:pt>
                <c:pt idx="1">
                  <c:v>27.5274336669175</c:v>
                </c:pt>
                <c:pt idx="2">
                  <c:v>24.85887761298059</c:v>
                </c:pt>
                <c:pt idx="3">
                  <c:v>22.03231759741204</c:v>
                </c:pt>
                <c:pt idx="4">
                  <c:v>19.0796802528375</c:v>
                </c:pt>
                <c:pt idx="5">
                  <c:v>16.027985051596477</c:v>
                </c:pt>
                <c:pt idx="6">
                  <c:v>12.900351108248666</c:v>
                </c:pt>
                <c:pt idx="7">
                  <c:v>9.716846985443551</c:v>
                </c:pt>
                <c:pt idx="8">
                  <c:v>6.4951957072771815</c:v>
                </c:pt>
                <c:pt idx="9">
                  <c:v>3.251355780544202</c:v>
                </c:pt>
                <c:pt idx="10">
                  <c:v>0</c:v>
                </c:pt>
              </c:numCache>
            </c:numRef>
          </c:xVal>
          <c:yVal>
            <c:numRef>
              <c:f>SuperServo!$AM$6:$AM$16</c:f>
              <c:numCache>
                <c:formatCode>0</c:formatCode>
                <c:ptCount val="11"/>
                <c:pt idx="0">
                  <c:v>236.1554999999997</c:v>
                </c:pt>
                <c:pt idx="1">
                  <c:v>218.28951838563188</c:v>
                </c:pt>
                <c:pt idx="2">
                  <c:v>198.55231822993565</c:v>
                </c:pt>
                <c:pt idx="3">
                  <c:v>177.17779420658272</c:v>
                </c:pt>
                <c:pt idx="4">
                  <c:v>154.39032117657112</c:v>
                </c:pt>
                <c:pt idx="5">
                  <c:v>130.4082945009139</c:v>
                </c:pt>
                <c:pt idx="6">
                  <c:v>105.44630681153485</c:v>
                </c:pt>
                <c:pt idx="7">
                  <c:v>79.71627459996499</c:v>
                </c:pt>
                <c:pt idx="8">
                  <c:v>53.427773867442674</c:v>
                </c:pt>
                <c:pt idx="9">
                  <c:v>26.78778542130284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Negative</c:v>
          </c:tx>
          <c:spPr bwMode="auto">
            <a:prstGeom prst="rect">
              <a:avLst/>
            </a:prstGeom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</c:dPt>
          <c:dPt>
            <c:idx val="1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</c:dPt>
          <c:xVal>
            <c:numRef>
              <c:f>SuperServo!$AL$16:$AL$26</c:f>
              <c:numCache>
                <c:formatCode>0.0</c:formatCode>
                <c:ptCount val="11"/>
                <c:pt idx="0">
                  <c:v>0</c:v>
                </c:pt>
                <c:pt idx="1">
                  <c:v>3.2450886227628413</c:v>
                </c:pt>
                <c:pt idx="2">
                  <c:v>6.47068821230115</c:v>
                </c:pt>
                <c:pt idx="3">
                  <c:v>9.663865164460681</c:v>
                </c:pt>
                <c:pt idx="4">
                  <c:v>12.81174963191109</c:v>
                </c:pt>
                <c:pt idx="5">
                  <c:v>15.901355855259698</c:v>
                </c:pt>
                <c:pt idx="6">
                  <c:v>18.91944758205714</c:v>
                </c:pt>
                <c:pt idx="7">
                  <c:v>21.85245229830195</c:v>
                </c:pt>
                <c:pt idx="8">
                  <c:v>24.686430992390562</c:v>
                </c:pt>
                <c:pt idx="9">
                  <c:v>27.407112252213878</c:v>
                </c:pt>
                <c:pt idx="10">
                  <c:v>30.000000000000018</c:v>
                </c:pt>
              </c:numCache>
            </c:numRef>
          </c:xVal>
          <c:yVal>
            <c:numRef>
              <c:f>SuperServo!$AM$16:$AM$26</c:f>
              <c:numCache>
                <c:formatCode>0</c:formatCode>
                <c:ptCount val="11"/>
                <c:pt idx="0">
                  <c:v>0</c:v>
                </c:pt>
                <c:pt idx="1">
                  <c:v>26.736205844998327</c:v>
                </c:pt>
                <c:pt idx="2">
                  <c:v>53.22704106863884</c:v>
                </c:pt>
                <c:pt idx="3">
                  <c:v>79.28575684472364</c:v>
                </c:pt>
                <c:pt idx="4">
                  <c:v>104.73424001130618</c:v>
                </c:pt>
                <c:pt idx="5">
                  <c:v>129.40470172552176</c:v>
                </c:pt>
                <c:pt idx="6">
                  <c:v>153.14142147587293</c:v>
                </c:pt>
                <c:pt idx="7">
                  <c:v>175.80250294654456</c:v>
                </c:pt>
                <c:pt idx="8">
                  <c:v>197.2615892200327</c:v>
                </c:pt>
                <c:pt idx="9">
                  <c:v>217.4094706153385</c:v>
                </c:pt>
                <c:pt idx="10">
                  <c:v>236.1555000000001</c:v>
                </c:pt>
              </c:numCache>
            </c:numRef>
          </c:yVal>
          <c:smooth val="1"/>
        </c:ser>
        <c:ser>
          <c:idx val="1"/>
          <c:order val="2"/>
          <c:tx>
            <c:v>Current</c:v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Lbls>
          <c:xVal>
            <c:numRef>
              <c:f>SuperServo!$AL$5</c:f>
              <c:numCache>
                <c:formatCode>0.0</c:formatCode>
                <c:ptCount val="1"/>
                <c:pt idx="0">
                  <c:v>9.663865164460681</c:v>
                </c:pt>
              </c:numCache>
            </c:numRef>
          </c:xVal>
          <c:yVal>
            <c:numRef>
              <c:f>SuperServo!$AM$5</c:f>
              <c:numCache>
                <c:formatCode>0</c:formatCode>
                <c:ptCount val="1"/>
                <c:pt idx="0">
                  <c:v>79.28575684472364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4225536"/>
        <c:axId val="94227456"/>
      </c:scatterChart>
      <c:valAx>
        <c:axId val="94225536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Control surface deflection (degrees)</a:t>
                </a:r>
                <a:endParaRPr/>
              </a:p>
            </c:rich>
          </c:tx>
          <c:layout>
            <c:manualLayout>
              <c:xMode val="edge"/>
              <c:yMode val="edge"/>
              <c:x val="0.199235"/>
              <c:y val="0.900797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7456"/>
        <c:crosses val="autoZero"/>
        <c:crossBetween val="midCat"/>
      </c:valAx>
      <c:valAx>
        <c:axId val="9422745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1"/>
        <c:majorTickMark val="out"/>
        <c:minorTickMark val="none"/>
        <c:tickLblPos val="low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5536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943"/>
          <c:y val="0.059524"/>
          <c:w val="0.839084"/>
          <c:h val="0.773813"/>
        </c:manualLayout>
      </c:layout>
      <c:scatterChart>
        <c:scatterStyle val="smoothMarker"/>
        <c:varyColors val="0"/>
        <c:ser>
          <c:idx val="0"/>
          <c:order val="0"/>
          <c:tx>
            <c:v>Positive</c:v>
          </c:tx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xVal>
            <c:numRef>
              <c:f>SuperServo!$AL$6:$AL$16</c:f>
              <c:numCache>
                <c:formatCode>0.0</c:formatCode>
                <c:ptCount val="11"/>
                <c:pt idx="0">
                  <c:v>29.99999999999996</c:v>
                </c:pt>
                <c:pt idx="1">
                  <c:v>27.5274336669175</c:v>
                </c:pt>
                <c:pt idx="2">
                  <c:v>24.85887761298059</c:v>
                </c:pt>
                <c:pt idx="3">
                  <c:v>22.03231759741204</c:v>
                </c:pt>
                <c:pt idx="4">
                  <c:v>19.0796802528375</c:v>
                </c:pt>
                <c:pt idx="5">
                  <c:v>16.027985051596477</c:v>
                </c:pt>
                <c:pt idx="6">
                  <c:v>12.900351108248666</c:v>
                </c:pt>
                <c:pt idx="7">
                  <c:v>9.716846985443551</c:v>
                </c:pt>
                <c:pt idx="8">
                  <c:v>6.4951957072771815</c:v>
                </c:pt>
                <c:pt idx="9">
                  <c:v>3.251355780544202</c:v>
                </c:pt>
                <c:pt idx="10">
                  <c:v>0</c:v>
                </c:pt>
              </c:numCache>
            </c:numRef>
          </c:xVal>
          <c:yVal>
            <c:numRef>
              <c:f>SuperServo!$AN$6:$AN$16</c:f>
              <c:numCache>
                <c:formatCode>0.0</c:formatCode>
                <c:ptCount val="11"/>
                <c:pt idx="0">
                  <c:v>3.936426905065231</c:v>
                </c:pt>
                <c:pt idx="1">
                  <c:v>3.484738940966085</c:v>
                </c:pt>
                <c:pt idx="2">
                  <c:v>3.045172954400246</c:v>
                </c:pt>
                <c:pt idx="3">
                  <c:v>2.6197458117028676</c:v>
                </c:pt>
                <c:pt idx="4">
                  <c:v>2.2089086185382363</c:v>
                </c:pt>
                <c:pt idx="5">
                  <c:v>1.8121795978151796</c:v>
                </c:pt>
                <c:pt idx="6">
                  <c:v>1.4285626281689308</c:v>
                </c:pt>
                <c:pt idx="7">
                  <c:v>1.0568180323504306</c:v>
                </c:pt>
                <c:pt idx="8">
                  <c:v>0.6956359393812857</c:v>
                </c:pt>
                <c:pt idx="9">
                  <c:v>0.3437477653618107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Negative</c:v>
          </c:tx>
          <c:spPr bwMode="auto">
            <a:prstGeom prst="rect">
              <a:avLst/>
            </a:prstGeom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</c:dPt>
          <c:dPt>
            <c:idx val="1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</c:dPt>
          <c:xVal>
            <c:numRef>
              <c:f>SuperServo!$AL$16:$AL$26</c:f>
              <c:numCache>
                <c:formatCode>0.0</c:formatCode>
                <c:ptCount val="11"/>
                <c:pt idx="0">
                  <c:v>0</c:v>
                </c:pt>
                <c:pt idx="1">
                  <c:v>3.2450886227628413</c:v>
                </c:pt>
                <c:pt idx="2">
                  <c:v>6.47068821230115</c:v>
                </c:pt>
                <c:pt idx="3">
                  <c:v>9.663865164460681</c:v>
                </c:pt>
                <c:pt idx="4">
                  <c:v>12.81174963191109</c:v>
                </c:pt>
                <c:pt idx="5">
                  <c:v>15.901355855259698</c:v>
                </c:pt>
                <c:pt idx="6">
                  <c:v>18.91944758205714</c:v>
                </c:pt>
                <c:pt idx="7">
                  <c:v>21.85245229830195</c:v>
                </c:pt>
                <c:pt idx="8">
                  <c:v>24.686430992390562</c:v>
                </c:pt>
                <c:pt idx="9">
                  <c:v>27.407112252213878</c:v>
                </c:pt>
                <c:pt idx="10">
                  <c:v>30.000000000000018</c:v>
                </c:pt>
              </c:numCache>
            </c:numRef>
          </c:xVal>
          <c:yVal>
            <c:numRef>
              <c:f>SuperServo!$AN$16:$AN$26</c:f>
              <c:numCache>
                <c:formatCode>0.0</c:formatCode>
                <c:ptCount val="11"/>
                <c:pt idx="0">
                  <c:v>0</c:v>
                </c:pt>
                <c:pt idx="1">
                  <c:v>0.3365936014791258</c:v>
                </c:pt>
                <c:pt idx="2">
                  <c:v>0.6668108944439439</c:v>
                </c:pt>
                <c:pt idx="3">
                  <c:v>0.9911846163230716</c:v>
                </c:pt>
                <c:pt idx="4">
                  <c:v>1.3099661818418602</c:v>
                </c:pt>
                <c:pt idx="5">
                  <c:v>1.623088395678632</c:v>
                </c:pt>
                <c:pt idx="6">
                  <c:v>1.9301275898024515</c:v>
                </c:pt>
                <c:pt idx="7">
                  <c:v>2.230267911598955</c:v>
                </c:pt>
                <c:pt idx="8">
                  <c:v>2.522272916515264</c:v>
                </c:pt>
                <c:pt idx="9">
                  <c:v>2.8044721434392206</c:v>
                </c:pt>
                <c:pt idx="10">
                  <c:v>3.0747725609931065</c:v>
                </c:pt>
              </c:numCache>
            </c:numRef>
          </c:yVal>
          <c:smooth val="1"/>
        </c:ser>
        <c:ser>
          <c:idx val="1"/>
          <c:order val="2"/>
          <c:tx>
            <c:v>Current</c:v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Lbls>
          <c:xVal>
            <c:numRef>
              <c:f>SuperServo!$AL$5</c:f>
              <c:numCache>
                <c:formatCode>0.0</c:formatCode>
                <c:ptCount val="1"/>
                <c:pt idx="0">
                  <c:v>9.663865164460681</c:v>
                </c:pt>
              </c:numCache>
            </c:numRef>
          </c:xVal>
          <c:yVal>
            <c:numRef>
              <c:f>SuperServo!$AN$5</c:f>
              <c:numCache>
                <c:formatCode>0.0</c:formatCode>
                <c:ptCount val="1"/>
                <c:pt idx="0">
                  <c:v>0.9911846163230716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4352512"/>
        <c:axId val="94354432"/>
      </c:scatterChart>
      <c:valAx>
        <c:axId val="94352512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Control surface deflection (degrees)</a:t>
                </a:r>
                <a:endParaRPr/>
              </a:p>
            </c:rich>
          </c:tx>
          <c:layout>
            <c:manualLayout>
              <c:xMode val="edge"/>
              <c:yMode val="edge"/>
              <c:x val="0.191572"/>
              <c:y val="0.900797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54432"/>
        <c:crosses val="autoZero"/>
        <c:crossBetween val="midCat"/>
      </c:valAx>
      <c:valAx>
        <c:axId val="9435443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0"/>
        <c:majorTickMark val="out"/>
        <c:minorTickMark val="none"/>
        <c:tickLblPos val="low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52512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437"/>
          <c:y val="0.059524"/>
          <c:w val="0.827589"/>
          <c:h val="0.773813"/>
        </c:manualLayout>
      </c:layout>
      <c:scatterChart>
        <c:scatterStyle val="smoothMarker"/>
        <c:varyColors val="0"/>
        <c:ser>
          <c:idx val="0"/>
          <c:order val="0"/>
          <c:tx>
            <c:v>Positive</c:v>
          </c:tx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xVal>
            <c:numRef>
              <c:f>SuperServo!$AL$6:$AL$16</c:f>
              <c:numCache>
                <c:formatCode>0.0</c:formatCode>
                <c:ptCount val="11"/>
                <c:pt idx="0">
                  <c:v>29.99999999999996</c:v>
                </c:pt>
                <c:pt idx="1">
                  <c:v>27.5274336669175</c:v>
                </c:pt>
                <c:pt idx="2">
                  <c:v>24.85887761298059</c:v>
                </c:pt>
                <c:pt idx="3">
                  <c:v>22.03231759741204</c:v>
                </c:pt>
                <c:pt idx="4">
                  <c:v>19.0796802528375</c:v>
                </c:pt>
                <c:pt idx="5">
                  <c:v>16.027985051596477</c:v>
                </c:pt>
                <c:pt idx="6">
                  <c:v>12.900351108248666</c:v>
                </c:pt>
                <c:pt idx="7">
                  <c:v>9.716846985443551</c:v>
                </c:pt>
                <c:pt idx="8">
                  <c:v>6.4951957072771815</c:v>
                </c:pt>
                <c:pt idx="9">
                  <c:v>3.251355780544202</c:v>
                </c:pt>
                <c:pt idx="10">
                  <c:v>0</c:v>
                </c:pt>
              </c:numCache>
            </c:numRef>
          </c:xVal>
          <c:yVal>
            <c:numRef>
              <c:f>SuperServo!$AO$6:$AO$16</c:f>
              <c:numCache>
                <c:formatCode>0</c:formatCode>
                <c:ptCount val="11"/>
                <c:pt idx="0">
                  <c:v>111.47238009555812</c:v>
                </c:pt>
                <c:pt idx="1">
                  <c:v>112.52643307277849</c:v>
                </c:pt>
                <c:pt idx="2">
                  <c:v>109.3365508594359</c:v>
                </c:pt>
                <c:pt idx="3">
                  <c:v>102.56732719955022</c:v>
                </c:pt>
                <c:pt idx="4">
                  <c:v>92.82914380660965</c:v>
                </c:pt>
                <c:pt idx="5">
                  <c:v>80.67677231737545</c:v>
                </c:pt>
                <c:pt idx="6">
                  <c:v>66.61458781832287</c:v>
                </c:pt>
                <c:pt idx="7">
                  <c:v>51.103982890117706</c:v>
                </c:pt>
                <c:pt idx="8">
                  <c:v>34.570801801803846</c:v>
                </c:pt>
                <c:pt idx="9">
                  <c:v>17.411831174613333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Negative</c:v>
          </c:tx>
          <c:spPr bwMode="auto">
            <a:prstGeom prst="rect">
              <a:avLst/>
            </a:prstGeom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</c:dPt>
          <c:dPt>
            <c:idx val="1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</c:dPt>
          <c:xVal>
            <c:numRef>
              <c:f>SuperServo!$AL$16:$AL$26</c:f>
              <c:numCache>
                <c:formatCode>0.0</c:formatCode>
                <c:ptCount val="11"/>
                <c:pt idx="0">
                  <c:v>0</c:v>
                </c:pt>
                <c:pt idx="1">
                  <c:v>3.2450886227628413</c:v>
                </c:pt>
                <c:pt idx="2">
                  <c:v>6.47068821230115</c:v>
                </c:pt>
                <c:pt idx="3">
                  <c:v>9.663865164460681</c:v>
                </c:pt>
                <c:pt idx="4">
                  <c:v>12.81174963191109</c:v>
                </c:pt>
                <c:pt idx="5">
                  <c:v>15.901355855259698</c:v>
                </c:pt>
                <c:pt idx="6">
                  <c:v>18.91944758205714</c:v>
                </c:pt>
                <c:pt idx="7">
                  <c:v>21.85245229830195</c:v>
                </c:pt>
                <c:pt idx="8">
                  <c:v>24.686430992390562</c:v>
                </c:pt>
                <c:pt idx="9">
                  <c:v>27.407112252213878</c:v>
                </c:pt>
                <c:pt idx="10">
                  <c:v>30.000000000000018</c:v>
                </c:pt>
              </c:numCache>
            </c:numRef>
          </c:xVal>
          <c:yVal>
            <c:numRef>
              <c:f>SuperServo!$AO$16:$AO$26</c:f>
              <c:numCache>
                <c:formatCode>0</c:formatCode>
                <c:ptCount val="11"/>
                <c:pt idx="0">
                  <c:v>0</c:v>
                </c:pt>
                <c:pt idx="1">
                  <c:v>17.311776052431295</c:v>
                </c:pt>
                <c:pt idx="2">
                  <c:v>34.18806735810727</c:v>
                </c:pt>
                <c:pt idx="3">
                  <c:v>50.309668456155954</c:v>
                </c:pt>
                <c:pt idx="4">
                  <c:v>65.37357935251897</c:v>
                </c:pt>
                <c:pt idx="5">
                  <c:v>79.09425129855013</c:v>
                </c:pt>
                <c:pt idx="6">
                  <c:v>91.20615599305442</c:v>
                </c:pt>
                <c:pt idx="7">
                  <c:v>101.46775037538566</c:v>
                </c:pt>
                <c:pt idx="8">
                  <c:v>109.66687706505732</c:v>
                </c:pt>
                <c:pt idx="9">
                  <c:v>115.62753977033573</c:v>
                </c:pt>
                <c:pt idx="10">
                  <c:v>119.21780259048167</c:v>
                </c:pt>
              </c:numCache>
            </c:numRef>
          </c:yVal>
          <c:smooth val="1"/>
        </c:ser>
        <c:ser>
          <c:idx val="1"/>
          <c:order val="2"/>
          <c:tx>
            <c:v>Current</c:v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Lbls>
          <c:xVal>
            <c:numRef>
              <c:f>SuperServo!$AL$5</c:f>
              <c:numCache>
                <c:formatCode>0.0</c:formatCode>
                <c:ptCount val="1"/>
                <c:pt idx="0">
                  <c:v>9.663865164460681</c:v>
                </c:pt>
              </c:numCache>
            </c:numRef>
          </c:xVal>
          <c:yVal>
            <c:numRef>
              <c:f>SuperServo!$AO$5</c:f>
              <c:numCache>
                <c:formatCode>0</c:formatCode>
                <c:ptCount val="1"/>
                <c:pt idx="0">
                  <c:v>50.309668456155954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2633088"/>
        <c:axId val="62635008"/>
      </c:scatterChart>
      <c:valAx>
        <c:axId val="62633088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Control surface deflection (degrees)</a:t>
                </a:r>
                <a:endParaRPr/>
              </a:p>
            </c:rich>
          </c:tx>
          <c:layout>
            <c:manualLayout>
              <c:xMode val="edge"/>
              <c:yMode val="edge"/>
              <c:x val="0.199235"/>
              <c:y val="0.900797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635008"/>
        <c:crosses val="autoZero"/>
        <c:crossBetween val="midCat"/>
      </c:valAx>
      <c:valAx>
        <c:axId val="626350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1"/>
        <c:majorTickMark val="out"/>
        <c:minorTickMark val="none"/>
        <c:tickLblPos val="low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633088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 orientation="landscape" blackAndWhite="0" horizont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429"/>
          <c:y val="0.064103"/>
          <c:w val="0.732144"/>
          <c:h val="0.756413"/>
        </c:manualLayout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SuperServo!$AQ$16:$AQ$26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SuperServo!$AR$16:$AR$26</c:f>
              <c:numCache>
                <c:formatCode>0.00</c:formatCode>
                <c:ptCount val="11"/>
                <c:pt idx="0">
                  <c:v>0</c:v>
                </c:pt>
                <c:pt idx="1">
                  <c:v>0.006267157781360666</c:v>
                </c:pt>
                <c:pt idx="2">
                  <c:v>0.024507494976031552</c:v>
                </c:pt>
                <c:pt idx="3">
                  <c:v>0.052981820982870076</c:v>
                </c:pt>
                <c:pt idx="4">
                  <c:v>0.0886014763375762</c:v>
                </c:pt>
                <c:pt idx="5">
                  <c:v>0.12662919633677916</c:v>
                </c:pt>
                <c:pt idx="6">
                  <c:v>0.16023267078035985</c:v>
                </c:pt>
                <c:pt idx="7">
                  <c:v>0.1798652991100873</c:v>
                </c:pt>
                <c:pt idx="8">
                  <c:v>0.17244662059002636</c:v>
                </c:pt>
                <c:pt idx="9">
                  <c:v>0.12032141470362134</c:v>
                </c:pt>
                <c:pt idx="10">
                  <c:v>-5.684341886080802e-14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2646144"/>
        <c:axId val="62742528"/>
      </c:scatterChart>
      <c:valAx>
        <c:axId val="62646144"/>
        <c:scaling>
          <c:orientation val="minMax"/>
          <c:max val="1.000000"/>
          <c:min val="0.000000"/>
        </c:scaling>
        <c:delete val="0"/>
        <c:axPos val="b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Stick position</a:t>
                </a:r>
                <a:endParaRPr/>
              </a:p>
            </c:rich>
          </c:tx>
          <c:layout>
            <c:manualLayout>
              <c:xMode val="edge"/>
              <c:yMode val="edge"/>
              <c:x val="0.446429"/>
              <c:y val="0.893166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low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742528"/>
        <c:crosses val="autoZero"/>
        <c:crossBetween val="midCat"/>
        <c:majorUnit val="0.250000"/>
      </c:valAx>
      <c:valAx>
        <c:axId val="627425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0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Surface "play" </a:t>
                </a:r>
                <a:r>
                  <a:rPr lang="en-US" sz="800" b="0" i="0" u="sng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(degrees)</a:t>
                </a:r>
                <a:endParaRPr/>
              </a:p>
            </c:rich>
          </c:tx>
          <c:layout>
            <c:manualLayout>
              <c:xMode val="edge"/>
              <c:yMode val="edge"/>
              <c:x val="0.017857"/>
              <c:y val="0.175215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646144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429"/>
          <c:y val="0.064103"/>
          <c:w val="0.732144"/>
          <c:h val="0.756413"/>
        </c:manualLayout>
      </c:layout>
      <c:scatterChart>
        <c:scatterStyle val="smoothMarker"/>
        <c:varyColors val="0"/>
        <c:ser>
          <c:idx val="0"/>
          <c:order val="0"/>
          <c:spPr bwMode="auto">
            <a:prstGeom prst="rect">
              <a:avLst/>
            </a:prstGeom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SuperServo!$AQ$16:$AQ$26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SuperServo!$AS$16:$AS$26</c:f>
              <c:numCache>
                <c:formatCode>0.00</c:formatCode>
                <c:ptCount val="11"/>
                <c:pt idx="0">
                  <c:v>0</c:v>
                </c:pt>
                <c:pt idx="1">
                  <c:v>0.005469073442687105</c:v>
                </c:pt>
                <c:pt idx="2">
                  <c:v>0.02131955541143533</c:v>
                </c:pt>
                <c:pt idx="3">
                  <c:v>0.045627969299808196</c:v>
                </c:pt>
                <c:pt idx="4">
                  <c:v>0.0750223210132721</c:v>
                </c:pt>
                <c:pt idx="5">
                  <c:v>0.10469934256809764</c:v>
                </c:pt>
                <c:pt idx="6">
                  <c:v>0.12846847313985446</c:v>
                </c:pt>
                <c:pt idx="7">
                  <c:v>0.13884355901791795</c:v>
                </c:pt>
                <c:pt idx="8">
                  <c:v>0.1272170865075383</c:v>
                </c:pt>
                <c:pt idx="9">
                  <c:v>0.08417060360609376</c:v>
                </c:pt>
                <c:pt idx="10">
                  <c:v>-3.7395183105600814e-14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2761984"/>
        <c:axId val="62653568"/>
      </c:scatterChart>
      <c:valAx>
        <c:axId val="62761984"/>
        <c:scaling>
          <c:orientation val="minMax"/>
          <c:max val="1.000000"/>
          <c:min val="0.000000"/>
        </c:scaling>
        <c:delete val="0"/>
        <c:axPos val="b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Stick position</a:t>
                </a:r>
                <a:endParaRPr/>
              </a:p>
            </c:rich>
          </c:tx>
          <c:layout>
            <c:manualLayout>
              <c:xMode val="edge"/>
              <c:yMode val="edge"/>
              <c:x val="0.446429"/>
              <c:y val="0.893166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low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653568"/>
        <c:crosses val="autoZero"/>
        <c:crossBetween val="midCat"/>
        <c:majorUnit val="0.250000"/>
      </c:valAx>
      <c:valAx>
        <c:axId val="6265356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0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Maximum cable slack </a:t>
                </a:r>
                <a:r>
                  <a:rPr lang="en-US" sz="800" b="0" i="0" u="sng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(mm)</a:t>
                </a:r>
                <a:endParaRPr/>
              </a:p>
            </c:rich>
          </c:tx>
          <c:layout>
            <c:manualLayout>
              <c:xMode val="edge"/>
              <c:yMode val="edge"/>
              <c:x val="0.017857"/>
              <c:y val="0.158120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761984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 orientation="landscape" blackAndWhite="0" horizont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920"/>
          <c:y val="0.059524"/>
          <c:w val="0.762455"/>
          <c:h val="0.817463"/>
        </c:manualLayout>
      </c:layout>
      <c:scatterChart>
        <c:scatterStyle val="smoothMarker"/>
        <c:varyColors val="0"/>
        <c:ser>
          <c:idx val="0"/>
          <c:order val="0"/>
          <c:tx>
            <c:v>Positive</c:v>
          </c:tx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xVal>
            <c:numRef>
              <c:f>SuperServo!$AJ$6:$AJ$16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xVal>
          <c:yVal>
            <c:numRef>
              <c:f>SuperServo!$AK$6:$AK$16</c:f>
              <c:numCache>
                <c:formatCode>0.0</c:formatCode>
                <c:ptCount val="11"/>
                <c:pt idx="0">
                  <c:v>8.99999999999999</c:v>
                </c:pt>
                <c:pt idx="1">
                  <c:v>8.319118824125152</c:v>
                </c:pt>
                <c:pt idx="2">
                  <c:v>7.5669246071737515</c:v>
                </c:pt>
                <c:pt idx="3">
                  <c:v>6.752331187964051</c:v>
                </c:pt>
                <c:pt idx="4">
                  <c:v>5.883889600662021</c:v>
                </c:pt>
                <c:pt idx="5">
                  <c:v>4.969922997805367</c:v>
                </c:pt>
                <c:pt idx="6">
                  <c:v>4.018609608092183</c:v>
                </c:pt>
                <c:pt idx="7">
                  <c:v>3.0380256712195344</c:v>
                </c:pt>
                <c:pt idx="8">
                  <c:v>2.0361582296706366</c:v>
                </c:pt>
                <c:pt idx="9">
                  <c:v>1.0208954218374147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Negative</c:v>
          </c:tx>
          <c:spPr bwMode="auto">
            <a:prstGeom prst="rect">
              <a:avLst/>
            </a:prstGeom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</c:dPt>
          <c:dPt>
            <c:idx val="1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</c:dPt>
          <c:xVal>
            <c:numRef>
              <c:f>SuperServo!$AJ$16:$AJ$26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SuperServo!$AK$16:$AK$26</c:f>
              <c:numCache>
                <c:formatCode>0.0</c:formatCode>
                <c:ptCount val="11"/>
                <c:pt idx="0">
                  <c:v>0</c:v>
                </c:pt>
                <c:pt idx="1">
                  <c:v>1.0189296993082313</c:v>
                </c:pt>
                <c:pt idx="2">
                  <c:v>2.028508205897172</c:v>
                </c:pt>
                <c:pt idx="3">
                  <c:v>3.021618431933674</c:v>
                </c:pt>
                <c:pt idx="4">
                  <c:v>3.9914723989140874</c:v>
                </c:pt>
                <c:pt idx="5">
                  <c:v>4.931675593114264</c:v>
                </c:pt>
                <c:pt idx="6">
                  <c:v>5.836293430738883</c:v>
                </c:pt>
                <c:pt idx="7">
                  <c:v>6.699918174757314</c:v>
                </c:pt>
                <c:pt idx="8">
                  <c:v>7.517734302103039</c:v>
                </c:pt>
                <c:pt idx="9">
                  <c:v>8.285579779162658</c:v>
                </c:pt>
                <c:pt idx="10">
                  <c:v>9.000000000000004</c:v>
                </c:pt>
              </c:numCache>
            </c:numRef>
          </c:yVal>
          <c:smooth val="1"/>
        </c:ser>
        <c:ser>
          <c:idx val="1"/>
          <c:order val="2"/>
          <c:tx>
            <c:v>Current</c:v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Lbls>
          <c:xVal>
            <c:numRef>
              <c:f>SuperServo!$AJ$5</c:f>
              <c:numCache>
                <c:formatCode>0%</c:formatCode>
                <c:ptCount val="1"/>
                <c:pt idx="0">
                  <c:v>0.3</c:v>
                </c:pt>
              </c:numCache>
            </c:numRef>
          </c:xVal>
          <c:yVal>
            <c:numRef>
              <c:f>SuperServo!$AK$5</c:f>
              <c:numCache>
                <c:formatCode>0.0</c:formatCode>
                <c:ptCount val="1"/>
                <c:pt idx="0">
                  <c:v>3.021618431933674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2692736"/>
        <c:axId val="62698624"/>
      </c:scatterChart>
      <c:valAx>
        <c:axId val="62692736"/>
        <c:scaling>
          <c:orientation val="minMax"/>
          <c:max val="1.000000"/>
          <c:min val="0.000000"/>
        </c:scaling>
        <c:delete val="0"/>
        <c:axPos val="b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low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698624"/>
        <c:crosses val="autoZero"/>
        <c:crossBetween val="midCat"/>
        <c:majorUnit val="0.250000"/>
      </c:valAx>
      <c:valAx>
        <c:axId val="6269862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0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Trailing edge deflection</a:t>
                </a:r>
                <a:r>
                  <a:rPr lang="en-US" sz="800" b="0" i="1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 </a:t>
                </a:r>
                <a:r>
                  <a:rPr lang="en-US" sz="800" b="0" i="0" u="sng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(cm)</a:t>
                </a:r>
                <a:endParaRPr/>
              </a:p>
            </c:rich>
          </c:tx>
          <c:layout>
            <c:manualLayout>
              <c:xMode val="edge"/>
              <c:yMode val="edge"/>
              <c:x val="0.019157"/>
              <c:y val="0.194445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low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692736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  <a:bevel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Aileron Torque (oz-in) vs. Deflection</a:t>
            </a:r>
            <a:endParaRPr/>
          </a:p>
        </c:rich>
      </c:tx>
      <c:layout>
        <c:manualLayout>
          <c:xMode val="edge"/>
          <c:yMode val="edge"/>
          <c:x val="0.128676"/>
          <c:y val="0.016181"/>
        </c:manualLayout>
      </c:layout>
      <c:overlay val="0"/>
      <c:spPr bwMode="auto">
        <a:prstGeom prst="rect">
          <a:avLst/>
        </a:prstGeom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29"/>
          <c:y val="0.181230"/>
          <c:w val="0.783088"/>
          <c:h val="0.6796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SimpleServo!$Y$3</c:f>
              <c:strCache>
                <c:ptCount val="1"/>
                <c:pt idx="0">
                  <c:v>65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SimpleServo!$P$6:$P$12</c:f>
              <c:numCache>
                <c:formatCode>0</c:formatCode>
                <c:ptCount val="7"/>
                <c:pt idx="0">
                  <c:v>40</c:v>
                </c:pt>
                <c:pt idx="1">
                  <c:v>34</c:v>
                </c:pt>
                <c:pt idx="2">
                  <c:v>28</c:v>
                </c:pt>
                <c:pt idx="3">
                  <c:v>22</c:v>
                </c:pt>
                <c:pt idx="4">
                  <c:v>16</c:v>
                </c:pt>
                <c:pt idx="5">
                  <c:v>10</c:v>
                </c:pt>
                <c:pt idx="6">
                  <c:v>4</c:v>
                </c:pt>
              </c:numCache>
            </c:numRef>
          </c:xVal>
          <c:yVal>
            <c:numRef>
              <c:f>SimpleServo!$Y$6:$Y$12</c:f>
              <c:numCache>
                <c:formatCode>0</c:formatCode>
                <c:ptCount val="7"/>
                <c:pt idx="0">
                  <c:v>102.40037341428072</c:v>
                </c:pt>
                <c:pt idx="1">
                  <c:v>89.08317656269756</c:v>
                </c:pt>
                <c:pt idx="2">
                  <c:v>74.78996578684031</c:v>
                </c:pt>
                <c:pt idx="3">
                  <c:v>59.677340495015955</c:v>
                </c:pt>
                <c:pt idx="4">
                  <c:v>43.91087777244183</c:v>
                </c:pt>
                <c:pt idx="5">
                  <c:v>27.663318284050916</c:v>
                </c:pt>
                <c:pt idx="6">
                  <c:v>11.112673691618427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SimpleServo!$W$3</c:f>
              <c:strCache>
                <c:ptCount val="1"/>
                <c:pt idx="0">
                  <c:v>49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SimpleServo!$P$6:$P$12</c:f>
              <c:numCache>
                <c:formatCode>0</c:formatCode>
                <c:ptCount val="7"/>
                <c:pt idx="0">
                  <c:v>40</c:v>
                </c:pt>
                <c:pt idx="1">
                  <c:v>34</c:v>
                </c:pt>
                <c:pt idx="2">
                  <c:v>28</c:v>
                </c:pt>
                <c:pt idx="3">
                  <c:v>22</c:v>
                </c:pt>
                <c:pt idx="4">
                  <c:v>16</c:v>
                </c:pt>
                <c:pt idx="5">
                  <c:v>10</c:v>
                </c:pt>
                <c:pt idx="6">
                  <c:v>4</c:v>
                </c:pt>
              </c:numCache>
            </c:numRef>
          </c:xVal>
          <c:yVal>
            <c:numRef>
              <c:f>SimpleServo!$W$6:$W$12</c:f>
              <c:numCache>
                <c:formatCode>0</c:formatCode>
                <c:ptCount val="7"/>
                <c:pt idx="0">
                  <c:v>57.6002100455329</c:v>
                </c:pt>
                <c:pt idx="1">
                  <c:v>50.109286816517375</c:v>
                </c:pt>
                <c:pt idx="2">
                  <c:v>42.06935575509767</c:v>
                </c:pt>
                <c:pt idx="3">
                  <c:v>33.56850402844647</c:v>
                </c:pt>
                <c:pt idx="4">
                  <c:v>24.699868746998526</c:v>
                </c:pt>
                <c:pt idx="5">
                  <c:v>15.560616534778637</c:v>
                </c:pt>
                <c:pt idx="6">
                  <c:v>6.250878951535364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SimpleServo!$U$3</c:f>
              <c:strCache>
                <c:ptCount val="1"/>
                <c:pt idx="0">
                  <c:v>33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SimpleServo!$P$6:$P$12</c:f>
              <c:numCache>
                <c:formatCode>0</c:formatCode>
                <c:ptCount val="7"/>
                <c:pt idx="0">
                  <c:v>40</c:v>
                </c:pt>
                <c:pt idx="1">
                  <c:v>34</c:v>
                </c:pt>
                <c:pt idx="2">
                  <c:v>28</c:v>
                </c:pt>
                <c:pt idx="3">
                  <c:v>22</c:v>
                </c:pt>
                <c:pt idx="4">
                  <c:v>16</c:v>
                </c:pt>
                <c:pt idx="5">
                  <c:v>10</c:v>
                </c:pt>
                <c:pt idx="6">
                  <c:v>4</c:v>
                </c:pt>
              </c:numCache>
            </c:numRef>
          </c:xVal>
          <c:yVal>
            <c:numRef>
              <c:f>SimpleServo!$U$6:$U$12</c:f>
              <c:numCache>
                <c:formatCode>0</c:formatCode>
                <c:ptCount val="7"/>
                <c:pt idx="0">
                  <c:v>25.60009335357018</c:v>
                </c:pt>
                <c:pt idx="1">
                  <c:v>22.27079414067439</c:v>
                </c:pt>
                <c:pt idx="2">
                  <c:v>18.697491446710078</c:v>
                </c:pt>
                <c:pt idx="3">
                  <c:v>14.919335123753989</c:v>
                </c:pt>
                <c:pt idx="4">
                  <c:v>10.977719443110457</c:v>
                </c:pt>
                <c:pt idx="5">
                  <c:v>6.915829571012729</c:v>
                </c:pt>
                <c:pt idx="6">
                  <c:v>2.778168422904607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89204224"/>
        <c:axId val="89206144"/>
      </c:scatterChart>
      <c:valAx>
        <c:axId val="8920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Surface Deflection (degrees)</a:t>
                </a:r>
                <a:endParaRPr/>
              </a:p>
            </c:rich>
          </c:tx>
          <c:layout>
            <c:manualLayout>
              <c:xMode val="edge"/>
              <c:yMode val="edge"/>
              <c:x val="0.264706"/>
              <c:y val="0.919097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06144"/>
        <c:crosses val="autoZero"/>
        <c:crossBetween val="midCat"/>
      </c:valAx>
      <c:valAx>
        <c:axId val="8920614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04224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7353"/>
          <c:y val="0.093851"/>
          <c:w val="0.536765"/>
          <c:h val="0.071198"/>
        </c:manualLayout>
      </c:layout>
      <c:overlay val="0"/>
      <c:spPr bwMode="auto">
        <a:prstGeom prst="rect">
          <a:avLst/>
        </a:prstGeom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 orientation="landscape" blackAndWhite="0" horizont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920"/>
          <c:y val="0.059524"/>
          <c:w val="0.762455"/>
          <c:h val="0.817463"/>
        </c:manualLayout>
      </c:layout>
      <c:scatterChart>
        <c:scatterStyle val="smoothMarker"/>
        <c:varyColors val="0"/>
        <c:ser>
          <c:idx val="0"/>
          <c:order val="0"/>
          <c:tx>
            <c:v>Positive</c:v>
          </c:tx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</c:dPt>
          <c:xVal>
            <c:numRef>
              <c:f>SuperServo!$AJ$6:$AJ$16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xVal>
          <c:yVal>
            <c:numRef>
              <c:f>SuperServo!$AL$6:$AL$16</c:f>
              <c:numCache>
                <c:formatCode>0.0</c:formatCode>
                <c:ptCount val="11"/>
                <c:pt idx="0">
                  <c:v>29.99999999999996</c:v>
                </c:pt>
                <c:pt idx="1">
                  <c:v>27.5274336669175</c:v>
                </c:pt>
                <c:pt idx="2">
                  <c:v>24.85887761298059</c:v>
                </c:pt>
                <c:pt idx="3">
                  <c:v>22.03231759741204</c:v>
                </c:pt>
                <c:pt idx="4">
                  <c:v>19.0796802528375</c:v>
                </c:pt>
                <c:pt idx="5">
                  <c:v>16.027985051596477</c:v>
                </c:pt>
                <c:pt idx="6">
                  <c:v>12.900351108248666</c:v>
                </c:pt>
                <c:pt idx="7">
                  <c:v>9.716846985443551</c:v>
                </c:pt>
                <c:pt idx="8">
                  <c:v>6.4951957072771815</c:v>
                </c:pt>
                <c:pt idx="9">
                  <c:v>3.251355780544202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v>Negative</c:v>
          </c:tx>
          <c:spPr bwMode="auto">
            <a:prstGeom prst="rect">
              <a:avLst/>
            </a:prstGeom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000000"/>
                </a:solidFill>
                <a:ln>
                  <a:solidFill>
                    <a:srgbClr val="000000"/>
                  </a:solidFill>
                  <a:prstDash val="solid"/>
                </a:ln>
              </c:spPr>
            </c:marker>
            <c:bubble3D val="0"/>
          </c:dPt>
          <c:dPt>
            <c:idx val="10"/>
            <c:marker>
              <c:symbol val="circle"/>
              <c:size val="5"/>
              <c:spPr bwMode="auto">
                <a:prstGeom prst="rect">
                  <a:avLst/>
                </a:prstGeom>
                <a:solidFill>
                  <a:srgbClr val="0000FF"/>
                </a:solidFill>
                <a:ln>
                  <a:solidFill>
                    <a:srgbClr val="0000FF"/>
                  </a:solidFill>
                  <a:prstDash val="solid"/>
                </a:ln>
              </c:spPr>
            </c:marker>
            <c:bubble3D val="0"/>
          </c:dPt>
          <c:xVal>
            <c:numRef>
              <c:f>SuperServo!$AJ$16:$AJ$26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SuperServo!$AL$16:$AL$26</c:f>
              <c:numCache>
                <c:formatCode>0.0</c:formatCode>
                <c:ptCount val="11"/>
                <c:pt idx="0">
                  <c:v>0</c:v>
                </c:pt>
                <c:pt idx="1">
                  <c:v>3.2450886227628413</c:v>
                </c:pt>
                <c:pt idx="2">
                  <c:v>6.47068821230115</c:v>
                </c:pt>
                <c:pt idx="3">
                  <c:v>9.663865164460681</c:v>
                </c:pt>
                <c:pt idx="4">
                  <c:v>12.81174963191109</c:v>
                </c:pt>
                <c:pt idx="5">
                  <c:v>15.901355855259698</c:v>
                </c:pt>
                <c:pt idx="6">
                  <c:v>18.91944758205714</c:v>
                </c:pt>
                <c:pt idx="7">
                  <c:v>21.85245229830195</c:v>
                </c:pt>
                <c:pt idx="8">
                  <c:v>24.686430992390562</c:v>
                </c:pt>
                <c:pt idx="9">
                  <c:v>27.407112252213878</c:v>
                </c:pt>
                <c:pt idx="10">
                  <c:v>30.000000000000018</c:v>
                </c:pt>
              </c:numCache>
            </c:numRef>
          </c:yVal>
          <c:smooth val="1"/>
        </c:ser>
        <c:ser>
          <c:idx val="1"/>
          <c:order val="2"/>
          <c:tx>
            <c:v>Current</c:v>
          </c:tx>
          <c:spPr bwMode="auto">
            <a:prstGeom prst="rect">
              <a:avLst/>
            </a:prstGeom>
            <a:ln w="28575"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" sourceLinked="0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>
                    <a:solidFill>
                      <a:srgbClr val="FFFF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</c:dLbls>
          <c:xVal>
            <c:numRef>
              <c:f>SuperServo!$AJ$5</c:f>
              <c:numCache>
                <c:formatCode>0%</c:formatCode>
                <c:ptCount val="1"/>
                <c:pt idx="0">
                  <c:v>0.3</c:v>
                </c:pt>
              </c:numCache>
            </c:numRef>
          </c:xVal>
          <c:yVal>
            <c:numRef>
              <c:f>SuperServo!$AL$5</c:f>
              <c:numCache>
                <c:formatCode>0.0</c:formatCode>
                <c:ptCount val="1"/>
                <c:pt idx="0">
                  <c:v>9.663865164460681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4027136"/>
        <c:axId val="62805120"/>
      </c:scatterChart>
      <c:valAx>
        <c:axId val="94027136"/>
        <c:scaling>
          <c:orientation val="minMax"/>
          <c:max val="1.000000"/>
          <c:min val="0.000000"/>
        </c:scaling>
        <c:delete val="0"/>
        <c:axPos val="b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low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805120"/>
        <c:crosses val="autoZero"/>
        <c:crossBetween val="midCat"/>
        <c:majorUnit val="0.250000"/>
      </c:valAx>
      <c:valAx>
        <c:axId val="6280512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00" b="0" i="0" u="none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Control deflection </a:t>
                </a:r>
                <a:r>
                  <a:rPr lang="en-US" sz="800" b="0" i="0" u="sng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(degrees)</a:t>
                </a:r>
                <a:endParaRPr/>
              </a:p>
            </c:rich>
          </c:tx>
          <c:layout>
            <c:manualLayout>
              <c:xMode val="edge"/>
              <c:yMode val="edge"/>
              <c:x val="0.019157"/>
              <c:y val="0.202382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low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27136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 orientation="landscape" blackAndWhite="0" horizont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235"/>
          <c:y val="0.257353"/>
          <c:w val="0.705882"/>
          <c:h val="0.51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ServoTest!$B$1</c:f>
              <c:strCache>
                <c:ptCount val="1"/>
                <c:pt idx="0">
                  <c:v>M4 ts51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ServoTest!$B$2:$B$5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ServoTest!$C$1</c:f>
              <c:strCache>
                <c:ptCount val="1"/>
                <c:pt idx="0">
                  <c:v>M5 ts51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ServoTest!$C$2:$C$5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28</c:v>
                </c:pt>
                <c:pt idx="3">
                  <c:v>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ServoTest!$D$1</c:f>
              <c:strCache>
                <c:ptCount val="1"/>
                <c:pt idx="0">
                  <c:v>H4 ts51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ServoTest!$D$2:$D$5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32</c:v>
                </c:pt>
                <c:pt idx="3">
                  <c:v>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ServoTest!$E$1</c:f>
              <c:strCache>
                <c:ptCount val="1"/>
                <c:pt idx="0">
                  <c:v>H5 ts51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 bwMode="auto">
              <a:prstGeom prst="rect">
                <a:avLst/>
              </a:prstGeom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ServoTest!$E$2:$E$5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3216256"/>
        <c:axId val="63218816"/>
      </c:scatterChart>
      <c:valAx>
        <c:axId val="63216256"/>
        <c:scaling>
          <c:orientation val="minMax"/>
          <c:max val="15.0000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/>
                  <a:t>Degrees off center</a:t>
                </a:r>
                <a:endParaRPr/>
              </a:p>
            </c:rich>
          </c:tx>
          <c:layout>
            <c:manualLayout>
              <c:xMode val="edge"/>
              <c:yMode val="edge"/>
              <c:x val="0.367647"/>
              <c:y val="0.867647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218816"/>
        <c:crosses val="autoZero"/>
        <c:crossBetween val="midCat"/>
      </c:valAx>
      <c:valAx>
        <c:axId val="632188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/>
                  <a:t>Torque (oz in)</a:t>
                </a:r>
                <a:endParaRPr/>
              </a:p>
            </c:rich>
          </c:tx>
          <c:layout>
            <c:manualLayout>
              <c:xMode val="edge"/>
              <c:yMode val="edge"/>
              <c:x val="0.055147"/>
              <c:y val="0.363971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216256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90441"/>
          <c:y val="0.029412"/>
          <c:w val="0.834559"/>
          <c:h val="0.180147"/>
        </c:manualLayout>
      </c:layout>
      <c:overlay val="0"/>
      <c:spPr bwMode="auto">
        <a:prstGeom prst="rect">
          <a:avLst/>
        </a:prstGeom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235"/>
          <c:y val="0.257353"/>
          <c:w val="0.705882"/>
          <c:h val="0.51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ServoTest!$F$1</c:f>
              <c:strCache>
                <c:ptCount val="1"/>
                <c:pt idx="0">
                  <c:v>M4 ts11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ServoTest!$F$2:$F$5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23</c:v>
                </c:pt>
                <c:pt idx="3">
                  <c:v>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ServoTest!$G$1</c:f>
              <c:strCache>
                <c:ptCount val="1"/>
                <c:pt idx="0">
                  <c:v>M5 ts11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ServoTest!$G$2:$G$5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30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ServoTest!$H$1</c:f>
              <c:strCache>
                <c:ptCount val="1"/>
                <c:pt idx="0">
                  <c:v>H4 ts11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ServoTest!$H$2:$H$5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ServoTest!$I$1</c:f>
              <c:strCache>
                <c:ptCount val="1"/>
                <c:pt idx="0">
                  <c:v>H5 ts11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 bwMode="auto">
              <a:prstGeom prst="rect">
                <a:avLst/>
              </a:prstGeom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ServoTest!$I$2:$I$5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29</c:v>
                </c:pt>
                <c:pt idx="3">
                  <c:v>42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3134336"/>
        <c:axId val="63145088"/>
      </c:scatterChart>
      <c:valAx>
        <c:axId val="63134336"/>
        <c:scaling>
          <c:orientation val="minMax"/>
          <c:max val="15.0000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/>
                  <a:t>Degrees off center</a:t>
                </a:r>
                <a:endParaRPr/>
              </a:p>
            </c:rich>
          </c:tx>
          <c:layout>
            <c:manualLayout>
              <c:xMode val="edge"/>
              <c:yMode val="edge"/>
              <c:x val="0.367647"/>
              <c:y val="0.867647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45088"/>
        <c:crosses val="autoZero"/>
        <c:crossBetween val="midCat"/>
      </c:valAx>
      <c:valAx>
        <c:axId val="631450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/>
                  <a:t>Torque (oz in)</a:t>
                </a:r>
                <a:endParaRPr/>
              </a:p>
            </c:rich>
          </c:tx>
          <c:layout>
            <c:manualLayout>
              <c:xMode val="edge"/>
              <c:yMode val="edge"/>
              <c:x val="0.055147"/>
              <c:y val="0.363971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134336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90441"/>
          <c:y val="0.029412"/>
          <c:w val="0.834559"/>
          <c:h val="0.180147"/>
        </c:manualLayout>
      </c:layout>
      <c:overlay val="0"/>
      <c:spPr bwMode="auto">
        <a:prstGeom prst="rect">
          <a:avLst/>
        </a:prstGeom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235"/>
          <c:y val="0.257353"/>
          <c:w val="0.705882"/>
          <c:h val="0.51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ServoTest!$J$1</c:f>
              <c:strCache>
                <c:ptCount val="1"/>
                <c:pt idx="0">
                  <c:v>M4 ts57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ServoTest!$J$2:$J$5</c:f>
              <c:numCache>
                <c:formatCode>General</c:formatCode>
                <c:ptCount val="4"/>
                <c:pt idx="0">
                  <c:v>0</c:v>
                </c:pt>
                <c:pt idx="1">
                  <c:v>19</c:v>
                </c:pt>
                <c:pt idx="2">
                  <c:v>27</c:v>
                </c:pt>
                <c:pt idx="3">
                  <c:v>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ServoTest!$K$1</c:f>
              <c:strCache>
                <c:ptCount val="1"/>
                <c:pt idx="0">
                  <c:v>M5 ts57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ServoTest!$K$2:$K$5</c:f>
              <c:numCache>
                <c:formatCode>General</c:formatCode>
                <c:ptCount val="4"/>
                <c:pt idx="0">
                  <c:v>0</c:v>
                </c:pt>
                <c:pt idx="1">
                  <c:v>21</c:v>
                </c:pt>
                <c:pt idx="2">
                  <c:v>35</c:v>
                </c:pt>
                <c:pt idx="3">
                  <c:v>39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ServoTest!$L$1</c:f>
              <c:strCache>
                <c:ptCount val="1"/>
                <c:pt idx="0">
                  <c:v>H4 ts57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ServoTest!$L$2:$L$5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34</c:v>
                </c:pt>
                <c:pt idx="3">
                  <c:v>40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ServoTest!$M$1</c:f>
              <c:strCache>
                <c:ptCount val="1"/>
                <c:pt idx="0">
                  <c:v>H5 ts57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 bwMode="auto">
              <a:prstGeom prst="rect">
                <a:avLst/>
              </a:prstGeom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ServoTest!$M$2:$M$5</c:f>
              <c:numCache>
                <c:formatCode>General</c:formatCode>
                <c:ptCount val="4"/>
                <c:pt idx="0">
                  <c:v>0</c:v>
                </c:pt>
                <c:pt idx="1">
                  <c:v>27</c:v>
                </c:pt>
                <c:pt idx="2">
                  <c:v>38</c:v>
                </c:pt>
                <c:pt idx="3">
                  <c:v>46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3343232"/>
        <c:axId val="63349888"/>
      </c:scatterChart>
      <c:valAx>
        <c:axId val="63343232"/>
        <c:scaling>
          <c:orientation val="minMax"/>
          <c:max val="15.0000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/>
                  <a:t>Degrees off center</a:t>
                </a:r>
                <a:endParaRPr/>
              </a:p>
            </c:rich>
          </c:tx>
          <c:layout>
            <c:manualLayout>
              <c:xMode val="edge"/>
              <c:yMode val="edge"/>
              <c:x val="0.367647"/>
              <c:y val="0.867647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349888"/>
        <c:crosses val="autoZero"/>
        <c:crossBetween val="midCat"/>
      </c:valAx>
      <c:valAx>
        <c:axId val="6334988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/>
                  <a:t>Torque (oz in)</a:t>
                </a:r>
                <a:endParaRPr/>
              </a:p>
            </c:rich>
          </c:tx>
          <c:layout>
            <c:manualLayout>
              <c:xMode val="edge"/>
              <c:yMode val="edge"/>
              <c:x val="0.055147"/>
              <c:y val="0.363971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343232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90441"/>
          <c:y val="0.029412"/>
          <c:w val="0.834559"/>
          <c:h val="0.180147"/>
        </c:manualLayout>
      </c:layout>
      <c:overlay val="0"/>
      <c:spPr bwMode="auto">
        <a:prstGeom prst="rect">
          <a:avLst/>
        </a:prstGeom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235"/>
          <c:y val="0.257353"/>
          <c:w val="0.705882"/>
          <c:h val="0.51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ServoTest!$N$1</c:f>
              <c:strCache>
                <c:ptCount val="1"/>
                <c:pt idx="0">
                  <c:v>M4 hs422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ServoTest!$N$2:$N$5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32</c:v>
                </c:pt>
                <c:pt idx="3">
                  <c:v>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ServoTest!$O$1</c:f>
              <c:strCache>
                <c:ptCount val="1"/>
                <c:pt idx="0">
                  <c:v>M5 hs422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ServoTest!$O$2:$O$5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35</c:v>
                </c:pt>
                <c:pt idx="3">
                  <c:v>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ServoTest!$P$1</c:f>
              <c:strCache>
                <c:ptCount val="1"/>
                <c:pt idx="0">
                  <c:v>H4 hs422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ServoTest!$P$2:$P$5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ServoTest!$Q$1</c:f>
              <c:strCache>
                <c:ptCount val="1"/>
                <c:pt idx="0">
                  <c:v>H5 hs422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 bwMode="auto">
              <a:prstGeom prst="rect">
                <a:avLst/>
              </a:prstGeom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ServoTest!$Q$2:$Q$5</c:f>
              <c:numCache>
                <c:formatCode>General</c:formatCode>
                <c:ptCount val="4"/>
                <c:pt idx="0">
                  <c:v>0</c:v>
                </c:pt>
                <c:pt idx="1">
                  <c:v>31</c:v>
                </c:pt>
                <c:pt idx="2">
                  <c:v>52</c:v>
                </c:pt>
                <c:pt idx="3">
                  <c:v>65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3449728"/>
        <c:axId val="63480960"/>
      </c:scatterChart>
      <c:valAx>
        <c:axId val="63449728"/>
        <c:scaling>
          <c:orientation val="minMax"/>
          <c:max val="15.0000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/>
                  <a:t>Degrees off center</a:t>
                </a:r>
                <a:endParaRPr/>
              </a:p>
            </c:rich>
          </c:tx>
          <c:layout>
            <c:manualLayout>
              <c:xMode val="edge"/>
              <c:yMode val="edge"/>
              <c:x val="0.367647"/>
              <c:y val="0.867647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480960"/>
        <c:crosses val="autoZero"/>
        <c:crossBetween val="midCat"/>
      </c:valAx>
      <c:valAx>
        <c:axId val="6348096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/>
                  <a:t>Torque (oz in)</a:t>
                </a:r>
                <a:endParaRPr/>
              </a:p>
            </c:rich>
          </c:tx>
          <c:layout>
            <c:manualLayout>
              <c:xMode val="edge"/>
              <c:yMode val="edge"/>
              <c:x val="0.055147"/>
              <c:y val="0.363971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449728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57353"/>
          <c:y val="0.029412"/>
          <c:w val="0.867647"/>
          <c:h val="0.180147"/>
        </c:manualLayout>
      </c:layout>
      <c:overlay val="0"/>
      <c:spPr bwMode="auto">
        <a:prstGeom prst="rect">
          <a:avLst/>
        </a:prstGeom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235"/>
          <c:y val="0.257353"/>
          <c:w val="0.705882"/>
          <c:h val="0.5110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ServoTest!$R$1</c:f>
              <c:strCache>
                <c:ptCount val="1"/>
                <c:pt idx="0">
                  <c:v>M4 jr517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 bwMode="auto">
              <a:prstGeom prst="rect">
                <a:avLst/>
              </a:prstGeom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ServoTest!$R$2:$R$5</c:f>
              <c:numCache>
                <c:formatCode>0</c:formatCode>
                <c:ptCount val="4"/>
                <c:pt idx="0" formatCode="General">
                  <c:v>0</c:v>
                </c:pt>
                <c:pt idx="1">
                  <c:v>18.5</c:v>
                </c:pt>
                <c:pt idx="2">
                  <c:v>32.5</c:v>
                </c:pt>
                <c:pt idx="3">
                  <c:v>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ServoTest!$S$1</c:f>
              <c:strCache>
                <c:ptCount val="1"/>
                <c:pt idx="0">
                  <c:v>M5 jr517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 bwMode="auto">
              <a:prstGeom prst="rect">
                <a:avLst/>
              </a:prstGeom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ServoTest!$S$2:$S$5</c:f>
              <c:numCache>
                <c:formatCode>0</c:formatCode>
                <c:ptCount val="4"/>
                <c:pt idx="0" formatCode="General">
                  <c:v>0</c:v>
                </c:pt>
                <c:pt idx="1">
                  <c:v>19.5</c:v>
                </c:pt>
                <c:pt idx="2">
                  <c:v>35</c:v>
                </c:pt>
                <c:pt idx="3">
                  <c:v>44.5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ServoTest!$T$1</c:f>
              <c:strCache>
                <c:ptCount val="1"/>
                <c:pt idx="0">
                  <c:v>H4 jr517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 bwMode="auto">
              <a:prstGeom prst="rect">
                <a:avLst/>
              </a:prstGeom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ServoTest!$T$2:$T$5</c:f>
              <c:numCache>
                <c:formatCode>0</c:formatCode>
                <c:ptCount val="4"/>
                <c:pt idx="0" formatCode="General">
                  <c:v>0</c:v>
                </c:pt>
                <c:pt idx="1">
                  <c:v>26.5</c:v>
                </c:pt>
                <c:pt idx="2">
                  <c:v>39.5</c:v>
                </c:pt>
                <c:pt idx="3">
                  <c:v>50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ServoTest!$U$1</c:f>
              <c:strCache>
                <c:ptCount val="1"/>
                <c:pt idx="0">
                  <c:v>H5 jr517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 bwMode="auto">
              <a:prstGeom prst="rect">
                <a:avLst/>
              </a:prstGeom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ServoTest!$A$2:$A$5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ServoTest!$U$2:$U$5</c:f>
              <c:numCache>
                <c:formatCode>0</c:formatCode>
                <c:ptCount val="4"/>
                <c:pt idx="0" formatCode="General">
                  <c:v>0</c:v>
                </c:pt>
                <c:pt idx="1">
                  <c:v>33.5</c:v>
                </c:pt>
                <c:pt idx="2">
                  <c:v>47.5</c:v>
                </c:pt>
                <c:pt idx="3">
                  <c:v>63.5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3527936"/>
        <c:axId val="63530496"/>
      </c:scatterChart>
      <c:valAx>
        <c:axId val="63527936"/>
        <c:scaling>
          <c:orientation val="minMax"/>
          <c:max val="15.000000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/>
                  <a:t>Degrees off center</a:t>
                </a:r>
                <a:endParaRPr/>
              </a:p>
            </c:rich>
          </c:tx>
          <c:layout>
            <c:manualLayout>
              <c:xMode val="edge"/>
              <c:yMode val="edge"/>
              <c:x val="0.367647"/>
              <c:y val="0.867647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30496"/>
        <c:crosses val="autoZero"/>
        <c:crossBetween val="midCat"/>
      </c:valAx>
      <c:valAx>
        <c:axId val="6353049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/>
                  <a:t>Torque (oz in)</a:t>
                </a:r>
                <a:endParaRPr/>
              </a:p>
            </c:rich>
          </c:tx>
          <c:layout>
            <c:manualLayout>
              <c:xMode val="edge"/>
              <c:yMode val="edge"/>
              <c:x val="0.055147"/>
              <c:y val="0.363971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27936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79412"/>
          <c:y val="0.029412"/>
          <c:w val="0.845588"/>
          <c:h val="0.180147"/>
        </c:manualLayout>
      </c:layout>
      <c:overlay val="0"/>
      <c:spPr bwMode="auto">
        <a:prstGeom prst="rect">
          <a:avLst/>
        </a:prstGeom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Rudder Torque (oz-in) vs. Deflection</a:t>
            </a:r>
            <a:endParaRPr/>
          </a:p>
        </c:rich>
      </c:tx>
      <c:layout>
        <c:manualLayout>
          <c:xMode val="edge"/>
          <c:yMode val="edge"/>
          <c:x val="0.128676"/>
          <c:y val="0.016181"/>
        </c:manualLayout>
      </c:layout>
      <c:overlay val="0"/>
      <c:spPr bwMode="auto">
        <a:prstGeom prst="rect">
          <a:avLst/>
        </a:prstGeom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29"/>
          <c:y val="0.181230"/>
          <c:w val="0.783088"/>
          <c:h val="0.6796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SimpleServo!$Y$3</c:f>
              <c:strCache>
                <c:ptCount val="1"/>
                <c:pt idx="0">
                  <c:v>65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SimpleServo!$P$20:$P$26</c:f>
              <c:numCache>
                <c:formatCode>0</c:formatCode>
                <c:ptCount val="7"/>
                <c:pt idx="0">
                  <c:v>45</c:v>
                </c:pt>
                <c:pt idx="1">
                  <c:v>38.25</c:v>
                </c:pt>
                <c:pt idx="2">
                  <c:v>31.5</c:v>
                </c:pt>
                <c:pt idx="3">
                  <c:v>24.75</c:v>
                </c:pt>
                <c:pt idx="4">
                  <c:v>18</c:v>
                </c:pt>
                <c:pt idx="5">
                  <c:v>11.25</c:v>
                </c:pt>
                <c:pt idx="6">
                  <c:v>4.5</c:v>
                </c:pt>
              </c:numCache>
            </c:numRef>
          </c:xVal>
          <c:yVal>
            <c:numRef>
              <c:f>SimpleServo!$Y$20:$Y$26</c:f>
              <c:numCache>
                <c:formatCode>0</c:formatCode>
                <c:ptCount val="7"/>
                <c:pt idx="0">
                  <c:v>230.7804200748408</c:v>
                </c:pt>
                <c:pt idx="1">
                  <c:v>202.05542569930853</c:v>
                </c:pt>
                <c:pt idx="2">
                  <c:v>170.52931956232547</c:v>
                </c:pt>
                <c:pt idx="3">
                  <c:v>136.6391507873555</c:v>
                </c:pt>
                <c:pt idx="4">
                  <c:v>100.85474170173583</c:v>
                </c:pt>
                <c:pt idx="5">
                  <c:v>63.67217464930542</c:v>
                </c:pt>
                <c:pt idx="6">
                  <c:v>25.606914758164784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SimpleServo!$W$3</c:f>
              <c:strCache>
                <c:ptCount val="1"/>
                <c:pt idx="0">
                  <c:v>49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SimpleServo!$P$20:$P$26</c:f>
              <c:numCache>
                <c:formatCode>0</c:formatCode>
                <c:ptCount val="7"/>
                <c:pt idx="0">
                  <c:v>45</c:v>
                </c:pt>
                <c:pt idx="1">
                  <c:v>38.25</c:v>
                </c:pt>
                <c:pt idx="2">
                  <c:v>31.5</c:v>
                </c:pt>
                <c:pt idx="3">
                  <c:v>24.75</c:v>
                </c:pt>
                <c:pt idx="4">
                  <c:v>18</c:v>
                </c:pt>
                <c:pt idx="5">
                  <c:v>11.25</c:v>
                </c:pt>
                <c:pt idx="6">
                  <c:v>4.5</c:v>
                </c:pt>
              </c:numCache>
            </c:numRef>
          </c:xVal>
          <c:yVal>
            <c:numRef>
              <c:f>SimpleServo!$W$20:$W$26</c:f>
              <c:numCache>
                <c:formatCode>0</c:formatCode>
                <c:ptCount val="7"/>
                <c:pt idx="0">
                  <c:v>129.81398629209798</c:v>
                </c:pt>
                <c:pt idx="1">
                  <c:v>113.65617695586107</c:v>
                </c:pt>
                <c:pt idx="2">
                  <c:v>95.92274225380808</c:v>
                </c:pt>
                <c:pt idx="3">
                  <c:v>76.85952231788747</c:v>
                </c:pt>
                <c:pt idx="4">
                  <c:v>56.7307922072264</c:v>
                </c:pt>
                <c:pt idx="5">
                  <c:v>35.8155982402343</c:v>
                </c:pt>
                <c:pt idx="6">
                  <c:v>14.403889551467694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SimpleServo!$U$3</c:f>
              <c:strCache>
                <c:ptCount val="1"/>
                <c:pt idx="0">
                  <c:v>33</c:v>
                </c:pt>
              </c:strCache>
            </c:strRef>
          </c:tx>
          <c:spPr bwMode="auto">
            <a:prstGeom prst="rect">
              <a:avLst/>
            </a:prstGeom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SimpleServo!$P$20:$P$26</c:f>
              <c:numCache>
                <c:formatCode>0</c:formatCode>
                <c:ptCount val="7"/>
                <c:pt idx="0">
                  <c:v>45</c:v>
                </c:pt>
                <c:pt idx="1">
                  <c:v>38.25</c:v>
                </c:pt>
                <c:pt idx="2">
                  <c:v>31.5</c:v>
                </c:pt>
                <c:pt idx="3">
                  <c:v>24.75</c:v>
                </c:pt>
                <c:pt idx="4">
                  <c:v>18</c:v>
                </c:pt>
                <c:pt idx="5">
                  <c:v>11.25</c:v>
                </c:pt>
                <c:pt idx="6">
                  <c:v>4.5</c:v>
                </c:pt>
              </c:numCache>
            </c:numRef>
          </c:xVal>
          <c:yVal>
            <c:numRef>
              <c:f>SimpleServo!$U$20:$U$26</c:f>
              <c:numCache>
                <c:formatCode>0</c:formatCode>
                <c:ptCount val="7"/>
                <c:pt idx="0">
                  <c:v>57.6951050187102</c:v>
                </c:pt>
                <c:pt idx="1">
                  <c:v>50.51385642482713</c:v>
                </c:pt>
                <c:pt idx="2">
                  <c:v>42.63232989058137</c:v>
                </c:pt>
                <c:pt idx="3">
                  <c:v>34.159787696838876</c:v>
                </c:pt>
                <c:pt idx="4">
                  <c:v>25.213685425433958</c:v>
                </c:pt>
                <c:pt idx="5">
                  <c:v>15.918043662326355</c:v>
                </c:pt>
                <c:pt idx="6">
                  <c:v>6.401728689541196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89236224"/>
        <c:axId val="89238144"/>
      </c:scatterChart>
      <c:valAx>
        <c:axId val="8923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Surface Deflection (degrees)</a:t>
                </a:r>
                <a:endParaRPr/>
              </a:p>
            </c:rich>
          </c:tx>
          <c:layout>
            <c:manualLayout>
              <c:xMode val="edge"/>
              <c:yMode val="edge"/>
              <c:x val="0.264706"/>
              <c:y val="0.919097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8144"/>
        <c:crosses val="autoZero"/>
        <c:crossBetween val="midCat"/>
      </c:valAx>
      <c:valAx>
        <c:axId val="8923814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36224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7353"/>
          <c:y val="0.093851"/>
          <c:w val="0.536765"/>
          <c:h val="0.071198"/>
        </c:manualLayout>
      </c:layout>
      <c:overlay val="0"/>
      <c:spPr bwMode="auto">
        <a:prstGeom prst="rect">
          <a:avLst/>
        </a:prstGeom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334"/>
          <c:y val="0.128631"/>
          <c:w val="0.783336"/>
          <c:h val="0.676350"/>
        </c:manualLayout>
      </c:layout>
      <c:scatterChart>
        <c:scatterStyle val="smoothMarker"/>
        <c:varyColors val="0"/>
        <c:ser>
          <c:idx val="0"/>
          <c:order val="0"/>
          <c:tx>
            <c:v>Rudder+</c:v>
          </c:tx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StdServo!$Q$22:$Q$29</c:f>
              <c:numCache>
                <c:formatCode>0</c:formatCode>
                <c:ptCount val="8"/>
                <c:pt idx="0">
                  <c:v>30</c:v>
                </c:pt>
                <c:pt idx="1">
                  <c:v>26.1</c:v>
                </c:pt>
                <c:pt idx="2">
                  <c:v>22.200000000000003</c:v>
                </c:pt>
                <c:pt idx="3">
                  <c:v>18.300000000000004</c:v>
                </c:pt>
                <c:pt idx="4">
                  <c:v>14.400000000000004</c:v>
                </c:pt>
                <c:pt idx="5">
                  <c:v>10.500000000000004</c:v>
                </c:pt>
                <c:pt idx="6">
                  <c:v>6.600000000000003</c:v>
                </c:pt>
                <c:pt idx="7">
                  <c:v>2.700000000000003</c:v>
                </c:pt>
              </c:numCache>
            </c:numRef>
          </c:xVal>
          <c:yVal>
            <c:numRef>
              <c:f>StdServo!$Z$22:$Z$29</c:f>
              <c:numCache>
                <c:formatCode>0</c:formatCode>
                <c:ptCount val="8"/>
                <c:pt idx="0">
                  <c:v>86.44686378491127</c:v>
                </c:pt>
                <c:pt idx="1">
                  <c:v>111.66300379730545</c:v>
                </c:pt>
                <c:pt idx="2">
                  <c:v>112.22399549103875</c:v>
                </c:pt>
                <c:pt idx="3">
                  <c:v>101.55975883372236</c:v>
                </c:pt>
                <c:pt idx="4">
                  <c:v>84.57853024435252</c:v>
                </c:pt>
                <c:pt idx="5">
                  <c:v>63.82234633994945</c:v>
                </c:pt>
                <c:pt idx="6">
                  <c:v>40.865863571879316</c:v>
                </c:pt>
                <c:pt idx="7">
                  <c:v>16.819922254123167</c:v>
                </c:pt>
              </c:numCache>
            </c:numRef>
          </c:yVal>
          <c:smooth val="1"/>
        </c:ser>
        <c:ser>
          <c:idx val="1"/>
          <c:order val="1"/>
          <c:tx>
            <c:v>Rudder-</c:v>
          </c:tx>
          <c:spPr bwMode="auto">
            <a:prstGeom prst="rect">
              <a:avLst/>
            </a:prstGeom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StdServo!$AC$22:$AC$29</c:f>
              <c:numCache>
                <c:formatCode>0</c:formatCode>
                <c:ptCount val="8"/>
                <c:pt idx="0">
                  <c:v>30</c:v>
                </c:pt>
                <c:pt idx="1">
                  <c:v>26.1</c:v>
                </c:pt>
                <c:pt idx="2">
                  <c:v>22.200000000000003</c:v>
                </c:pt>
                <c:pt idx="3">
                  <c:v>18.300000000000004</c:v>
                </c:pt>
                <c:pt idx="4">
                  <c:v>14.400000000000004</c:v>
                </c:pt>
                <c:pt idx="5">
                  <c:v>10.500000000000004</c:v>
                </c:pt>
                <c:pt idx="6">
                  <c:v>6.600000000000003</c:v>
                </c:pt>
                <c:pt idx="7">
                  <c:v>2.700000000000003</c:v>
                </c:pt>
              </c:numCache>
            </c:numRef>
          </c:xVal>
          <c:yVal>
            <c:numRef>
              <c:f>StdServo!$AL$22:$AL$29</c:f>
              <c:numCache>
                <c:formatCode>0</c:formatCode>
                <c:ptCount val="8"/>
                <c:pt idx="0">
                  <c:v>111.8514607630869</c:v>
                </c:pt>
                <c:pt idx="1">
                  <c:v>114.85781143771695</c:v>
                </c:pt>
                <c:pt idx="2">
                  <c:v>109.11872744533241</c:v>
                </c:pt>
                <c:pt idx="3">
                  <c:v>97.33806234144714</c:v>
                </c:pt>
                <c:pt idx="4">
                  <c:v>81.15748933627825</c:v>
                </c:pt>
                <c:pt idx="5">
                  <c:v>61.734306046328875</c:v>
                </c:pt>
                <c:pt idx="6">
                  <c:v>39.97703844633304</c:v>
                </c:pt>
                <c:pt idx="7">
                  <c:v>16.665820509631622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0692992"/>
        <c:axId val="90699264"/>
      </c:scatterChart>
      <c:valAx>
        <c:axId val="9069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Surface Deflection (degrees)</a:t>
                </a:r>
                <a:endParaRPr/>
              </a:p>
            </c:rich>
          </c:tx>
          <c:layout>
            <c:manualLayout>
              <c:xMode val="edge"/>
              <c:yMode val="edge"/>
              <c:x val="0.283334"/>
              <c:y val="0.896267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699264"/>
        <c:crosses val="autoZero"/>
        <c:crossBetween val="midCat"/>
      </c:valAx>
      <c:valAx>
        <c:axId val="9069926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692992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0001"/>
          <c:y val="0.020747"/>
          <c:w val="0.510002"/>
          <c:h val="0.082988"/>
        </c:manualLayout>
      </c:layout>
      <c:overlay val="0"/>
      <c:spPr bwMode="auto">
        <a:prstGeom prst="rect">
          <a:avLst/>
        </a:prstGeom>
        <a:noFill/>
        <a:ln w="25400">
          <a:noFill/>
        </a:ln>
      </c:spPr>
      <c:txPr>
        <a:bodyPr/>
        <a:lstStyle/>
        <a:p>
          <a:pPr>
            <a:defRPr sz="75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334"/>
          <c:y val="0.128631"/>
          <c:w val="0.803336"/>
          <c:h val="0.676350"/>
        </c:manualLayout>
      </c:layout>
      <c:scatterChart>
        <c:scatterStyle val="smoothMarker"/>
        <c:varyColors val="0"/>
        <c:ser>
          <c:idx val="0"/>
          <c:order val="0"/>
          <c:tx>
            <c:v>Elevator+</c:v>
          </c:tx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StdServo!$Q$14:$Q$21</c:f>
              <c:numCache>
                <c:formatCode>0</c:formatCode>
                <c:ptCount val="8"/>
                <c:pt idx="0">
                  <c:v>25</c:v>
                </c:pt>
                <c:pt idx="1">
                  <c:v>21.75</c:v>
                </c:pt>
                <c:pt idx="2">
                  <c:v>18.5</c:v>
                </c:pt>
                <c:pt idx="3">
                  <c:v>15.25</c:v>
                </c:pt>
                <c:pt idx="4">
                  <c:v>12</c:v>
                </c:pt>
                <c:pt idx="5">
                  <c:v>8.75</c:v>
                </c:pt>
                <c:pt idx="6">
                  <c:v>5.5</c:v>
                </c:pt>
                <c:pt idx="7">
                  <c:v>2.25</c:v>
                </c:pt>
              </c:numCache>
            </c:numRef>
          </c:xVal>
          <c:yVal>
            <c:numRef>
              <c:f>StdServo!$Z$14:$Z$21</c:f>
              <c:numCache>
                <c:formatCode>0</c:formatCode>
                <c:ptCount val="8"/>
                <c:pt idx="0">
                  <c:v>45.60512367517038</c:v>
                </c:pt>
                <c:pt idx="1">
                  <c:v>44.97274209689539</c:v>
                </c:pt>
                <c:pt idx="2">
                  <c:v>41.648662566253876</c:v>
                </c:pt>
                <c:pt idx="3">
                  <c:v>36.46561404079066</c:v>
                </c:pt>
                <c:pt idx="4">
                  <c:v>29.958386699835433</c:v>
                </c:pt>
                <c:pt idx="5">
                  <c:v>22.512023107583765</c:v>
                </c:pt>
                <c:pt idx="6">
                  <c:v>14.428676290447106</c:v>
                </c:pt>
                <c:pt idx="7">
                  <c:v>5.96325497837295</c:v>
                </c:pt>
              </c:numCache>
            </c:numRef>
          </c:yVal>
          <c:smooth val="1"/>
        </c:ser>
        <c:ser>
          <c:idx val="1"/>
          <c:order val="1"/>
          <c:tx>
            <c:v>Elevator-</c:v>
          </c:tx>
          <c:spPr bwMode="auto">
            <a:prstGeom prst="rect">
              <a:avLst/>
            </a:prstGeom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StdServo!$AC$14:$AC$21</c:f>
              <c:numCache>
                <c:formatCode>0</c:formatCode>
                <c:ptCount val="8"/>
                <c:pt idx="0">
                  <c:v>25</c:v>
                </c:pt>
                <c:pt idx="1">
                  <c:v>21.75</c:v>
                </c:pt>
                <c:pt idx="2">
                  <c:v>18.5</c:v>
                </c:pt>
                <c:pt idx="3">
                  <c:v>15.25</c:v>
                </c:pt>
                <c:pt idx="4">
                  <c:v>12</c:v>
                </c:pt>
                <c:pt idx="5">
                  <c:v>8.75</c:v>
                </c:pt>
                <c:pt idx="6">
                  <c:v>5.5</c:v>
                </c:pt>
                <c:pt idx="7">
                  <c:v>2.25</c:v>
                </c:pt>
              </c:numCache>
            </c:numRef>
          </c:xVal>
          <c:yVal>
            <c:numRef>
              <c:f>StdServo!$AL$14:$AL$21</c:f>
              <c:numCache>
                <c:formatCode>0</c:formatCode>
                <c:ptCount val="8"/>
                <c:pt idx="0">
                  <c:v>45.610910019915885</c:v>
                </c:pt>
                <c:pt idx="1">
                  <c:v>44.97416138386036</c:v>
                </c:pt>
                <c:pt idx="2">
                  <c:v>41.64832054876579</c:v>
                </c:pt>
                <c:pt idx="3">
                  <c:v>36.46475317122251</c:v>
                </c:pt>
                <c:pt idx="4">
                  <c:v>29.95758604425437</c:v>
                </c:pt>
                <c:pt idx="5">
                  <c:v>22.511501111338042</c:v>
                </c:pt>
                <c:pt idx="6">
                  <c:v>14.428445979478658</c:v>
                </c:pt>
                <c:pt idx="7">
                  <c:v>5.963214351141188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0621440"/>
        <c:axId val="90623360"/>
      </c:scatterChart>
      <c:valAx>
        <c:axId val="906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Surface Deflection (degrees)</a:t>
                </a:r>
                <a:endParaRPr/>
              </a:p>
            </c:rich>
          </c:tx>
          <c:layout>
            <c:manualLayout>
              <c:xMode val="edge"/>
              <c:yMode val="edge"/>
              <c:x val="0.273334"/>
              <c:y val="0.896267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623360"/>
        <c:crosses val="autoZero"/>
        <c:crossBetween val="midCat"/>
      </c:valAx>
      <c:valAx>
        <c:axId val="9062336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621440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0001"/>
          <c:y val="0.020747"/>
          <c:w val="0.536668"/>
          <c:h val="0.082988"/>
        </c:manualLayout>
      </c:layout>
      <c:overlay val="0"/>
      <c:spPr bwMode="auto">
        <a:prstGeom prst="rect">
          <a:avLst/>
        </a:prstGeom>
        <a:noFill/>
        <a:ln w="25400">
          <a:noFill/>
        </a:ln>
      </c:spPr>
      <c:txPr>
        <a:bodyPr/>
        <a:lstStyle/>
        <a:p>
          <a:pPr>
            <a:defRPr sz="75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875"/>
          <c:y val="0.036765"/>
          <c:w val="0.915625"/>
          <c:h val="0.933827"/>
        </c:manualLayout>
      </c:layout>
      <c:scatterChart>
        <c:scatterStyle val="lineMarker"/>
        <c:varyColors val="0"/>
        <c:ser>
          <c:idx val="1"/>
          <c:order val="0"/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StdServo!$AO$16:$AO$19</c:f>
              <c:numCache>
                <c:formatCode>0.0</c:formatCode>
                <c:ptCount val="4"/>
                <c:pt idx="0">
                  <c:v>4.226667162609092</c:v>
                </c:pt>
                <c:pt idx="1">
                  <c:v>5.056545654351749</c:v>
                </c:pt>
                <c:pt idx="2">
                  <c:v>15.056545654351748</c:v>
                </c:pt>
                <c:pt idx="3">
                  <c:v>14</c:v>
                </c:pt>
              </c:numCache>
            </c:numRef>
          </c:xVal>
          <c:yVal>
            <c:numRef>
              <c:f>StdServo!$AR$16:$AR$19</c:f>
              <c:numCache>
                <c:formatCode>0.0</c:formatCode>
                <c:ptCount val="4"/>
                <c:pt idx="0">
                  <c:v>5.589127488553416</c:v>
                </c:pt>
                <c:pt idx="1">
                  <c:v>4.848264223253497</c:v>
                </c:pt>
                <c:pt idx="2">
                  <c:v>4.734230532408375</c:v>
                </c:pt>
                <c:pt idx="3">
                  <c:v>7</c:v>
                </c:pt>
              </c:numCache>
            </c:numRef>
          </c:yVal>
          <c:smooth val="0"/>
        </c:ser>
        <c:ser>
          <c:idx val="2"/>
          <c:order val="1"/>
          <c:spPr bwMode="auto">
            <a:prstGeom prst="rect">
              <a:avLst/>
            </a:prstGeom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StdServo!$AO$23:$AO$26</c:f>
              <c:numCache>
                <c:formatCode>0.0</c:formatCode>
                <c:ptCount val="4"/>
                <c:pt idx="0">
                  <c:v>4.226667162609092</c:v>
                </c:pt>
                <c:pt idx="1">
                  <c:v>3.3529523872436986</c:v>
                </c:pt>
                <c:pt idx="2">
                  <c:v>13.352952387243699</c:v>
                </c:pt>
                <c:pt idx="3">
                  <c:v>14</c:v>
                </c:pt>
              </c:numCache>
            </c:numRef>
          </c:xVal>
          <c:yVal>
            <c:numRef>
              <c:f>StdServo!$AR$23:$AR$26</c:f>
              <c:numCache>
                <c:formatCode>0.0</c:formatCode>
                <c:ptCount val="4"/>
                <c:pt idx="0">
                  <c:v>5.589127488553416</c:v>
                </c:pt>
                <c:pt idx="1">
                  <c:v>4.900506271746872</c:v>
                </c:pt>
                <c:pt idx="2">
                  <c:v>4.58518543427733</c:v>
                </c:pt>
                <c:pt idx="3">
                  <c:v>7</c:v>
                </c:pt>
              </c:numCache>
            </c:numRef>
          </c:yVal>
          <c:smooth val="0"/>
        </c:ser>
        <c:ser>
          <c:idx val="4"/>
          <c:order val="2"/>
          <c:spPr bwMode="auto">
            <a:prstGeom prst="rect">
              <a:avLst/>
            </a:prstGeom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StdServo!$AO$20:$AO$21</c:f>
              <c:numCache>
                <c:formatCode>0.0</c:formatCode>
                <c:ptCount val="2"/>
                <c:pt idx="0">
                  <c:v>14</c:v>
                </c:pt>
                <c:pt idx="1">
                  <c:v>18.53153893518325</c:v>
                </c:pt>
              </c:numCache>
            </c:numRef>
          </c:xVal>
          <c:yVal>
            <c:numRef>
              <c:f>StdServo!$AR$20:$AR$21</c:f>
              <c:numCache>
                <c:formatCode>0.0</c:formatCode>
                <c:ptCount val="2"/>
                <c:pt idx="0">
                  <c:v>7</c:v>
                </c:pt>
                <c:pt idx="1">
                  <c:v>9.113091308703497</c:v>
                </c:pt>
              </c:numCache>
            </c:numRef>
          </c:yVal>
          <c:smooth val="0"/>
        </c:ser>
        <c:ser>
          <c:idx val="5"/>
          <c:order val="3"/>
          <c:spPr bwMode="auto">
            <a:prstGeom prst="rect">
              <a:avLst/>
            </a:prstGeom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StdServo!$AO$27:$AO$28</c:f>
              <c:numCache>
                <c:formatCode>0.0</c:formatCode>
                <c:ptCount val="2"/>
                <c:pt idx="0">
                  <c:v>14</c:v>
                </c:pt>
                <c:pt idx="1">
                  <c:v>18.82962913144534</c:v>
                </c:pt>
              </c:numCache>
            </c:numRef>
          </c:xVal>
          <c:yVal>
            <c:numRef>
              <c:f>StdServo!$AR$27:$AR$28</c:f>
              <c:numCache>
                <c:formatCode>0.0</c:formatCode>
                <c:ptCount val="2"/>
                <c:pt idx="0">
                  <c:v>7</c:v>
                </c:pt>
                <c:pt idx="1">
                  <c:v>5.705904774487396</c:v>
                </c:pt>
              </c:numCache>
            </c:numRef>
          </c:yVal>
          <c:smooth val="0"/>
        </c:ser>
        <c:ser>
          <c:idx val="3"/>
          <c:order val="4"/>
          <c:spPr bwMode="auto">
            <a:prstGeom prst="rect">
              <a:avLst/>
            </a:prstGeom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StdServo!$AO$13:$AO$14</c:f>
              <c:numCache>
                <c:formatCode>0.0</c:formatCode>
                <c:ptCount val="2"/>
                <c:pt idx="0">
                  <c:v>14</c:v>
                </c:pt>
                <c:pt idx="1">
                  <c:v>19</c:v>
                </c:pt>
              </c:numCache>
            </c:numRef>
          </c:xVal>
          <c:yVal>
            <c:numRef>
              <c:f>StdServo!$AR$13:$AR$14</c:f>
              <c:numCache>
                <c:formatCode>0.0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0"/>
          <c:order val="5"/>
          <c:spPr bwMode="auto">
            <a:prstGeom prst="rect">
              <a:avLst/>
            </a:prstGeom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StdServo!$AO$9:$AO$12</c:f>
              <c:numCache>
                <c:formatCode>0.0</c:formatCode>
                <c:ptCount val="4"/>
                <c:pt idx="0">
                  <c:v>4.226667162609092</c:v>
                </c:pt>
                <c:pt idx="1">
                  <c:v>4</c:v>
                </c:pt>
                <c:pt idx="2">
                  <c:v>14</c:v>
                </c:pt>
                <c:pt idx="3">
                  <c:v>14</c:v>
                </c:pt>
              </c:numCache>
            </c:numRef>
          </c:xVal>
          <c:yVal>
            <c:numRef>
              <c:f>StdServo!$AR$9:$AR$12</c:f>
              <c:numCache>
                <c:formatCode>0.0</c:formatCode>
                <c:ptCount val="4"/>
                <c:pt idx="0">
                  <c:v>5.589127488553416</c:v>
                </c:pt>
                <c:pt idx="1">
                  <c:v>4.500000000000001</c:v>
                </c:pt>
                <c:pt idx="2">
                  <c:v>4.5</c:v>
                </c:pt>
                <c:pt idx="3">
                  <c:v>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1306240"/>
        <c:axId val="91324800"/>
      </c:scatterChart>
      <c:valAx>
        <c:axId val="91306240"/>
        <c:scaling>
          <c:orientation val="minMax"/>
          <c:max val="22.000000"/>
          <c:min val="0.000000"/>
        </c:scaling>
        <c:delete val="1"/>
        <c:axPos val="b"/>
        <c:numFmt formatCode="0.0" sourceLinked="1"/>
        <c:majorTickMark val="out"/>
        <c:minorTickMark val="none"/>
        <c:tickLblPos val="none"/>
        <c:crossAx val="91324800"/>
        <c:crosses val="autoZero"/>
        <c:crossBetween val="midCat"/>
        <c:majorUnit val="2.000000"/>
      </c:valAx>
      <c:valAx>
        <c:axId val="91324800"/>
        <c:scaling>
          <c:orientation val="minMax"/>
          <c:max val="10.000000"/>
          <c:min val="0.000000"/>
        </c:scaling>
        <c:delete val="1"/>
        <c:axPos val="l"/>
        <c:title>
          <c:tx>
            <c:rich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Control Geometry</a:t>
                </a:r>
                <a:endParaRPr/>
              </a:p>
            </c:rich>
          </c:tx>
          <c:layout>
            <c:manualLayout>
              <c:xMode val="edge"/>
              <c:yMode val="edge"/>
              <c:x val="0.015625"/>
              <c:y val="0.176471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one"/>
        <c:crossAx val="91306240"/>
        <c:crosses val="autoZero"/>
        <c:crossesAt val="0.000000"/>
        <c:crossBetween val="midCat"/>
        <c:majorUnit val="2.000000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 orientation="landscape" blackAndWhite="0" horizont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6667"/>
          <c:y val="0.036765"/>
          <c:w val="0.970003"/>
          <c:h val="0.933827"/>
        </c:manualLayout>
      </c:layout>
      <c:scatterChart>
        <c:scatterStyle val="lineMarker"/>
        <c:varyColors val="0"/>
        <c:ser>
          <c:idx val="1"/>
          <c:order val="0"/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StdServo!$AP$16:$AP$19</c:f>
              <c:numCache>
                <c:formatCode>0.0</c:formatCode>
                <c:ptCount val="4"/>
                <c:pt idx="0">
                  <c:v>4.569315304369173</c:v>
                </c:pt>
                <c:pt idx="1">
                  <c:v>5.809133767039318</c:v>
                </c:pt>
                <c:pt idx="2">
                  <c:v>15.574529656641065</c:v>
                </c:pt>
                <c:pt idx="3">
                  <c:v>14.549529814010574</c:v>
                </c:pt>
              </c:numCache>
            </c:numRef>
          </c:xVal>
          <c:yVal>
            <c:numRef>
              <c:f>StdServo!$AS$16:$AS$19</c:f>
              <c:numCache>
                <c:formatCode>0.0</c:formatCode>
                <c:ptCount val="4"/>
                <c:pt idx="0">
                  <c:v>3.4935777791277447</c:v>
                </c:pt>
                <c:pt idx="1">
                  <c:v>2.889339402671829</c:v>
                </c:pt>
                <c:pt idx="2">
                  <c:v>5.058130704615326</c:v>
                </c:pt>
                <c:pt idx="3">
                  <c:v>7.256249960657623</c:v>
                </c:pt>
              </c:numCache>
            </c:numRef>
          </c:yVal>
          <c:smooth val="0"/>
        </c:ser>
        <c:ser>
          <c:idx val="2"/>
          <c:order val="1"/>
          <c:spPr bwMode="auto">
            <a:prstGeom prst="rect">
              <a:avLst/>
            </a:prstGeom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StdServo!$AP$23:$AP$26</c:f>
              <c:numCache>
                <c:formatCode>0.0</c:formatCode>
                <c:ptCount val="4"/>
                <c:pt idx="0">
                  <c:v>4.569315304369173</c:v>
                </c:pt>
                <c:pt idx="1">
                  <c:v>3.758964449887392</c:v>
                </c:pt>
                <c:pt idx="2">
                  <c:v>13.524529971380083</c:v>
                </c:pt>
                <c:pt idx="3">
                  <c:v>14.549529814010574</c:v>
                </c:pt>
              </c:numCache>
            </c:numRef>
          </c:xVal>
          <c:yVal>
            <c:numRef>
              <c:f>StdServo!$AS$23:$AS$26</c:f>
              <c:numCache>
                <c:formatCode>0.0</c:formatCode>
                <c:ptCount val="4"/>
                <c:pt idx="0">
                  <c:v>3.4935777791277447</c:v>
                </c:pt>
                <c:pt idx="1">
                  <c:v>2.377519837710503</c:v>
                </c:pt>
                <c:pt idx="2">
                  <c:v>4.545630783300081</c:v>
                </c:pt>
                <c:pt idx="3">
                  <c:v>6.743750039342377</c:v>
                </c:pt>
              </c:numCache>
            </c:numRef>
          </c:yVal>
          <c:smooth val="0"/>
        </c:ser>
        <c:ser>
          <c:idx val="4"/>
          <c:order val="2"/>
          <c:spPr bwMode="auto">
            <a:prstGeom prst="rect">
              <a:avLst/>
            </a:prstGeom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StdServo!$AP$20:$AP$21</c:f>
              <c:numCache>
                <c:formatCode>0.0</c:formatCode>
                <c:ptCount val="2"/>
                <c:pt idx="0">
                  <c:v>14</c:v>
                </c:pt>
                <c:pt idx="1">
                  <c:v>18.53153893518325</c:v>
                </c:pt>
              </c:numCache>
            </c:numRef>
          </c:xVal>
          <c:yVal>
            <c:numRef>
              <c:f>StdServo!$AS$20:$AS$21</c:f>
              <c:numCache>
                <c:formatCode>0.0</c:formatCode>
                <c:ptCount val="2"/>
                <c:pt idx="0">
                  <c:v>7</c:v>
                </c:pt>
                <c:pt idx="1">
                  <c:v>9.113091308703497</c:v>
                </c:pt>
              </c:numCache>
            </c:numRef>
          </c:yVal>
          <c:smooth val="0"/>
        </c:ser>
        <c:ser>
          <c:idx val="5"/>
          <c:order val="3"/>
          <c:spPr bwMode="auto">
            <a:prstGeom prst="rect">
              <a:avLst/>
            </a:prstGeom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StdServo!$AP$27:$AP$28</c:f>
              <c:numCache>
                <c:formatCode>0.0</c:formatCode>
                <c:ptCount val="2"/>
                <c:pt idx="0">
                  <c:v>14</c:v>
                </c:pt>
                <c:pt idx="1">
                  <c:v>18.53153893518325</c:v>
                </c:pt>
              </c:numCache>
            </c:numRef>
          </c:xVal>
          <c:yVal>
            <c:numRef>
              <c:f>StdServo!$AS$27:$AS$28</c:f>
              <c:numCache>
                <c:formatCode>0.0</c:formatCode>
                <c:ptCount val="2"/>
                <c:pt idx="0">
                  <c:v>7</c:v>
                </c:pt>
                <c:pt idx="1">
                  <c:v>4.886908691296503</c:v>
                </c:pt>
              </c:numCache>
            </c:numRef>
          </c:yVal>
          <c:smooth val="0"/>
        </c:ser>
        <c:ser>
          <c:idx val="3"/>
          <c:order val="4"/>
          <c:spPr bwMode="auto">
            <a:prstGeom prst="rect">
              <a:avLst/>
            </a:prstGeom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StdServo!$AP$13:$AP$14</c:f>
              <c:numCache>
                <c:formatCode>0.0</c:formatCode>
                <c:ptCount val="2"/>
                <c:pt idx="0">
                  <c:v>14</c:v>
                </c:pt>
                <c:pt idx="1">
                  <c:v>19</c:v>
                </c:pt>
              </c:numCache>
            </c:numRef>
          </c:xVal>
          <c:yVal>
            <c:numRef>
              <c:f>StdServo!$AS$13:$AS$14</c:f>
              <c:numCache>
                <c:formatCode>0.0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0"/>
          <c:order val="5"/>
          <c:spPr bwMode="auto">
            <a:prstGeom prst="rect">
              <a:avLst/>
            </a:prstGeom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StdServo!$AP$9:$AP$12</c:f>
              <c:numCache>
                <c:formatCode>0.0</c:formatCode>
                <c:ptCount val="4"/>
                <c:pt idx="0">
                  <c:v>4.569315304369173</c:v>
                </c:pt>
                <c:pt idx="1">
                  <c:v>4.903381799830868</c:v>
                </c:pt>
                <c:pt idx="2">
                  <c:v>14.606339062590832</c:v>
                </c:pt>
                <c:pt idx="3">
                  <c:v>14.606339062590832</c:v>
                </c:pt>
              </c:numCache>
            </c:numRef>
          </c:xVal>
          <c:yVal>
            <c:numRef>
              <c:f>StdServo!$AS$9:$AS$12</c:f>
              <c:numCache>
                <c:formatCode>0.0</c:formatCode>
                <c:ptCount val="4"/>
                <c:pt idx="0">
                  <c:v>3.4935777791277447</c:v>
                </c:pt>
                <c:pt idx="1">
                  <c:v>2.1554247936399924</c:v>
                </c:pt>
                <c:pt idx="2">
                  <c:v>4.57464374963667</c:v>
                </c:pt>
                <c:pt idx="3">
                  <c:v>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0975616"/>
        <c:axId val="90977792"/>
      </c:scatterChart>
      <c:valAx>
        <c:axId val="90975616"/>
        <c:scaling>
          <c:orientation val="minMax"/>
          <c:max val="22.000000"/>
          <c:min val="0.000000"/>
        </c:scaling>
        <c:delete val="1"/>
        <c:axPos val="b"/>
        <c:numFmt formatCode="0.0" sourceLinked="1"/>
        <c:majorTickMark val="out"/>
        <c:minorTickMark val="none"/>
        <c:tickLblPos val="none"/>
        <c:crossAx val="90977792"/>
        <c:crosses val="autoZero"/>
        <c:crossBetween val="midCat"/>
        <c:majorUnit val="2.000000"/>
      </c:valAx>
      <c:valAx>
        <c:axId val="90977792"/>
        <c:scaling>
          <c:orientation val="minMax"/>
          <c:max val="10.000000"/>
          <c:min val="0.000000"/>
        </c:scaling>
        <c:delete val="1"/>
        <c:axPos val="l"/>
        <c:numFmt formatCode="0.0" sourceLinked="1"/>
        <c:majorTickMark val="out"/>
        <c:minorTickMark val="none"/>
        <c:tickLblPos val="none"/>
        <c:crossAx val="90975616"/>
        <c:crosses val="autoZero"/>
        <c:crossesAt val="0.000000"/>
        <c:crossBetween val="midCat"/>
        <c:majorUnit val="2.000000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 orientation="landscape" blackAndWhite="0" horizont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6667"/>
          <c:y val="0.036765"/>
          <c:w val="0.970003"/>
          <c:h val="0.933827"/>
        </c:manualLayout>
      </c:layout>
      <c:scatterChart>
        <c:scatterStyle val="lineMarker"/>
        <c:varyColors val="0"/>
        <c:ser>
          <c:idx val="1"/>
          <c:order val="0"/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StdServo!$AQ$16:$AQ$19</c:f>
              <c:numCache>
                <c:formatCode>0.0</c:formatCode>
                <c:ptCount val="4"/>
                <c:pt idx="0">
                  <c:v>4.818457684353813</c:v>
                </c:pt>
                <c:pt idx="1">
                  <c:v>6.086279825301748</c:v>
                </c:pt>
                <c:pt idx="2">
                  <c:v>16.086279825301748</c:v>
                </c:pt>
                <c:pt idx="3">
                  <c:v>14.968245836551855</c:v>
                </c:pt>
              </c:numCache>
            </c:numRef>
          </c:xVal>
          <c:yVal>
            <c:numRef>
              <c:f>StdServo!$AT$16:$AT$19</c:f>
              <c:numCache>
                <c:formatCode>0.0</c:formatCode>
                <c:ptCount val="4"/>
                <c:pt idx="0">
                  <c:v>6.0549264712360165</c:v>
                </c:pt>
                <c:pt idx="1">
                  <c:v>5.6688699368469795</c:v>
                </c:pt>
                <c:pt idx="2">
                  <c:v>5.6225253212712385</c:v>
                </c:pt>
                <c:pt idx="3">
                  <c:v>7.5590169943749475</c:v>
                </c:pt>
              </c:numCache>
            </c:numRef>
          </c:yVal>
          <c:smooth val="0"/>
        </c:ser>
        <c:ser>
          <c:idx val="2"/>
          <c:order val="1"/>
          <c:spPr bwMode="auto">
            <a:prstGeom prst="rect">
              <a:avLst/>
            </a:prstGeom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StdServo!$AQ$23:$AQ$26</c:f>
              <c:numCache>
                <c:formatCode>0.0</c:formatCode>
                <c:ptCount val="4"/>
                <c:pt idx="0">
                  <c:v>4.818457684353813</c:v>
                </c:pt>
                <c:pt idx="1">
                  <c:v>3.850211847801959</c:v>
                </c:pt>
                <c:pt idx="2">
                  <c:v>13.85021184780196</c:v>
                </c:pt>
                <c:pt idx="3">
                  <c:v>14.968245836551855</c:v>
                </c:pt>
              </c:numCache>
            </c:numRef>
          </c:xVal>
          <c:yVal>
            <c:numRef>
              <c:f>StdServo!$AT$23:$AT$26</c:f>
              <c:numCache>
                <c:formatCode>0.0</c:formatCode>
                <c:ptCount val="4"/>
                <c:pt idx="0">
                  <c:v>6.0549264712360165</c:v>
                </c:pt>
                <c:pt idx="1">
                  <c:v>5.149988556889248</c:v>
                </c:pt>
                <c:pt idx="2">
                  <c:v>4.504491332521344</c:v>
                </c:pt>
                <c:pt idx="3">
                  <c:v>6.4409830056250525</c:v>
                </c:pt>
              </c:numCache>
            </c:numRef>
          </c:yVal>
          <c:smooth val="0"/>
        </c:ser>
        <c:ser>
          <c:idx val="4"/>
          <c:order val="2"/>
          <c:spPr bwMode="auto">
            <a:prstGeom prst="rect">
              <a:avLst/>
            </a:prstGeom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StdServo!$AQ$20:$AQ$21</c:f>
              <c:numCache>
                <c:formatCode>0.0</c:formatCode>
                <c:ptCount val="2"/>
                <c:pt idx="0">
                  <c:v>14</c:v>
                </c:pt>
                <c:pt idx="1">
                  <c:v>18.330127018922195</c:v>
                </c:pt>
              </c:numCache>
            </c:numRef>
          </c:xVal>
          <c:yVal>
            <c:numRef>
              <c:f>StdServo!$AT$20:$AT$21</c:f>
              <c:numCache>
                <c:formatCode>0.0</c:formatCode>
                <c:ptCount val="2"/>
                <c:pt idx="0">
                  <c:v>7</c:v>
                </c:pt>
                <c:pt idx="1">
                  <c:v>9.5</c:v>
                </c:pt>
              </c:numCache>
            </c:numRef>
          </c:yVal>
          <c:smooth val="0"/>
        </c:ser>
        <c:ser>
          <c:idx val="5"/>
          <c:order val="3"/>
          <c:spPr bwMode="auto">
            <a:prstGeom prst="rect">
              <a:avLst/>
            </a:prstGeom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StdServo!$AQ$27:$AQ$28</c:f>
              <c:numCache>
                <c:formatCode>0.0</c:formatCode>
                <c:ptCount val="2"/>
                <c:pt idx="0">
                  <c:v>14</c:v>
                </c:pt>
                <c:pt idx="1">
                  <c:v>18.330127018922195</c:v>
                </c:pt>
              </c:numCache>
            </c:numRef>
          </c:xVal>
          <c:yVal>
            <c:numRef>
              <c:f>StdServo!$AT$27:$AT$28</c:f>
              <c:numCache>
                <c:formatCode>0.0</c:formatCode>
                <c:ptCount val="2"/>
                <c:pt idx="0">
                  <c:v>7</c:v>
                </c:pt>
                <c:pt idx="1">
                  <c:v>4.5</c:v>
                </c:pt>
              </c:numCache>
            </c:numRef>
          </c:yVal>
          <c:smooth val="0"/>
        </c:ser>
        <c:ser>
          <c:idx val="3"/>
          <c:order val="4"/>
          <c:spPr bwMode="auto">
            <a:prstGeom prst="rect">
              <a:avLst/>
            </a:prstGeom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StdServo!$AQ$13:$AQ$14</c:f>
              <c:numCache>
                <c:formatCode>0.0</c:formatCode>
                <c:ptCount val="2"/>
                <c:pt idx="0">
                  <c:v>14</c:v>
                </c:pt>
                <c:pt idx="1">
                  <c:v>19</c:v>
                </c:pt>
              </c:numCache>
            </c:numRef>
          </c:xVal>
          <c:yVal>
            <c:numRef>
              <c:f>StdServo!$AT$13:$AT$14</c:f>
              <c:numCache>
                <c:formatCode>0.0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0"/>
          <c:order val="5"/>
          <c:spPr bwMode="auto">
            <a:prstGeom prst="rect">
              <a:avLst/>
            </a:prstGeom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StdServo!$AQ$9:$AQ$12</c:f>
              <c:numCache>
                <c:formatCode>0.0</c:formatCode>
                <c:ptCount val="4"/>
                <c:pt idx="0">
                  <c:v>4.818457684353813</c:v>
                </c:pt>
                <c:pt idx="1">
                  <c:v>5.118033988749895</c:v>
                </c:pt>
                <c:pt idx="2">
                  <c:v>15.118033988749895</c:v>
                </c:pt>
                <c:pt idx="3">
                  <c:v>15.118033988749895</c:v>
                </c:pt>
              </c:numCache>
            </c:numRef>
          </c:xVal>
          <c:yVal>
            <c:numRef>
              <c:f>StdServo!$AT$9:$AT$12</c:f>
              <c:numCache>
                <c:formatCode>0.0</c:formatCode>
                <c:ptCount val="4"/>
                <c:pt idx="0">
                  <c:v>6.0549264712360165</c:v>
                </c:pt>
                <c:pt idx="1">
                  <c:v>4.763932022500211</c:v>
                </c:pt>
                <c:pt idx="2">
                  <c:v>4.76393202250021</c:v>
                </c:pt>
                <c:pt idx="3">
                  <c:v>7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1024768"/>
        <c:axId val="91489792"/>
      </c:scatterChart>
      <c:valAx>
        <c:axId val="91024768"/>
        <c:scaling>
          <c:orientation val="minMax"/>
          <c:max val="22.000000"/>
          <c:min val="0.000000"/>
        </c:scaling>
        <c:delete val="1"/>
        <c:axPos val="b"/>
        <c:numFmt formatCode="0.0" sourceLinked="1"/>
        <c:majorTickMark val="out"/>
        <c:minorTickMark val="none"/>
        <c:tickLblPos val="none"/>
        <c:crossAx val="91489792"/>
        <c:crosses val="autoZero"/>
        <c:crossBetween val="midCat"/>
        <c:majorUnit val="2.000000"/>
      </c:valAx>
      <c:valAx>
        <c:axId val="91489792"/>
        <c:scaling>
          <c:orientation val="minMax"/>
          <c:max val="10.000000"/>
          <c:min val="0.000000"/>
        </c:scaling>
        <c:delete val="1"/>
        <c:axPos val="l"/>
        <c:numFmt formatCode="0.0" sourceLinked="1"/>
        <c:majorTickMark val="out"/>
        <c:minorTickMark val="none"/>
        <c:tickLblPos val="none"/>
        <c:crossAx val="91024768"/>
        <c:crosses val="autoZero"/>
        <c:crossesAt val="0.000000"/>
        <c:crossBetween val="midCat"/>
        <c:majorUnit val="2.000000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00"/>
          <c:y val="0.128631"/>
          <c:w val="0.768750"/>
          <c:h val="0.672201"/>
        </c:manualLayout>
      </c:layout>
      <c:scatterChart>
        <c:scatterStyle val="smoothMarker"/>
        <c:varyColors val="0"/>
        <c:ser>
          <c:idx val="0"/>
          <c:order val="0"/>
          <c:tx>
            <c:v>Aileron+</c:v>
          </c:tx>
          <c:spPr bwMode="auto">
            <a:prstGeom prst="rect">
              <a:avLst/>
            </a:prstGeom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StdServo!$Q$6:$Q$13</c:f>
              <c:numCache>
                <c:formatCode>0</c:formatCode>
                <c:ptCount val="8"/>
                <c:pt idx="0">
                  <c:v>25</c:v>
                </c:pt>
                <c:pt idx="1">
                  <c:v>21.75</c:v>
                </c:pt>
                <c:pt idx="2">
                  <c:v>18.5</c:v>
                </c:pt>
                <c:pt idx="3">
                  <c:v>15.25</c:v>
                </c:pt>
                <c:pt idx="4">
                  <c:v>12</c:v>
                </c:pt>
                <c:pt idx="5">
                  <c:v>8.75</c:v>
                </c:pt>
                <c:pt idx="6">
                  <c:v>5.5</c:v>
                </c:pt>
                <c:pt idx="7">
                  <c:v>2.25</c:v>
                </c:pt>
              </c:numCache>
            </c:numRef>
          </c:xVal>
          <c:yVal>
            <c:numRef>
              <c:f>StdServo!$Z$6:$Z$13</c:f>
              <c:numCache>
                <c:formatCode>0</c:formatCode>
                <c:ptCount val="8"/>
                <c:pt idx="0">
                  <c:v>27.6265620935495</c:v>
                </c:pt>
                <c:pt idx="1">
                  <c:v>27.59206273483393</c:v>
                </c:pt>
                <c:pt idx="2">
                  <c:v>25.61613229690479</c:v>
                </c:pt>
                <c:pt idx="3">
                  <c:v>22.36029952784716</c:v>
                </c:pt>
                <c:pt idx="4">
                  <c:v>18.24119435104067</c:v>
                </c:pt>
                <c:pt idx="5">
                  <c:v>13.561276070728306</c:v>
                </c:pt>
                <c:pt idx="6">
                  <c:v>8.565441902625448</c:v>
                </c:pt>
                <c:pt idx="7">
                  <c:v>3.4719057916169995</c:v>
                </c:pt>
              </c:numCache>
            </c:numRef>
          </c:yVal>
          <c:smooth val="1"/>
        </c:ser>
        <c:ser>
          <c:idx val="1"/>
          <c:order val="1"/>
          <c:tx>
            <c:v>Aileron-</c:v>
          </c:tx>
          <c:spPr bwMode="auto">
            <a:prstGeom prst="rect">
              <a:avLst/>
            </a:prstGeom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StdServo!$AC$6:$AC$13</c:f>
              <c:numCache>
                <c:formatCode>0</c:formatCode>
                <c:ptCount val="8"/>
                <c:pt idx="0">
                  <c:v>15</c:v>
                </c:pt>
                <c:pt idx="1">
                  <c:v>13.05</c:v>
                </c:pt>
                <c:pt idx="2">
                  <c:v>11.100000000000001</c:v>
                </c:pt>
                <c:pt idx="3">
                  <c:v>9.150000000000002</c:v>
                </c:pt>
                <c:pt idx="4">
                  <c:v>7.200000000000002</c:v>
                </c:pt>
                <c:pt idx="5">
                  <c:v>5.250000000000002</c:v>
                </c:pt>
                <c:pt idx="6">
                  <c:v>3.3000000000000016</c:v>
                </c:pt>
                <c:pt idx="7">
                  <c:v>1.3500000000000014</c:v>
                </c:pt>
              </c:numCache>
            </c:numRef>
          </c:xVal>
          <c:yVal>
            <c:numRef>
              <c:f>StdServo!$AL$6:$AL$13</c:f>
              <c:numCache>
                <c:formatCode>0</c:formatCode>
                <c:ptCount val="8"/>
                <c:pt idx="0">
                  <c:v>14.755335418774132</c:v>
                </c:pt>
                <c:pt idx="1">
                  <c:v>14.49604028876359</c:v>
                </c:pt>
                <c:pt idx="2">
                  <c:v>13.462966744104259</c:v>
                </c:pt>
                <c:pt idx="3">
                  <c:v>11.860662929691179</c:v>
                </c:pt>
                <c:pt idx="4">
                  <c:v>9.825637780714464</c:v>
                </c:pt>
                <c:pt idx="5">
                  <c:v>7.4580417879939205</c:v>
                </c:pt>
                <c:pt idx="6">
                  <c:v>4.836527614969441</c:v>
                </c:pt>
                <c:pt idx="7">
                  <c:v>2.026245227302468</c:v>
                </c:pt>
              </c:numCache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91550848"/>
        <c:axId val="91552768"/>
      </c:scatterChart>
      <c:valAx>
        <c:axId val="9155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Surface Deflection (degrees)</a:t>
                </a:r>
                <a:endParaRPr/>
              </a:p>
            </c:rich>
          </c:tx>
          <c:layout>
            <c:manualLayout>
              <c:xMode val="edge"/>
              <c:yMode val="edge"/>
              <c:x val="0.321875"/>
              <c:y val="0.896267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52768"/>
        <c:crosses val="autoZero"/>
        <c:crossBetween val="midCat"/>
      </c:valAx>
      <c:valAx>
        <c:axId val="9155276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Servo Torque (oz-in) @ Max Speed</a:t>
                </a:r>
                <a:endParaRPr/>
              </a:p>
            </c:rich>
          </c:tx>
          <c:layout>
            <c:manualLayout>
              <c:xMode val="edge"/>
              <c:yMode val="edge"/>
              <c:x val="0.015625"/>
              <c:y val="0.099585"/>
            </c:manualLayout>
          </c:layout>
          <c:overlay val="0"/>
          <c:spPr bwMode="auto">
            <a:prstGeom prst="rect">
              <a:avLst/>
            </a:prstGeom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 bwMode="auto">
          <a:prstGeom prst="rect">
            <a:avLst/>
          </a:prstGeom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50848"/>
        <c:crosses val="autoZero"/>
        <c:crossBetween val="midCat"/>
      </c:valAx>
      <c:spPr bwMode="auto">
        <a:prstGeom prst="rect">
          <a:avLst/>
        </a:prstGeom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6875"/>
          <c:y val="0.020747"/>
          <c:w val="0.471875"/>
          <c:h val="0.082988"/>
        </c:manualLayout>
      </c:layout>
      <c:overlay val="0"/>
      <c:spPr bwMode="auto">
        <a:prstGeom prst="rect">
          <a:avLst/>
        </a:prstGeom>
        <a:noFill/>
        <a:ln w="25400">
          <a:noFill/>
        </a:ln>
      </c:spPr>
      <c:txPr>
        <a:bodyPr/>
        <a:lstStyle/>
        <a:p>
          <a:pPr>
            <a:defRPr sz="750" b="0" i="0" u="none" strike="noStrike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l="0.75000000000000011" r="0.75000000000000011" t="1" b="1" header="0.5" footer="0.5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Relationship Id="rId2" Type="http://schemas.openxmlformats.org/officeDocument/2006/relationships/chart" Target="../charts/chart5.xml" /><Relationship Id="rId3" Type="http://schemas.openxmlformats.org/officeDocument/2006/relationships/chart" Target="../charts/chart6.xml" /><Relationship Id="rId4" Type="http://schemas.openxmlformats.org/officeDocument/2006/relationships/chart" Target="../charts/chart7.xml" /><Relationship Id="rId5" Type="http://schemas.openxmlformats.org/officeDocument/2006/relationships/chart" Target="../charts/chart8.xml" /><Relationship Id="rId6" Type="http://schemas.openxmlformats.org/officeDocument/2006/relationships/chart" Target="../charts/chart9.xml" /><Relationship Id="rId7" Type="http://schemas.openxmlformats.org/officeDocument/2006/relationships/chart" Target="../charts/chart10.xml" /><Relationship Id="rId8" Type="http://schemas.openxmlformats.org/officeDocument/2006/relationships/chart" Target="../charts/chart11.xml" /><Relationship Id="rId9" Type="http://schemas.openxmlformats.org/officeDocument/2006/relationships/chart" Target="../charts/chart12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 /><Relationship Id="rId2" Type="http://schemas.openxmlformats.org/officeDocument/2006/relationships/chart" Target="../charts/chart14.xml" /><Relationship Id="rId3" Type="http://schemas.openxmlformats.org/officeDocument/2006/relationships/chart" Target="../charts/chart15.xml" /><Relationship Id="rId4" Type="http://schemas.openxmlformats.org/officeDocument/2006/relationships/chart" Target="../charts/chart16.xml" /><Relationship Id="rId5" Type="http://schemas.openxmlformats.org/officeDocument/2006/relationships/chart" Target="../charts/chart17.xml" /><Relationship Id="rId6" Type="http://schemas.openxmlformats.org/officeDocument/2006/relationships/chart" Target="../charts/chart18.xml" /><Relationship Id="rId7" Type="http://schemas.openxmlformats.org/officeDocument/2006/relationships/chart" Target="../charts/chart19.xml" /><Relationship Id="rId8" Type="http://schemas.openxmlformats.org/officeDocument/2006/relationships/chart" Target="../charts/chart20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 /><Relationship Id="rId2" Type="http://schemas.openxmlformats.org/officeDocument/2006/relationships/chart" Target="../charts/chart22.xml" /><Relationship Id="rId3" Type="http://schemas.openxmlformats.org/officeDocument/2006/relationships/chart" Target="../charts/chart23.xml" /><Relationship Id="rId4" Type="http://schemas.openxmlformats.org/officeDocument/2006/relationships/chart" Target="../charts/chart24.xml" /><Relationship Id="rId5" Type="http://schemas.openxmlformats.org/officeDocument/2006/relationships/chart" Target="../charts/chart25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5</xdr:col>
      <xdr:colOff>0</xdr:colOff>
      <xdr:row>12</xdr:row>
      <xdr:rowOff>0</xdr:rowOff>
    </xdr:from>
    <xdr:to>
      <xdr:col>9</xdr:col>
      <xdr:colOff>0</xdr:colOff>
      <xdr:row>30</xdr:row>
      <xdr:rowOff>0</xdr:rowOff>
    </xdr:to>
    <xdr:graphicFrame>
      <xdr:nvGraphicFramePr>
        <xdr:cNvPr id="1038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</xdr:col>
      <xdr:colOff>0</xdr:colOff>
      <xdr:row>12</xdr:row>
      <xdr:rowOff>0</xdr:rowOff>
    </xdr:from>
    <xdr:to>
      <xdr:col>5</xdr:col>
      <xdr:colOff>0</xdr:colOff>
      <xdr:row>30</xdr:row>
      <xdr:rowOff>0</xdr:rowOff>
    </xdr:to>
    <xdr:graphicFrame>
      <xdr:nvGraphicFramePr>
        <xdr:cNvPr id="1039" name="Chart 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9</xdr:col>
      <xdr:colOff>0</xdr:colOff>
      <xdr:row>12</xdr:row>
      <xdr:rowOff>0</xdr:rowOff>
    </xdr:from>
    <xdr:to>
      <xdr:col>13</xdr:col>
      <xdr:colOff>0</xdr:colOff>
      <xdr:row>30</xdr:row>
      <xdr:rowOff>0</xdr:rowOff>
    </xdr:to>
    <xdr:graphicFrame>
      <xdr:nvGraphicFramePr>
        <xdr:cNvPr id="1040" name="Chart 3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10</xdr:col>
      <xdr:colOff>0</xdr:colOff>
      <xdr:row>19</xdr:row>
      <xdr:rowOff>0</xdr:rowOff>
    </xdr:from>
    <xdr:to>
      <xdr:col>14</xdr:col>
      <xdr:colOff>0</xdr:colOff>
      <xdr:row>33</xdr:row>
      <xdr:rowOff>0</xdr:rowOff>
    </xdr:to>
    <xdr:graphicFrame>
      <xdr:nvGraphicFramePr>
        <xdr:cNvPr id="2129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6</xdr:col>
      <xdr:colOff>0</xdr:colOff>
      <xdr:row>19</xdr:row>
      <xdr:rowOff>0</xdr:rowOff>
    </xdr:from>
    <xdr:to>
      <xdr:col>10</xdr:col>
      <xdr:colOff>0</xdr:colOff>
      <xdr:row>33</xdr:row>
      <xdr:rowOff>0</xdr:rowOff>
    </xdr:to>
    <xdr:graphicFrame>
      <xdr:nvGraphicFramePr>
        <xdr:cNvPr id="2130" name="Chart 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</xdr:col>
      <xdr:colOff>0</xdr:colOff>
      <xdr:row>33</xdr:row>
      <xdr:rowOff>0</xdr:rowOff>
    </xdr:from>
    <xdr:to>
      <xdr:col>6</xdr:col>
      <xdr:colOff>0</xdr:colOff>
      <xdr:row>34</xdr:row>
      <xdr:rowOff>0</xdr:rowOff>
    </xdr:to>
    <xdr:graphicFrame>
      <xdr:nvGraphicFramePr>
        <xdr:cNvPr id="2131" name="Chart 16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6</xdr:col>
      <xdr:colOff>0</xdr:colOff>
      <xdr:row>33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2132" name="Chart 17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10</xdr:col>
      <xdr:colOff>0</xdr:colOff>
      <xdr:row>33</xdr:row>
      <xdr:rowOff>0</xdr:rowOff>
    </xdr:from>
    <xdr:to>
      <xdr:col>14</xdr:col>
      <xdr:colOff>0</xdr:colOff>
      <xdr:row>34</xdr:row>
      <xdr:rowOff>0</xdr:rowOff>
    </xdr:to>
    <xdr:graphicFrame>
      <xdr:nvGraphicFramePr>
        <xdr:cNvPr id="2133" name="Chart 18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</xdr:col>
      <xdr:colOff>0</xdr:colOff>
      <xdr:row>19</xdr:row>
      <xdr:rowOff>0</xdr:rowOff>
    </xdr:from>
    <xdr:to>
      <xdr:col>6</xdr:col>
      <xdr:colOff>0</xdr:colOff>
      <xdr:row>33</xdr:row>
      <xdr:rowOff>0</xdr:rowOff>
    </xdr:to>
    <xdr:graphicFrame>
      <xdr:nvGraphicFramePr>
        <xdr:cNvPr id="2134" name="Chart 19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1</xdr:col>
      <xdr:colOff>0</xdr:colOff>
      <xdr:row>34</xdr:row>
      <xdr:rowOff>0</xdr:rowOff>
    </xdr:from>
    <xdr:to>
      <xdr:col>6</xdr:col>
      <xdr:colOff>0</xdr:colOff>
      <xdr:row>35</xdr:row>
      <xdr:rowOff>0</xdr:rowOff>
    </xdr:to>
    <xdr:graphicFrame>
      <xdr:nvGraphicFramePr>
        <xdr:cNvPr id="2135" name="Chart 2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6</xdr:col>
      <xdr:colOff>0</xdr:colOff>
      <xdr:row>34</xdr:row>
      <xdr:rowOff>0</xdr:rowOff>
    </xdr:from>
    <xdr:to>
      <xdr:col>10</xdr:col>
      <xdr:colOff>0</xdr:colOff>
      <xdr:row>35</xdr:row>
      <xdr:rowOff>0</xdr:rowOff>
    </xdr:to>
    <xdr:graphicFrame>
      <xdr:nvGraphicFramePr>
        <xdr:cNvPr id="2136" name="Chart 2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twoCell">
    <xdr:from>
      <xdr:col>10</xdr:col>
      <xdr:colOff>0</xdr:colOff>
      <xdr:row>34</xdr:row>
      <xdr:rowOff>0</xdr:rowOff>
    </xdr:from>
    <xdr:to>
      <xdr:col>14</xdr:col>
      <xdr:colOff>0</xdr:colOff>
      <xdr:row>35</xdr:row>
      <xdr:rowOff>0</xdr:rowOff>
    </xdr:to>
    <xdr:graphicFrame>
      <xdr:nvGraphicFramePr>
        <xdr:cNvPr id="2137" name="Chart 2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twoCell">
    <xdr:from>
      <xdr:col>10</xdr:col>
      <xdr:colOff>200025</xdr:colOff>
      <xdr:row>3</xdr:row>
      <xdr:rowOff>0</xdr:rowOff>
    </xdr:from>
    <xdr:to>
      <xdr:col>13</xdr:col>
      <xdr:colOff>676275</xdr:colOff>
      <xdr:row>12</xdr:row>
      <xdr:rowOff>76200</xdr:rowOff>
    </xdr:to>
    <xdr:grpSp>
      <xdr:nvGrpSpPr>
        <xdr:cNvPr id="0" name=""/>
        <xdr:cNvGrpSpPr/>
      </xdr:nvGrpSpPr>
      <xdr:grpSpPr bwMode="auto">
        <a:xfrm>
          <a:off x="6257925" y="508000"/>
          <a:ext cx="2609850" cy="1574800"/>
          <a:chOff x="-4727" y="-5666"/>
          <a:chExt cx="24475" cy="162"/>
        </a:xfrm>
      </xdr:grpSpPr>
      <xdr:sp>
        <xdr:nvSpPr>
          <xdr:cNvPr id="2139" name="Rectangle 24"/>
          <xdr:cNvSpPr>
            <a:spLocks noChangeArrowheads="1"/>
          </xdr:cNvSpPr>
        </xdr:nvSpPr>
        <xdr:spPr bwMode="auto">
          <a:xfrm>
            <a:off x="-4727" y="-5666"/>
            <a:ext cx="24475" cy="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grpSp>
        <xdr:nvGrpSpPr>
          <xdr:cNvPr id="2140" name=""/>
          <xdr:cNvGrpSpPr/>
        </xdr:nvGrpSpPr>
        <xdr:grpSpPr bwMode="auto">
          <a:xfrm>
            <a:off x="257" y="-5635"/>
            <a:ext cx="18868" cy="36"/>
            <a:chOff x="0" y="0"/>
            <a:chExt cx="20000" cy="20000"/>
          </a:xfrm>
        </xdr:grpSpPr>
        <xdr:sp>
          <xdr:nvSpPr>
            <xdr:cNvPr id="2155" name="Line 26"/>
            <xdr:cNvSpPr>
              <a:spLocks noChangeShapeType="1"/>
            </xdr:cNvSpPr>
          </xdr:nvSpPr>
          <xdr:spPr bwMode="auto">
            <a:xfrm flipV="1">
              <a:off x="0" y="0"/>
              <a:ext cx="3302" cy="1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</xdr:spPr>
        </xdr:sp>
        <xdr:sp>
          <xdr:nvSpPr>
            <xdr:cNvPr id="2156" name="Line 27"/>
            <xdr:cNvSpPr>
              <a:spLocks noChangeShapeType="1"/>
            </xdr:cNvSpPr>
          </xdr:nvSpPr>
          <xdr:spPr bwMode="auto">
            <a:xfrm>
              <a:off x="3302" y="0"/>
              <a:ext cx="16698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</xdr:spPr>
        </xdr:sp>
        <xdr:sp>
          <xdr:nvSpPr>
            <xdr:cNvPr id="2157" name="Line 28"/>
            <xdr:cNvSpPr>
              <a:spLocks noChangeShapeType="1"/>
            </xdr:cNvSpPr>
          </xdr:nvSpPr>
          <xdr:spPr bwMode="auto">
            <a:xfrm>
              <a:off x="0" y="10000"/>
              <a:ext cx="3302" cy="1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</xdr:spPr>
        </xdr:sp>
        <xdr:sp>
          <xdr:nvSpPr>
            <xdr:cNvPr id="2158" name="Line 29"/>
            <xdr:cNvSpPr>
              <a:spLocks noChangeShapeType="1"/>
            </xdr:cNvSpPr>
          </xdr:nvSpPr>
          <xdr:spPr bwMode="auto">
            <a:xfrm flipV="1">
              <a:off x="3302" y="20000"/>
              <a:ext cx="16698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</xdr:spPr>
        </xdr:sp>
        <xdr:sp>
          <xdr:nvSpPr>
            <xdr:cNvPr id="2159" name="Line 30"/>
            <xdr:cNvSpPr>
              <a:spLocks noChangeShapeType="1"/>
            </xdr:cNvSpPr>
          </xdr:nvSpPr>
          <xdr:spPr bwMode="auto">
            <a:xfrm>
              <a:off x="20000" y="0"/>
              <a:ext cx="0" cy="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160" name=""/>
          <xdr:cNvGrpSpPr/>
        </xdr:nvGrpSpPr>
        <xdr:grpSpPr bwMode="auto">
          <a:xfrm>
            <a:off x="6576" y="-5598"/>
            <a:ext cx="3204" cy="76"/>
            <a:chOff x="0" y="0"/>
            <a:chExt cx="20000" cy="20000"/>
          </a:xfrm>
        </xdr:grpSpPr>
        <xdr:sp>
          <xdr:nvSpPr>
            <xdr:cNvPr id="2153" name="Line 32"/>
            <xdr:cNvSpPr>
              <a:spLocks noChangeShapeType="1"/>
            </xdr:cNvSpPr>
          </xdr:nvSpPr>
          <xdr:spPr bwMode="auto">
            <a:xfrm>
              <a:off x="0" y="0"/>
              <a:ext cx="0" cy="20000"/>
            </a:xfrm>
            <a:prstGeom prst="line">
              <a:avLst/>
            </a:prstGeom>
            <a:noFill/>
            <a:ln w="24765">
              <a:solidFill>
                <a:srgbClr val="000000"/>
              </a:solidFill>
              <a:round/>
              <a:headEnd/>
              <a:tailEnd/>
            </a:ln>
          </xdr:spPr>
        </xdr:sp>
        <xdr:sp>
          <xdr:nvSpPr>
            <xdr:cNvPr id="2154" name="Line 33"/>
            <xdr:cNvSpPr>
              <a:spLocks noChangeShapeType="1"/>
            </xdr:cNvSpPr>
          </xdr:nvSpPr>
          <xdr:spPr bwMode="auto">
            <a:xfrm flipV="1">
              <a:off x="0" y="0"/>
              <a:ext cx="20000" cy="20000"/>
            </a:xfrm>
            <a:prstGeom prst="line">
              <a:avLst/>
            </a:prstGeom>
            <a:noFill/>
            <a:ln w="24765">
              <a:solidFill>
                <a:srgbClr val="000000"/>
              </a:solidFill>
              <a:round/>
              <a:headEnd/>
              <a:tailEnd/>
            </a:ln>
          </xdr:spPr>
        </xdr:sp>
      </xdr:grpSp>
      <xdr:sp>
        <xdr:nvSpPr>
          <xdr:cNvPr id="2142" name="Line 34"/>
          <xdr:cNvSpPr>
            <a:spLocks noChangeShapeType="1"/>
          </xdr:cNvSpPr>
        </xdr:nvSpPr>
        <xdr:spPr bwMode="auto">
          <a:xfrm flipH="1">
            <a:off x="-3125" y="-5523"/>
            <a:ext cx="9701" cy="0"/>
          </a:xfrm>
          <a:prstGeom prst="line">
            <a:avLst/>
          </a:prstGeom>
          <a:noFill/>
          <a:ln w="24765">
            <a:solidFill>
              <a:srgbClr val="000000"/>
            </a:solidFill>
            <a:round/>
            <a:headEnd/>
            <a:tailEnd type="arrow" w="med" len="med"/>
          </a:ln>
        </xdr:spPr>
      </xdr:sp>
      <xdr:sp>
        <xdr:nvSpPr>
          <xdr:cNvPr id="2143" name="Line 35"/>
          <xdr:cNvSpPr>
            <a:spLocks noChangeShapeType="1"/>
          </xdr:cNvSpPr>
        </xdr:nvSpPr>
        <xdr:spPr bwMode="auto">
          <a:xfrm>
            <a:off x="12895" y="-5618"/>
            <a:ext cx="0" cy="95"/>
          </a:xfrm>
          <a:prstGeom prst="line">
            <a:avLst/>
          </a:prstGeom>
          <a:noFill/>
          <a:ln w="9525">
            <a:solidFill>
              <a:srgbClr val="0000FF"/>
            </a:solidFill>
            <a:prstDash val="dash"/>
            <a:round/>
            <a:headEnd type="arrow" w="med" len="med"/>
            <a:tailEnd type="arrow" w="med" len="med"/>
          </a:ln>
        </xdr:spPr>
      </xdr:sp>
      <xdr:sp>
        <xdr:nvSpPr>
          <xdr:cNvPr id="2144" name="Line 36"/>
          <xdr:cNvSpPr>
            <a:spLocks noChangeShapeType="1"/>
          </xdr:cNvSpPr>
        </xdr:nvSpPr>
        <xdr:spPr bwMode="auto">
          <a:xfrm>
            <a:off x="257" y="-5655"/>
            <a:ext cx="6319" cy="0"/>
          </a:xfrm>
          <a:prstGeom prst="line">
            <a:avLst/>
          </a:prstGeom>
          <a:noFill/>
          <a:ln w="9525">
            <a:solidFill>
              <a:srgbClr val="0000FF"/>
            </a:solidFill>
            <a:prstDash val="dash"/>
            <a:round/>
            <a:headEnd type="arrow" w="med" len="med"/>
            <a:tailEnd type="arrow" w="med" len="med"/>
          </a:ln>
        </xdr:spPr>
      </xdr:sp>
      <xdr:sp>
        <xdr:nvSpPr>
          <xdr:cNvPr id="2085" name="Text 37"/>
          <xdr:cNvSpPr txBox="1">
            <a:spLocks noChangeArrowheads="1"/>
          </xdr:cNvSpPr>
        </xdr:nvSpPr>
        <xdr:spPr bwMode="auto">
          <a:xfrm>
            <a:off x="3194" y="-5655"/>
            <a:ext cx="1869" cy="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>
              <a:defRPr sz="1000"/>
            </a:pPr>
            <a:r>
              <a:rPr lang="en-US" sz="1000" b="0" i="0" u="none" strike="noStrike">
                <a:solidFill>
                  <a:srgbClr val="0000FF"/>
                </a:solidFill>
                <a:latin typeface="Arial"/>
                <a:cs typeface="Arial"/>
              </a:rPr>
              <a:t>D</a:t>
            </a:r>
            <a:endParaRPr/>
          </a:p>
        </xdr:txBody>
      </xdr:sp>
      <xdr:sp>
        <xdr:nvSpPr>
          <xdr:cNvPr id="2086" name="Text 38"/>
          <xdr:cNvSpPr txBox="1">
            <a:spLocks noChangeArrowheads="1"/>
          </xdr:cNvSpPr>
        </xdr:nvSpPr>
        <xdr:spPr bwMode="auto">
          <a:xfrm>
            <a:off x="10937" y="-5579"/>
            <a:ext cx="1602" cy="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>
              <a:defRPr sz="1000"/>
            </a:pPr>
            <a:r>
              <a:rPr lang="en-US" sz="1000" b="0" i="0" u="none" strike="noStrike">
                <a:solidFill>
                  <a:srgbClr val="0000FF"/>
                </a:solidFill>
                <a:latin typeface="Arial"/>
                <a:cs typeface="Arial"/>
              </a:rPr>
              <a:t>H</a:t>
            </a:r>
            <a:endParaRPr/>
          </a:p>
        </xdr:txBody>
      </xdr:sp>
      <xdr:sp>
        <xdr:nvSpPr>
          <xdr:cNvPr id="2087" name="Text 39"/>
          <xdr:cNvSpPr txBox="1">
            <a:spLocks noChangeArrowheads="1"/>
          </xdr:cNvSpPr>
        </xdr:nvSpPr>
        <xdr:spPr bwMode="auto">
          <a:xfrm>
            <a:off x="-277" y="-5522"/>
            <a:ext cx="5695" cy="1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>
              <a:defRPr sz="1000"/>
            </a:pPr>
            <a:r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t>Pushrod</a:t>
            </a:r>
            <a:endParaRPr/>
          </a:p>
        </xdr:txBody>
      </xdr:sp>
      <xdr:sp>
        <xdr:nvSpPr>
          <xdr:cNvPr id="2088" name="Text 40"/>
          <xdr:cNvSpPr txBox="1">
            <a:spLocks noChangeArrowheads="1"/>
          </xdr:cNvSpPr>
        </xdr:nvSpPr>
        <xdr:spPr bwMode="auto">
          <a:xfrm>
            <a:off x="1948" y="-5626"/>
            <a:ext cx="979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>
              <a:defRPr sz="1000"/>
            </a:pPr>
            <a:r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t>Control Surface</a:t>
            </a:r>
            <a:endParaRPr/>
          </a:p>
        </xdr:txBody>
      </xdr:sp>
      <xdr:sp>
        <xdr:nvSpPr>
          <xdr:cNvPr id="2089" name="Text 41"/>
          <xdr:cNvSpPr txBox="1">
            <a:spLocks noChangeArrowheads="1"/>
          </xdr:cNvSpPr>
        </xdr:nvSpPr>
        <xdr:spPr bwMode="auto">
          <a:xfrm>
            <a:off x="4529" y="-5549"/>
            <a:ext cx="1869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>
              <a:defRPr sz="1000"/>
            </a:pPr>
            <a:r>
              <a:rPr lang="en-US" sz="1000" b="0" i="0" u="none" strike="noStrike">
                <a:solidFill>
                  <a:srgbClr val="0000FF"/>
                </a:solidFill>
                <a:latin typeface="Arial"/>
                <a:cs typeface="Arial"/>
              </a:rPr>
              <a:t>A</a:t>
            </a:r>
            <a:endParaRPr/>
          </a:p>
        </xdr:txBody>
      </xdr:sp>
      <xdr:sp>
        <xdr:nvSpPr>
          <xdr:cNvPr id="2150" name="Oval 42"/>
          <xdr:cNvSpPr>
            <a:spLocks noChangeArrowheads="1"/>
          </xdr:cNvSpPr>
        </xdr:nvSpPr>
        <xdr:spPr bwMode="auto">
          <a:xfrm>
            <a:off x="-188" y="-5622"/>
            <a:ext cx="1068" cy="9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>
        <xdr:nvSpPr>
          <xdr:cNvPr id="2091" name="Text 43"/>
          <xdr:cNvSpPr txBox="1">
            <a:spLocks noChangeArrowheads="1"/>
          </xdr:cNvSpPr>
        </xdr:nvSpPr>
        <xdr:spPr bwMode="auto">
          <a:xfrm>
            <a:off x="-4460" y="-5627"/>
            <a:ext cx="4183" cy="2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>
              <a:defRPr sz="1000"/>
            </a:pPr>
            <a:r>
              <a:rPr lang="en-US" sz="1000" b="0" i="0" u="none" strike="noStrike">
                <a:solidFill>
                  <a:srgbClr val="000000"/>
                </a:solidFill>
                <a:latin typeface="Arial"/>
                <a:cs typeface="Arial"/>
              </a:rPr>
              <a:t>Hinge</a:t>
            </a:r>
            <a:endParaRPr/>
          </a:p>
        </xdr:txBody>
      </xdr:sp>
      <xdr:sp>
        <xdr:nvSpPr>
          <xdr:cNvPr id="2152" name="Arc 44"/>
          <xdr:cNvSpPr/>
        </xdr:nvSpPr>
        <xdr:spPr bwMode="auto">
          <a:xfrm flipH="1">
            <a:off x="3817" y="-5561"/>
            <a:ext cx="2759" cy="38"/>
          </a:xfrm>
          <a:custGeom>
            <a:avLst/>
            <a:gdLst>
              <a:gd name="T0" fmla="*/ 0 w 21600"/>
              <a:gd name="T1" fmla="*/ 0 h 21600"/>
              <a:gd name="T2" fmla="*/ 352 w 21600"/>
              <a:gd name="T3" fmla="*/ 0 h 21600"/>
              <a:gd name="T4" fmla="*/ 0 w 21600"/>
              <a:gd name="T5" fmla="*/ 0 h 21600"/>
              <a:gd name="T6" fmla="*/ 0 60000 65536"/>
              <a:gd name="T7" fmla="*/ 0 60000 65536"/>
              <a:gd name="T8" fmla="*/ 0 60000 65536"/>
              <a:gd name="T9" fmla="*/ 0 w 21600"/>
              <a:gd name="T10" fmla="*/ 0 h 21600"/>
              <a:gd name="T11" fmla="*/ 21600 w 21600"/>
              <a:gd name="T12" fmla="*/ 21600 h 216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1600" h="21600" fill="none" stroke="1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</a:path>
              <a:path w="21600" h="21600" fill="norm" stroke="0" extrusionOk="0">
                <a:moveTo>
                  <a:pt x="-1" y="0"/>
                </a:moveTo>
                <a:cubicBezTo>
                  <a:pt x="11929" y="0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9525">
            <a:solidFill>
              <a:srgbClr val="0000FF"/>
            </a:solidFill>
            <a:prstDash val="dash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0</xdr:colOff>
      <xdr:row>2</xdr:row>
      <xdr:rowOff>0</xdr:rowOff>
    </xdr:from>
    <xdr:to>
      <xdr:col>8</xdr:col>
      <xdr:colOff>0</xdr:colOff>
      <xdr:row>16</xdr:row>
      <xdr:rowOff>0</xdr:rowOff>
    </xdr:to>
    <xdr:graphicFrame>
      <xdr:nvGraphicFramePr>
        <xdr:cNvPr id="3171" name="Chart 4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twoCell">
    <xdr:from>
      <xdr:col>8</xdr:col>
      <xdr:colOff>0</xdr:colOff>
      <xdr:row>18</xdr:row>
      <xdr:rowOff>0</xdr:rowOff>
    </xdr:from>
    <xdr:to>
      <xdr:col>9</xdr:col>
      <xdr:colOff>0</xdr:colOff>
      <xdr:row>32</xdr:row>
      <xdr:rowOff>0</xdr:rowOff>
    </xdr:to>
    <xdr:graphicFrame>
      <xdr:nvGraphicFramePr>
        <xdr:cNvPr id="3172" name="Chart 4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7</xdr:col>
      <xdr:colOff>0</xdr:colOff>
      <xdr:row>18</xdr:row>
      <xdr:rowOff>0</xdr:rowOff>
    </xdr:from>
    <xdr:to>
      <xdr:col>8</xdr:col>
      <xdr:colOff>0</xdr:colOff>
      <xdr:row>32</xdr:row>
      <xdr:rowOff>0</xdr:rowOff>
    </xdr:to>
    <xdr:graphicFrame>
      <xdr:nvGraphicFramePr>
        <xdr:cNvPr id="3173" name="Chart 4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6</xdr:col>
      <xdr:colOff>0</xdr:colOff>
      <xdr:row>18</xdr:row>
      <xdr:rowOff>0</xdr:rowOff>
    </xdr:from>
    <xdr:to>
      <xdr:col>7</xdr:col>
      <xdr:colOff>0</xdr:colOff>
      <xdr:row>32</xdr:row>
      <xdr:rowOff>0</xdr:rowOff>
    </xdr:to>
    <xdr:graphicFrame>
      <xdr:nvGraphicFramePr>
        <xdr:cNvPr id="3174" name="Chart 43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45</xdr:col>
      <xdr:colOff>0</xdr:colOff>
      <xdr:row>13</xdr:row>
      <xdr:rowOff>0</xdr:rowOff>
    </xdr:from>
    <xdr:to>
      <xdr:col>52</xdr:col>
      <xdr:colOff>0</xdr:colOff>
      <xdr:row>26</xdr:row>
      <xdr:rowOff>0</xdr:rowOff>
    </xdr:to>
    <xdr:graphicFrame>
      <xdr:nvGraphicFramePr>
        <xdr:cNvPr id="3175" name="Chart 58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45</xdr:col>
      <xdr:colOff>0</xdr:colOff>
      <xdr:row>13</xdr:row>
      <xdr:rowOff>0</xdr:rowOff>
    </xdr:from>
    <xdr:to>
      <xdr:col>52</xdr:col>
      <xdr:colOff>0</xdr:colOff>
      <xdr:row>26</xdr:row>
      <xdr:rowOff>0</xdr:rowOff>
    </xdr:to>
    <xdr:graphicFrame>
      <xdr:nvGraphicFramePr>
        <xdr:cNvPr id="3176" name="Chart 55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8</xdr:col>
      <xdr:colOff>0</xdr:colOff>
      <xdr:row>2</xdr:row>
      <xdr:rowOff>0</xdr:rowOff>
    </xdr:from>
    <xdr:to>
      <xdr:col>9</xdr:col>
      <xdr:colOff>0</xdr:colOff>
      <xdr:row>16</xdr:row>
      <xdr:rowOff>0</xdr:rowOff>
    </xdr:to>
    <xdr:graphicFrame>
      <xdr:nvGraphicFramePr>
        <xdr:cNvPr id="3177" name="Chart 3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twoCellAnchor>
  <xdr:twoCellAnchor editAs="twoCell">
    <xdr:from>
      <xdr:col>8</xdr:col>
      <xdr:colOff>0</xdr:colOff>
      <xdr:row>2</xdr:row>
      <xdr:rowOff>0</xdr:rowOff>
    </xdr:from>
    <xdr:to>
      <xdr:col>9</xdr:col>
      <xdr:colOff>0</xdr:colOff>
      <xdr:row>16</xdr:row>
      <xdr:rowOff>0</xdr:rowOff>
    </xdr:to>
    <xdr:graphicFrame>
      <xdr:nvGraphicFramePr>
        <xdr:cNvPr id="3178" name="Chart 56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0</xdr:colOff>
      <xdr:row>7</xdr:row>
      <xdr:rowOff>0</xdr:rowOff>
    </xdr:from>
    <xdr:to>
      <xdr:col>5</xdr:col>
      <xdr:colOff>0</xdr:colOff>
      <xdr:row>23</xdr:row>
      <xdr:rowOff>0</xdr:rowOff>
    </xdr:to>
    <xdr:graphicFrame>
      <xdr:nvGraphicFramePr>
        <xdr:cNvPr id="4107" name="Chart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0</xdr:colOff>
      <xdr:row>7</xdr:row>
      <xdr:rowOff>0</xdr:rowOff>
    </xdr:from>
    <xdr:to>
      <xdr:col>9</xdr:col>
      <xdr:colOff>0</xdr:colOff>
      <xdr:row>23</xdr:row>
      <xdr:rowOff>0</xdr:rowOff>
    </xdr:to>
    <xdr:graphicFrame>
      <xdr:nvGraphicFramePr>
        <xdr:cNvPr id="4108" name="Chart 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9</xdr:col>
      <xdr:colOff>0</xdr:colOff>
      <xdr:row>7</xdr:row>
      <xdr:rowOff>0</xdr:rowOff>
    </xdr:from>
    <xdr:to>
      <xdr:col>13</xdr:col>
      <xdr:colOff>0</xdr:colOff>
      <xdr:row>23</xdr:row>
      <xdr:rowOff>0</xdr:rowOff>
    </xdr:to>
    <xdr:graphicFrame>
      <xdr:nvGraphicFramePr>
        <xdr:cNvPr id="4109" name="Chart 3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13</xdr:col>
      <xdr:colOff>0</xdr:colOff>
      <xdr:row>7</xdr:row>
      <xdr:rowOff>0</xdr:rowOff>
    </xdr:from>
    <xdr:to>
      <xdr:col>17</xdr:col>
      <xdr:colOff>0</xdr:colOff>
      <xdr:row>23</xdr:row>
      <xdr:rowOff>0</xdr:rowOff>
    </xdr:to>
    <xdr:graphicFrame>
      <xdr:nvGraphicFramePr>
        <xdr:cNvPr id="4110" name="Chart 4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17</xdr:col>
      <xdr:colOff>0</xdr:colOff>
      <xdr:row>7</xdr:row>
      <xdr:rowOff>0</xdr:rowOff>
    </xdr:from>
    <xdr:to>
      <xdr:col>21</xdr:col>
      <xdr:colOff>0</xdr:colOff>
      <xdr:row>23</xdr:row>
      <xdr:rowOff>0</xdr:rowOff>
    </xdr:to>
    <xdr:graphicFrame>
      <xdr:nvGraphicFramePr>
        <xdr:cNvPr id="4111" name="Chart 5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 satisfied Microsoft Office user" id="{3E8D5878-F8DF-CC40-0CF9-3BB8FA280307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personId="{3E8D5878-F8DF-CC40-0CF9-3BB8FA280307}" id="{0033004B-00CF-4B8B-B072-0077004E002A}" done="0">
    <text xml:space="preserve">Cells with red triangle markers contain detailed comments.
</text>
  </threadedComment>
  <threadedComment ref="B11" personId="{3E8D5878-F8DF-CC40-0CF9-3BB8FA280307}" id="{00CC0037-004B-4349-91F4-00A8008200D7}" done="0">
    <text xml:space="preserve">Maximum negative control rotation (degrees)
</text>
  </threadedComment>
  <threadedComment ref="C11" personId="{3E8D5878-F8DF-CC40-0CF9-3BB8FA280307}" id="{00E3004B-00BB-427C-AE9C-00B300050071}" done="0">
    <text xml:space="preserve">This cell value can be adjusted manually.
</text>
  </threadedComment>
  <threadedComment ref="B13" personId="{3E8D5878-F8DF-CC40-0CF9-3BB8FA280307}" id="{00BD00EF-0027-414C-B9DB-0047001B00B5}" done="0">
    <text xml:space="preserve">Control offset from neutral (degrees)
</text>
  </threadedComment>
  <threadedComment ref="B14" personId="{3E8D5878-F8DF-CC40-0CF9-3BB8FA280307}" id="{00210061-00FB-4016-A467-00A8002E0056}" done="0">
    <text xml:space="preserve">Relative angle of attack of surface (degrees)
</text>
  </threadedComment>
  <threadedComment ref="B15" personId="{3E8D5878-F8DF-CC40-0CF9-3BB8FA280307}" id="{00DD0031-0086-4BE9-8ABD-002D004C007B}" done="0">
    <text xml:space="preserve">Reverse servo rotation
</text>
  </threadedComment>
  <threadedComment ref="B16" personId="{3E8D5878-F8DF-CC40-0CF9-3BB8FA280307}" id="{004100C6-007B-430B-B398-00C100A6003D}" done="0">
    <text xml:space="preserve">Maximum airspeed (miles / hour)
</text>
  </threadedComment>
  <threadedComment ref="C16" personId="{3E8D5878-F8DF-CC40-0CF9-3BB8FA280307}" id="{00A200D8-0073-4972-9E7F-006300130029}" done="0">
    <text xml:space="preserve">This cell value can be adjusted manually.
</text>
  </threadedComment>
  <threadedComment ref="B17" personId="{3E8D5878-F8DF-CC40-0CF9-3BB8FA280307}" id="{00D900F4-0068-4D4B-A237-00A6008A00C4}" done="0">
    <text xml:space="preserve">Average control surface chord (cm)
</text>
  </threadedComment>
  <threadedComment ref="C17" personId="{3E8D5878-F8DF-CC40-0CF9-3BB8FA280307}" id="{00C200FB-003B-4B76-9B4A-003100AC0002}" done="0">
    <text xml:space="preserve">This cell value can be adjusted manually.
</text>
  </threadedComment>
  <threadedComment ref="B18" personId="{3E8D5878-F8DF-CC40-0CF9-3BB8FA280307}" id="{00BD00A2-0030-4408-AA87-003F003800CE}" done="0">
    <text xml:space="preserve">Average control surface length (cm)
</text>
  </threadedComment>
  <threadedComment ref="C18" personId="{3E8D5878-F8DF-CC40-0CF9-3BB8FA280307}" id="{003000F3-006D-4EC8-8380-002000940085}" done="0">
    <text xml:space="preserve">This cell value can be adjusted manually.
</text>
  </threadedComment>
  <threadedComment ref="B20" personId="{3E8D5878-F8DF-CC40-0CF9-3BB8FA280307}" id="{000200CB-007E-4FB2-8B0C-00B7004B007B}" done="0">
    <text xml:space="preserve">Current transmitter stick position (%)
</text>
  </threadedComment>
  <threadedComment ref="B3" personId="{3E8D5878-F8DF-CC40-0CF9-3BB8FA280307}" id="{0022005B-00D4-4B78-85C7-00FA00890074}" done="0">
    <text xml:space="preserve">Servo distance forward of hingeline (cm)
</text>
  </threadedComment>
  <threadedComment ref="C3" personId="{3E8D5878-F8DF-CC40-0CF9-3BB8FA280307}" id="{00FE00A7-0041-4BFB-968D-007500A1002C}" done="0">
    <text xml:space="preserve">This cell value can be adjusted manually.
</text>
  </threadedComment>
  <threadedComment ref="B21" personId="{3E8D5878-F8DF-CC40-0CF9-3BB8FA280307}" id="{000D000A-007E-44D6-8D03-00C8008800D0}" done="0">
    <text xml:space="preserve">Current control surface deflection angle (degrees)
</text>
  </threadedComment>
  <threadedComment ref="B25" personId="{3E8D5878-F8DF-CC40-0CF9-3BB8FA280307}" id="{004500B0-00A6-47D4-840D-002400570083}" done="0">
    <text xml:space="preserve">Maximum required servo torque (ounce inches)
</text>
  </threadedComment>
  <threadedComment ref="B26" personId="{3E8D5878-F8DF-CC40-0CF9-3BB8FA280307}" id="{00A5001A-00B8-4975-905A-00D100CD00DA}" done="0">
    <text xml:space="preserve">Maximum torque on control horn (ounce inches)
</text>
  </threadedComment>
  <threadedComment ref="B27" personId="{3E8D5878-F8DF-CC40-0CF9-3BB8FA280307}" id="{00AD009D-0018-456D-BED4-00AB00CB0060}" done="0">
    <text xml:space="preserve">Maximum force exerted on/by pushrod (pounds force)
</text>
  </threadedComment>
  <threadedComment ref="B29" personId="{3E8D5878-F8DF-CC40-0CF9-3BB8FA280307}" id="{00E100E3-000E-4325-A330-00A100D60012}" done="0">
    <text xml:space="preserve">Servo arm/pushrod angle at 0% stick (degrees)
</text>
  </threadedComment>
  <threadedComment ref="B30" personId="{3E8D5878-F8DF-CC40-0CF9-3BB8FA280307}" id="{004A0069-0046-4A38-B664-0035009800E4}" done="0">
    <text xml:space="preserve">Servo arm/chordline angle at 0% stick (degrees)
</text>
  </threadedComment>
  <threadedComment ref="B4" personId="{3E8D5878-F8DF-CC40-0CF9-3BB8FA280307}" id="{00F40000-004F-46F7-852B-00FE005F003B}" done="0">
    <text xml:space="preserve">Servo distance above/below chordline (cm)
</text>
  </threadedComment>
  <threadedComment ref="B31" personId="{3E8D5878-F8DF-CC40-0CF9-3BB8FA280307}" id="{0071004C-001C-4EE6-AE83-0029009C0071}" done="0">
    <text xml:space="preserve">Servo arm length (cm)
</text>
  </threadedComment>
  <threadedComment ref="B32" personId="{3E8D5878-F8DF-CC40-0CF9-3BB8FA280307}" id="{00550048-0086-453C-B230-00F400660054}" done="0">
    <text xml:space="preserve">Pushrod length (cm)
</text>
  </threadedComment>
  <threadedComment ref="B5" personId="{3E8D5878-F8DF-CC40-0CF9-3BB8FA280307}" id="{00B800BF-00C8-4F67-8F36-003100F500A6}" done="0">
    <text xml:space="preserve">Control horn distance aft of hingeline (cm)
</text>
  </threadedComment>
  <threadedComment ref="B6" personId="{3E8D5878-F8DF-CC40-0CF9-3BB8FA280307}" id="{00B700D4-0001-4985-B264-00C90027009F}" done="0">
    <text xml:space="preserve">Control horn height above/below chordline (cm)
</text>
  </threadedComment>
  <threadedComment ref="B8" personId="{3E8D5878-F8DF-CC40-0CF9-3BB8FA280307}" id="{00F3007C-00B5-4AEC-B4C4-003600FE0067}" done="0">
    <text xml:space="preserve">Maximum postitive servo rotation (degrees)
</text>
  </threadedComment>
  <threadedComment ref="C8" personId="{3E8D5878-F8DF-CC40-0CF9-3BB8FA280307}" id="{001000FF-004C-4AA3-AA2A-00080020009D}" done="0">
    <text xml:space="preserve">This cell value can be adjusted manually.
</text>
  </threadedComment>
  <threadedComment ref="B9" personId="{3E8D5878-F8DF-CC40-0CF9-3BB8FA280307}" id="{0038007A-0092-43E7-BFAE-0062005500D2}" done="0">
    <text xml:space="preserve">Maximum negative servo rotation (degrees)
</text>
  </threadedComment>
  <threadedComment ref="C9" personId="{3E8D5878-F8DF-CC40-0CF9-3BB8FA280307}" id="{00950060-0036-4AA8-AA2A-007A000D000E}" done="0">
    <text xml:space="preserve">This cell value can be adjusted manually.
</text>
  </threadedComment>
  <threadedComment ref="B10" personId="{3E8D5878-F8DF-CC40-0CF9-3BB8FA280307}" id="{00DB00F4-004B-4009-A4BC-001C00D8004A}" done="0">
    <text xml:space="preserve">Maximum positive control rotation (degrees)
</text>
  </threadedComment>
  <threadedComment ref="C10" personId="{3E8D5878-F8DF-CC40-0CF9-3BB8FA280307}" id="{00BB00D0-00CA-46E3-BF48-002700EC00F5}" done="0">
    <text xml:space="preserve">This cell value can be adjusted manually.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1" personId="{3E8D5878-F8DF-CC40-0CF9-3BB8FA280307}" id="{00710062-000E-4842-BCF1-000E00A20070}" done="0">
    <text xml:space="preserve">Minimize this value for faster servo response and less chance of sustained surface oscillation (one form of flutter).
</text>
  </threadedComment>
  <threadedComment ref="C22" personId="{3E8D5878-F8DF-CC40-0CF9-3BB8FA280307}" id="{0037006A-0056-47E6-82A7-005800F90091}" done="0">
    <text xml:space="preserve">Minimize this value to avoid flutter and reduce the influence of engine vibration and G's on control surface position.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drawing" Target="../drawings/drawing3.xml"/><Relationship  Id="rId4" Type="http://schemas.openxmlformats.org/officeDocument/2006/relationships/vmlDrawing" Target="../drawings/vmlDrawing1.vml"/></Relationships>
</file>

<file path=xl/worksheets/_rels/sheet6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vmlDrawing" Target="../drawings/vmlDrawing2.v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E1" zoomScale="100" workbookViewId="0">
      <selection activeCell="L8" activeCellId="0" sqref="L8"/>
    </sheetView>
  </sheetViews>
  <sheetFormatPr defaultRowHeight="12.75"/>
  <cols>
    <col customWidth="1" min="1" max="1" style="1" width="2.5703125"/>
    <col customWidth="1" min="2" max="13" style="1" width="9.7109375"/>
    <col customWidth="1" min="14" max="14" style="1" width="3"/>
    <col customWidth="1" min="15" max="15" style="1" width="9.7109375"/>
    <col customWidth="1" min="16" max="16" style="1" width="7.28515625"/>
    <col customWidth="1" min="17" max="17" style="1" width="5.7109375"/>
    <col customWidth="1" min="18" max="18" style="1" width="4.42578125"/>
    <col customWidth="1" min="19" max="26" style="1" width="4.28515625"/>
    <col min="27" max="16384" style="1" width="9.140625"/>
  </cols>
  <sheetData>
    <row r="1" ht="13.5">
      <c r="L1" s="2"/>
      <c r="M1" s="2"/>
    </row>
    <row r="2">
      <c r="J2" s="3" t="s">
        <v>0</v>
      </c>
      <c r="K2" s="4">
        <v>50</v>
      </c>
      <c r="O2" s="5" t="s">
        <v>1</v>
      </c>
      <c r="P2" s="6"/>
      <c r="Q2" s="6"/>
      <c r="R2" s="6"/>
      <c r="S2" s="6"/>
      <c r="T2" s="6"/>
      <c r="U2" s="6"/>
      <c r="V2" s="6"/>
      <c r="W2" s="6"/>
      <c r="X2" s="6"/>
      <c r="Y2" s="7"/>
      <c r="AA2" s="8" t="s">
        <v>2</v>
      </c>
      <c r="AB2" s="9"/>
      <c r="AC2" s="9"/>
      <c r="AD2" s="9"/>
      <c r="AE2" s="10"/>
      <c r="AF2" s="10"/>
      <c r="AG2" s="10"/>
      <c r="AH2" s="10"/>
      <c r="AI2" s="10"/>
      <c r="AJ2" s="10"/>
      <c r="AK2" s="10"/>
    </row>
    <row r="3">
      <c r="J3" s="3"/>
      <c r="K3" s="3"/>
      <c r="O3" s="11"/>
      <c r="P3" s="12"/>
      <c r="Q3" s="12"/>
      <c r="R3" s="13" t="s">
        <v>3</v>
      </c>
      <c r="S3" s="14">
        <f t="shared" ref="S3:X3" si="0">T3-0.125*$Y$3</f>
        <v>12.5</v>
      </c>
      <c r="T3" s="14">
        <f t="shared" si="0"/>
        <v>18.75</v>
      </c>
      <c r="U3" s="14">
        <f t="shared" si="0"/>
        <v>25</v>
      </c>
      <c r="V3" s="14">
        <f t="shared" si="0"/>
        <v>31.25</v>
      </c>
      <c r="W3" s="14">
        <f t="shared" si="0"/>
        <v>37.5</v>
      </c>
      <c r="X3" s="14">
        <f t="shared" si="0"/>
        <v>43.75</v>
      </c>
      <c r="Y3" s="15">
        <f>$K$2</f>
        <v>50</v>
      </c>
      <c r="AA3" s="1" t="s">
        <v>4</v>
      </c>
      <c r="AB3" s="9"/>
      <c r="AC3" s="9"/>
      <c r="AD3" s="9"/>
      <c r="AE3" s="10"/>
      <c r="AF3" s="10"/>
      <c r="AG3" s="10"/>
      <c r="AH3" s="10"/>
      <c r="AI3" s="10"/>
      <c r="AJ3" s="10"/>
      <c r="AK3" s="10"/>
    </row>
    <row r="4">
      <c r="J4" s="3"/>
      <c r="K4" s="2" t="s">
        <v>5</v>
      </c>
      <c r="L4" s="2" t="s">
        <v>6</v>
      </c>
      <c r="M4" s="2" t="s">
        <v>7</v>
      </c>
      <c r="O4" s="11"/>
      <c r="P4" s="12" t="s">
        <v>8</v>
      </c>
      <c r="Q4" s="12" t="s">
        <v>9</v>
      </c>
      <c r="R4" s="13"/>
      <c r="S4" s="14"/>
      <c r="T4" s="14"/>
      <c r="U4" s="14"/>
      <c r="V4" s="14"/>
      <c r="W4" s="14"/>
      <c r="X4" s="14"/>
      <c r="Y4" s="15"/>
      <c r="AA4" s="16" t="s">
        <v>10</v>
      </c>
      <c r="AB4" s="9"/>
      <c r="AC4" s="9"/>
      <c r="AD4" s="9"/>
      <c r="AE4" s="10"/>
      <c r="AF4" s="10"/>
      <c r="AG4" s="10"/>
      <c r="AH4" s="10"/>
      <c r="AI4" s="10"/>
      <c r="AJ4" s="10"/>
      <c r="AK4" s="10"/>
    </row>
    <row r="5" ht="13.5">
      <c r="J5" s="3" t="s">
        <v>11</v>
      </c>
      <c r="K5" s="17">
        <v>9.5999999999999996</v>
      </c>
      <c r="L5" s="17">
        <v>11</v>
      </c>
      <c r="M5" s="17">
        <v>15</v>
      </c>
      <c r="O5" s="11"/>
      <c r="P5" s="18" t="s">
        <v>12</v>
      </c>
      <c r="Q5" s="18" t="s">
        <v>12</v>
      </c>
      <c r="R5" s="19"/>
      <c r="S5" s="20" t="s">
        <v>13</v>
      </c>
      <c r="T5" s="21"/>
      <c r="U5" s="21"/>
      <c r="V5" s="21"/>
      <c r="W5" s="21"/>
      <c r="X5" s="21"/>
      <c r="Y5" s="22"/>
      <c r="AA5" s="1" t="s">
        <v>14</v>
      </c>
      <c r="AB5" s="9"/>
      <c r="AC5" s="9"/>
      <c r="AD5" s="9"/>
      <c r="AE5" s="10"/>
      <c r="AF5" s="10"/>
      <c r="AG5" s="10"/>
      <c r="AH5" s="10"/>
      <c r="AI5" s="10"/>
      <c r="AJ5" s="10"/>
      <c r="AK5" s="10"/>
    </row>
    <row r="6">
      <c r="J6" s="3" t="s">
        <v>15</v>
      </c>
      <c r="K6" s="17">
        <v>66</v>
      </c>
      <c r="L6" s="17">
        <v>63</v>
      </c>
      <c r="M6" s="17">
        <v>31</v>
      </c>
      <c r="O6" s="23" t="s">
        <v>5</v>
      </c>
      <c r="P6" s="24">
        <f>$K$9</f>
        <v>50</v>
      </c>
      <c r="Q6" s="25">
        <f t="shared" ref="Q6:Q12" si="1">ASIN(SIN($P6*PI()/180)*SIN($K$8*PI()/180)/SIN($K$9*PI()/180))*180/PI()</f>
        <v>50</v>
      </c>
      <c r="R6" s="26"/>
      <c r="S6" s="27">
        <f t="shared" ref="S6:Y12" si="2">1.7*10^-5*$K$5^2*$K$6*S$3^2*TAN($P6*PI()/180)*SIN($P6*PI()/180)/TAN($Q6*PI()/180)/2</f>
        <v>6.1884134292923507</v>
      </c>
      <c r="T6" s="27">
        <f t="shared" si="2"/>
        <v>13.923930215907788</v>
      </c>
      <c r="U6" s="27">
        <f t="shared" si="2"/>
        <v>24.753653717169403</v>
      </c>
      <c r="V6" s="27">
        <f t="shared" si="2"/>
        <v>38.677583933077187</v>
      </c>
      <c r="W6" s="27">
        <f t="shared" si="2"/>
        <v>55.695720863631152</v>
      </c>
      <c r="X6" s="27">
        <f t="shared" si="2"/>
        <v>75.808064508831293</v>
      </c>
      <c r="Y6" s="28">
        <f t="shared" si="2"/>
        <v>99.014614868677612</v>
      </c>
      <c r="AA6" s="1" t="s">
        <v>16</v>
      </c>
      <c r="AB6" s="9"/>
      <c r="AC6" s="9"/>
      <c r="AD6" s="9"/>
      <c r="AE6" s="10"/>
      <c r="AF6" s="10"/>
      <c r="AG6" s="10"/>
      <c r="AH6" s="10"/>
      <c r="AI6" s="10"/>
      <c r="AJ6" s="10"/>
      <c r="AK6" s="10"/>
    </row>
    <row r="7">
      <c r="J7" s="29" t="s">
        <v>17</v>
      </c>
      <c r="K7" s="30">
        <v>150</v>
      </c>
      <c r="L7" s="30">
        <v>150</v>
      </c>
      <c r="M7" s="30">
        <v>150</v>
      </c>
      <c r="O7" s="11"/>
      <c r="P7" s="12">
        <f t="shared" ref="P7:P12" si="3">P6-0.15*$P$6</f>
        <v>42.5</v>
      </c>
      <c r="Q7" s="12">
        <f t="shared" si="1"/>
        <v>42.5</v>
      </c>
      <c r="R7" s="31"/>
      <c r="S7" s="12">
        <f t="shared" si="2"/>
        <v>5.4576879332023491</v>
      </c>
      <c r="T7" s="12">
        <f t="shared" si="2"/>
        <v>12.279797849705282</v>
      </c>
      <c r="U7" s="12">
        <f t="shared" si="2"/>
        <v>21.830751732809397</v>
      </c>
      <c r="V7" s="12">
        <f t="shared" si="2"/>
        <v>34.110549582514679</v>
      </c>
      <c r="W7" s="12">
        <f t="shared" si="2"/>
        <v>49.11919139882113</v>
      </c>
      <c r="X7" s="12">
        <f t="shared" si="2"/>
        <v>66.85667718172877</v>
      </c>
      <c r="Y7" s="32">
        <f t="shared" si="2"/>
        <v>87.323006931237586</v>
      </c>
      <c r="AA7" s="1" t="s">
        <v>18</v>
      </c>
      <c r="AB7" s="9"/>
      <c r="AC7" s="9"/>
      <c r="AD7" s="9"/>
      <c r="AE7" s="10"/>
      <c r="AF7" s="10"/>
      <c r="AG7" s="10"/>
      <c r="AH7" s="10"/>
      <c r="AI7" s="10"/>
      <c r="AJ7" s="10"/>
      <c r="AK7" s="10"/>
    </row>
    <row r="8">
      <c r="J8" s="3" t="s">
        <v>19</v>
      </c>
      <c r="K8" s="33">
        <v>50</v>
      </c>
      <c r="L8" s="33">
        <v>50</v>
      </c>
      <c r="M8" s="33">
        <v>50</v>
      </c>
      <c r="O8" s="11"/>
      <c r="P8" s="12">
        <f t="shared" si="3"/>
        <v>35</v>
      </c>
      <c r="Q8" s="12">
        <f t="shared" si="1"/>
        <v>35</v>
      </c>
      <c r="R8" s="31"/>
      <c r="S8" s="12">
        <f t="shared" si="2"/>
        <v>4.6335798834182897</v>
      </c>
      <c r="T8" s="12">
        <f t="shared" si="2"/>
        <v>10.425554737691151</v>
      </c>
      <c r="U8" s="12">
        <f t="shared" si="2"/>
        <v>18.534319533673159</v>
      </c>
      <c r="V8" s="12">
        <f t="shared" si="2"/>
        <v>28.95987427136431</v>
      </c>
      <c r="W8" s="12">
        <f t="shared" si="2"/>
        <v>41.702218950764603</v>
      </c>
      <c r="X8" s="12">
        <f t="shared" si="2"/>
        <v>56.761353571874039</v>
      </c>
      <c r="Y8" s="32">
        <f t="shared" si="2"/>
        <v>74.137278134692636</v>
      </c>
      <c r="AA8" s="1" t="s">
        <v>20</v>
      </c>
      <c r="AB8" s="9"/>
      <c r="AC8" s="9"/>
      <c r="AD8" s="9"/>
      <c r="AE8" s="10"/>
      <c r="AF8" s="10"/>
      <c r="AG8" s="10"/>
      <c r="AH8" s="10"/>
      <c r="AI8" s="10"/>
      <c r="AJ8" s="10"/>
      <c r="AK8" s="10"/>
    </row>
    <row r="9">
      <c r="J9" s="3" t="s">
        <v>21</v>
      </c>
      <c r="K9" s="34">
        <v>50</v>
      </c>
      <c r="L9" s="34">
        <v>50</v>
      </c>
      <c r="M9" s="34">
        <v>50</v>
      </c>
      <c r="O9" s="11"/>
      <c r="P9" s="12">
        <f t="shared" si="3"/>
        <v>27.5</v>
      </c>
      <c r="Q9" s="12">
        <f t="shared" si="1"/>
        <v>27.499999999999996</v>
      </c>
      <c r="R9" s="31"/>
      <c r="S9" s="12">
        <f t="shared" si="2"/>
        <v>3.7301899971578973</v>
      </c>
      <c r="T9" s="12">
        <f t="shared" si="2"/>
        <v>8.3929274936052671</v>
      </c>
      <c r="U9" s="12">
        <f t="shared" si="2"/>
        <v>14.920759988631589</v>
      </c>
      <c r="V9" s="12">
        <f t="shared" si="2"/>
        <v>23.313687482236858</v>
      </c>
      <c r="W9" s="12">
        <f t="shared" si="2"/>
        <v>33.571709974421069</v>
      </c>
      <c r="X9" s="12">
        <f t="shared" si="2"/>
        <v>45.69482746518424</v>
      </c>
      <c r="Y9" s="32">
        <f t="shared" si="2"/>
        <v>59.683039954526357</v>
      </c>
      <c r="AA9" s="1" t="s">
        <v>22</v>
      </c>
      <c r="AB9" s="9"/>
      <c r="AC9" s="9"/>
      <c r="AD9" s="9"/>
      <c r="AE9" s="10"/>
      <c r="AF9" s="10"/>
      <c r="AG9" s="10"/>
      <c r="AH9" s="10"/>
      <c r="AI9" s="10"/>
      <c r="AJ9" s="10"/>
      <c r="AK9" s="10"/>
    </row>
    <row r="10">
      <c r="O10" s="11"/>
      <c r="P10" s="12">
        <f t="shared" si="3"/>
        <v>20</v>
      </c>
      <c r="Q10" s="12">
        <f t="shared" si="1"/>
        <v>20</v>
      </c>
      <c r="R10" s="31"/>
      <c r="S10" s="12">
        <f t="shared" si="2"/>
        <v>2.7629755258420814</v>
      </c>
      <c r="T10" s="12">
        <f t="shared" si="2"/>
        <v>6.2166949331446828</v>
      </c>
      <c r="U10" s="12">
        <f t="shared" si="2"/>
        <v>11.051902103368326</v>
      </c>
      <c r="V10" s="12">
        <f t="shared" si="2"/>
        <v>17.268597036513011</v>
      </c>
      <c r="W10" s="12">
        <f t="shared" si="2"/>
        <v>24.866779732578731</v>
      </c>
      <c r="X10" s="12">
        <f t="shared" si="2"/>
        <v>33.846450191565502</v>
      </c>
      <c r="Y10" s="32">
        <f t="shared" si="2"/>
        <v>44.207608413473302</v>
      </c>
      <c r="Z10" s="2"/>
      <c r="AA10" s="1" t="s">
        <v>23</v>
      </c>
      <c r="AB10" s="9"/>
      <c r="AC10" s="9"/>
      <c r="AD10" s="9"/>
      <c r="AE10" s="10"/>
      <c r="AF10" s="10"/>
      <c r="AG10" s="10"/>
      <c r="AH10" s="10"/>
      <c r="AI10" s="10"/>
      <c r="AJ10" s="10"/>
      <c r="AK10" s="10"/>
    </row>
    <row r="11">
      <c r="J11" s="3" t="s">
        <v>24</v>
      </c>
      <c r="K11" s="35">
        <f>MAX(Y6:Y12)</f>
        <v>99.014614868677612</v>
      </c>
      <c r="L11" s="35">
        <f>MAX(Y13:Y19)</f>
        <v>124.09058178528932</v>
      </c>
      <c r="M11" s="35">
        <f>MAX(Y20:Y26)</f>
        <v>113.54214980354101</v>
      </c>
      <c r="O11" s="11"/>
      <c r="P11" s="12">
        <f t="shared" si="3"/>
        <v>12.5</v>
      </c>
      <c r="Q11" s="12">
        <f t="shared" si="1"/>
        <v>12.5</v>
      </c>
      <c r="R11" s="31"/>
      <c r="S11" s="12">
        <f t="shared" si="2"/>
        <v>1.7484857772375699</v>
      </c>
      <c r="T11" s="12">
        <f t="shared" si="2"/>
        <v>3.9340929987845321</v>
      </c>
      <c r="U11" s="12">
        <f t="shared" si="2"/>
        <v>6.9939431089502797</v>
      </c>
      <c r="V11" s="12">
        <f t="shared" si="2"/>
        <v>10.928036107734812</v>
      </c>
      <c r="W11" s="12">
        <f t="shared" si="2"/>
        <v>15.736371995138128</v>
      </c>
      <c r="X11" s="12">
        <f t="shared" si="2"/>
        <v>21.41895077116023</v>
      </c>
      <c r="Y11" s="32">
        <f t="shared" si="2"/>
        <v>27.975772435801119</v>
      </c>
      <c r="AA11" s="1" t="s">
        <v>25</v>
      </c>
      <c r="AB11" s="9"/>
      <c r="AC11" s="9"/>
      <c r="AD11" s="9"/>
      <c r="AE11" s="10"/>
      <c r="AF11" s="10"/>
      <c r="AG11" s="10"/>
      <c r="AH11" s="10"/>
      <c r="AI11" s="10"/>
      <c r="AJ11" s="10"/>
      <c r="AK11" s="10"/>
    </row>
    <row r="12" ht="13.5">
      <c r="O12" s="36"/>
      <c r="P12" s="12">
        <f t="shared" si="3"/>
        <v>5</v>
      </c>
      <c r="Q12" s="37">
        <f t="shared" si="1"/>
        <v>5</v>
      </c>
      <c r="R12" s="38"/>
      <c r="S12" s="37">
        <f t="shared" si="2"/>
        <v>0.70407895221268157</v>
      </c>
      <c r="T12" s="37">
        <f t="shared" si="2"/>
        <v>1.5841776424785334</v>
      </c>
      <c r="U12" s="37">
        <f t="shared" si="2"/>
        <v>2.8163158088507263</v>
      </c>
      <c r="V12" s="37">
        <f t="shared" si="2"/>
        <v>4.4004934513292593</v>
      </c>
      <c r="W12" s="37">
        <f t="shared" si="2"/>
        <v>6.3367105699141337</v>
      </c>
      <c r="X12" s="37">
        <f t="shared" si="2"/>
        <v>8.6249671646053496</v>
      </c>
      <c r="Y12" s="39">
        <f t="shared" si="2"/>
        <v>11.265263235402905</v>
      </c>
      <c r="AA12" s="1" t="s">
        <v>26</v>
      </c>
      <c r="AB12" s="9"/>
      <c r="AC12" s="9"/>
      <c r="AD12" s="9"/>
      <c r="AE12" s="10"/>
      <c r="AF12" s="10"/>
      <c r="AG12" s="10"/>
      <c r="AH12" s="10"/>
      <c r="AI12" s="10"/>
      <c r="AJ12" s="10"/>
      <c r="AK12" s="10"/>
    </row>
    <row r="13">
      <c r="O13" s="23" t="s">
        <v>6</v>
      </c>
      <c r="P13" s="24">
        <f>$L$9</f>
        <v>50</v>
      </c>
      <c r="Q13" s="25">
        <f t="shared" ref="Q13:Q19" si="4">ASIN(SIN($P13*PI()/180)*SIN($L$8*PI()/180)/SIN($L$9*PI()/180))*180/PI()</f>
        <v>50</v>
      </c>
      <c r="R13" s="26"/>
      <c r="S13" s="27">
        <f t="shared" ref="S13:Y19" si="5">1.7*10^-5*$L$5^2*$L$6*S$3^2*TAN($P13*PI()/180)*SIN($P13*PI()/180)/TAN($Q13*PI()/180)/2</f>
        <v>7.7556613615805823</v>
      </c>
      <c r="T13" s="27">
        <f t="shared" si="5"/>
        <v>17.450238063556309</v>
      </c>
      <c r="U13" s="27">
        <f t="shared" si="5"/>
        <v>31.022645446322329</v>
      </c>
      <c r="V13" s="27">
        <f t="shared" si="5"/>
        <v>48.472883509878635</v>
      </c>
      <c r="W13" s="27">
        <f t="shared" si="5"/>
        <v>69.800952254225237</v>
      </c>
      <c r="X13" s="27">
        <f t="shared" si="5"/>
        <v>95.006851679362128</v>
      </c>
      <c r="Y13" s="28">
        <f t="shared" si="5"/>
        <v>124.09058178528932</v>
      </c>
      <c r="AA13" s="1" t="s">
        <v>27</v>
      </c>
      <c r="AB13" s="9"/>
      <c r="AC13" s="9"/>
      <c r="AD13" s="9"/>
      <c r="AE13" s="10"/>
      <c r="AF13" s="10"/>
      <c r="AG13" s="10"/>
      <c r="AH13" s="10"/>
      <c r="AI13" s="10"/>
      <c r="AJ13" s="10"/>
      <c r="AK13" s="10"/>
    </row>
    <row r="14">
      <c r="O14" s="11"/>
      <c r="P14" s="12">
        <f t="shared" ref="P14:P19" si="6">P13-0.15*$P$13</f>
        <v>42.5</v>
      </c>
      <c r="Q14" s="12">
        <f t="shared" si="4"/>
        <v>42.5</v>
      </c>
      <c r="R14" s="31"/>
      <c r="S14" s="12">
        <f t="shared" si="5"/>
        <v>6.8398758277438283</v>
      </c>
      <c r="T14" s="12">
        <f t="shared" si="5"/>
        <v>15.389720612423615</v>
      </c>
      <c r="U14" s="12">
        <f t="shared" si="5"/>
        <v>27.359503310975313</v>
      </c>
      <c r="V14" s="12">
        <f t="shared" si="5"/>
        <v>42.749223923398922</v>
      </c>
      <c r="W14" s="12">
        <f t="shared" si="5"/>
        <v>61.558882449694458</v>
      </c>
      <c r="X14" s="12">
        <f t="shared" si="5"/>
        <v>83.788478889861906</v>
      </c>
      <c r="Y14" s="32">
        <f t="shared" si="5"/>
        <v>109.43801324390125</v>
      </c>
      <c r="AB14" s="9"/>
      <c r="AC14" s="9"/>
      <c r="AD14" s="9"/>
      <c r="AE14" s="10"/>
      <c r="AF14" s="10"/>
      <c r="AG14" s="10"/>
      <c r="AH14" s="10"/>
      <c r="AI14" s="10"/>
      <c r="AJ14" s="10"/>
      <c r="AK14" s="10"/>
    </row>
    <row r="15">
      <c r="O15" s="11"/>
      <c r="P15" s="12">
        <f t="shared" si="6"/>
        <v>35</v>
      </c>
      <c r="Q15" s="12">
        <f t="shared" si="4"/>
        <v>35</v>
      </c>
      <c r="R15" s="31"/>
      <c r="S15" s="12">
        <f t="shared" si="5"/>
        <v>5.8070581221225295</v>
      </c>
      <c r="T15" s="12">
        <f t="shared" si="5"/>
        <v>13.065880774775694</v>
      </c>
      <c r="U15" s="12">
        <f t="shared" si="5"/>
        <v>23.228232488490118</v>
      </c>
      <c r="V15" s="12">
        <f t="shared" si="5"/>
        <v>36.294113263265814</v>
      </c>
      <c r="W15" s="12">
        <f t="shared" si="5"/>
        <v>52.263523099102777</v>
      </c>
      <c r="X15" s="12">
        <f t="shared" si="5"/>
        <v>71.136461996001003</v>
      </c>
      <c r="Y15" s="32">
        <f t="shared" si="5"/>
        <v>92.912929953960472</v>
      </c>
      <c r="AA15" s="40" t="s">
        <v>28</v>
      </c>
      <c r="AB15" s="9"/>
      <c r="AC15" s="9"/>
      <c r="AD15" s="9"/>
      <c r="AE15" s="10"/>
      <c r="AF15" s="10"/>
      <c r="AG15" s="10"/>
      <c r="AH15" s="10"/>
      <c r="AI15" s="10"/>
      <c r="AJ15" s="10"/>
      <c r="AK15" s="10"/>
    </row>
    <row r="16">
      <c r="O16" s="11"/>
      <c r="P16" s="12">
        <f t="shared" si="6"/>
        <v>27.5</v>
      </c>
      <c r="Q16" s="12">
        <f t="shared" si="4"/>
        <v>27.499999999999996</v>
      </c>
      <c r="R16" s="31"/>
      <c r="S16" s="12">
        <f t="shared" si="5"/>
        <v>4.6748800420110364</v>
      </c>
      <c r="T16" s="12">
        <f t="shared" si="5"/>
        <v>10.518480094524831</v>
      </c>
      <c r="U16" s="12">
        <f t="shared" si="5"/>
        <v>18.699520168044145</v>
      </c>
      <c r="V16" s="12">
        <f t="shared" si="5"/>
        <v>29.218000262568978</v>
      </c>
      <c r="W16" s="12">
        <f t="shared" si="5"/>
        <v>42.073920378099324</v>
      </c>
      <c r="X16" s="12">
        <f t="shared" si="5"/>
        <v>57.267280514635196</v>
      </c>
      <c r="Y16" s="32">
        <f t="shared" si="5"/>
        <v>74.798080672176582</v>
      </c>
      <c r="AA16" s="16" t="s">
        <v>29</v>
      </c>
      <c r="AB16" s="9"/>
      <c r="AC16" s="9"/>
      <c r="AD16" s="9"/>
      <c r="AE16" s="10"/>
      <c r="AF16" s="10"/>
      <c r="AG16" s="10"/>
      <c r="AH16" s="10"/>
      <c r="AI16" s="10"/>
      <c r="AJ16" s="10"/>
      <c r="AK16" s="10"/>
    </row>
    <row r="17">
      <c r="O17" s="11"/>
      <c r="P17" s="12">
        <f t="shared" si="6"/>
        <v>20</v>
      </c>
      <c r="Q17" s="12">
        <f t="shared" si="4"/>
        <v>20</v>
      </c>
      <c r="R17" s="31"/>
      <c r="S17" s="12">
        <f t="shared" si="5"/>
        <v>3.4627134682591185</v>
      </c>
      <c r="T17" s="12">
        <f t="shared" si="5"/>
        <v>7.7911053035830173</v>
      </c>
      <c r="U17" s="12">
        <f t="shared" si="5"/>
        <v>13.850853873036474</v>
      </c>
      <c r="V17" s="12">
        <f t="shared" si="5"/>
        <v>21.641959176619491</v>
      </c>
      <c r="W17" s="12">
        <f t="shared" si="5"/>
        <v>31.164421214332069</v>
      </c>
      <c r="X17" s="12">
        <f t="shared" si="5"/>
        <v>42.418239986174207</v>
      </c>
      <c r="Y17" s="32">
        <f t="shared" si="5"/>
        <v>55.403415492145896</v>
      </c>
      <c r="AA17" s="16" t="s">
        <v>30</v>
      </c>
      <c r="AB17" s="9"/>
      <c r="AC17" s="9"/>
      <c r="AD17" s="9"/>
      <c r="AE17" s="10"/>
      <c r="AF17" s="10"/>
      <c r="AG17" s="10"/>
      <c r="AH17" s="10"/>
      <c r="AI17" s="10"/>
      <c r="AJ17" s="10"/>
      <c r="AK17" s="10"/>
    </row>
    <row r="18">
      <c r="O18" s="11"/>
      <c r="P18" s="12">
        <f t="shared" si="6"/>
        <v>12.5</v>
      </c>
      <c r="Q18" s="12">
        <f t="shared" si="4"/>
        <v>12.5</v>
      </c>
      <c r="R18" s="31"/>
      <c r="S18" s="12">
        <f t="shared" si="5"/>
        <v>2.1912989070197408</v>
      </c>
      <c r="T18" s="12">
        <f t="shared" si="5"/>
        <v>4.9304225407944164</v>
      </c>
      <c r="U18" s="12">
        <f t="shared" si="5"/>
        <v>8.7651956280789634</v>
      </c>
      <c r="V18" s="12">
        <f t="shared" si="5"/>
        <v>13.695618168873379</v>
      </c>
      <c r="W18" s="12">
        <f t="shared" si="5"/>
        <v>19.721690163177666</v>
      </c>
      <c r="X18" s="12">
        <f t="shared" si="5"/>
        <v>26.843411610991822</v>
      </c>
      <c r="Y18" s="32">
        <f t="shared" si="5"/>
        <v>35.060782512315853</v>
      </c>
      <c r="AA18" s="16" t="s">
        <v>31</v>
      </c>
      <c r="AB18" s="9"/>
      <c r="AC18" s="9"/>
      <c r="AD18" s="9"/>
      <c r="AE18" s="10"/>
      <c r="AF18" s="10"/>
      <c r="AG18" s="10"/>
      <c r="AH18" s="10"/>
      <c r="AI18" s="10"/>
      <c r="AJ18" s="10"/>
      <c r="AK18" s="10"/>
    </row>
    <row r="19" ht="13.5">
      <c r="O19" s="36"/>
      <c r="P19" s="12">
        <f t="shared" si="6"/>
        <v>5</v>
      </c>
      <c r="Q19" s="37">
        <f t="shared" si="4"/>
        <v>5</v>
      </c>
      <c r="R19" s="38"/>
      <c r="S19" s="37">
        <f t="shared" si="5"/>
        <v>0.88239061393841922</v>
      </c>
      <c r="T19" s="37">
        <f t="shared" si="5"/>
        <v>1.9853788813614435</v>
      </c>
      <c r="U19" s="37">
        <f t="shared" si="5"/>
        <v>3.5295624557536769</v>
      </c>
      <c r="V19" s="37">
        <f t="shared" si="5"/>
        <v>5.5149413371151201</v>
      </c>
      <c r="W19" s="37">
        <f t="shared" si="5"/>
        <v>7.9415155254457739</v>
      </c>
      <c r="X19" s="37">
        <f t="shared" si="5"/>
        <v>10.809285020745635</v>
      </c>
      <c r="Y19" s="39">
        <f t="shared" si="5"/>
        <v>14.118249823014708</v>
      </c>
      <c r="AA19" s="16" t="s">
        <v>32</v>
      </c>
      <c r="AB19" s="9"/>
      <c r="AC19" s="9"/>
      <c r="AD19" s="9"/>
      <c r="AE19" s="10"/>
      <c r="AF19" s="10"/>
      <c r="AG19" s="10"/>
      <c r="AH19" s="10"/>
      <c r="AI19" s="10"/>
      <c r="AJ19" s="10"/>
      <c r="AK19" s="10"/>
    </row>
    <row r="20">
      <c r="O20" s="23" t="s">
        <v>7</v>
      </c>
      <c r="P20" s="24">
        <f>$M$9</f>
        <v>50</v>
      </c>
      <c r="Q20" s="25">
        <f t="shared" ref="Q20:Q26" si="7">ASIN(SIN($P20*PI()/180)*SIN($M$8*PI()/180)/SIN($M$9*PI()/180))*180/PI()</f>
        <v>50</v>
      </c>
      <c r="R20" s="26"/>
      <c r="S20" s="27">
        <f t="shared" ref="S20:Y26" si="8">1.7*10^-5*$M$5^2*$M$6*S$3^2*TAN($P20*PI()/180)*SIN($P20*PI()/180)/TAN($Q20*PI()/180)/2</f>
        <v>7.096384362721313</v>
      </c>
      <c r="T20" s="27">
        <f t="shared" si="8"/>
        <v>15.966864816122952</v>
      </c>
      <c r="U20" s="27">
        <f t="shared" si="8"/>
        <v>28.385537450885252</v>
      </c>
      <c r="V20" s="27">
        <f t="shared" si="8"/>
        <v>44.352402267008202</v>
      </c>
      <c r="W20" s="27">
        <f t="shared" si="8"/>
        <v>63.867459264491806</v>
      </c>
      <c r="X20" s="27">
        <f t="shared" si="8"/>
        <v>86.930708443336087</v>
      </c>
      <c r="Y20" s="28">
        <f t="shared" si="8"/>
        <v>113.54214980354101</v>
      </c>
      <c r="AA20" s="16" t="s">
        <v>33</v>
      </c>
      <c r="AB20" s="9"/>
      <c r="AC20" s="9"/>
      <c r="AD20" s="9"/>
      <c r="AE20" s="10"/>
      <c r="AF20" s="10"/>
      <c r="AG20" s="10"/>
      <c r="AH20" s="10"/>
      <c r="AI20" s="10"/>
      <c r="AJ20" s="10"/>
      <c r="AK20" s="10"/>
    </row>
    <row r="21">
      <c r="O21" s="11"/>
      <c r="P21" s="12">
        <f t="shared" ref="P21:P26" si="9">P20-0.15*$P$20</f>
        <v>42.5</v>
      </c>
      <c r="Q21" s="12">
        <f t="shared" si="7"/>
        <v>42.5</v>
      </c>
      <c r="R21" s="31"/>
      <c r="S21" s="12">
        <f t="shared" si="8"/>
        <v>6.2584460053146014</v>
      </c>
      <c r="T21" s="12">
        <f t="shared" si="8"/>
        <v>14.081503511957852</v>
      </c>
      <c r="U21" s="12">
        <f t="shared" si="8"/>
        <v>25.033784021258406</v>
      </c>
      <c r="V21" s="12">
        <f t="shared" si="8"/>
        <v>39.115287533216261</v>
      </c>
      <c r="W21" s="12">
        <f t="shared" si="8"/>
        <v>56.326014047831407</v>
      </c>
      <c r="X21" s="12">
        <f t="shared" si="8"/>
        <v>76.66596356510388</v>
      </c>
      <c r="Y21" s="32">
        <f t="shared" si="8"/>
        <v>100.13513608503362</v>
      </c>
      <c r="AB21" s="9"/>
      <c r="AC21" s="9"/>
      <c r="AD21" s="9"/>
      <c r="AE21" s="10"/>
      <c r="AF21" s="10"/>
      <c r="AG21" s="10"/>
      <c r="AH21" s="10"/>
      <c r="AI21" s="10"/>
      <c r="AJ21" s="10"/>
      <c r="AK21" s="10"/>
    </row>
    <row r="22">
      <c r="O22" s="11"/>
      <c r="P22" s="12">
        <f t="shared" si="9"/>
        <v>35</v>
      </c>
      <c r="Q22" s="12">
        <f t="shared" si="7"/>
        <v>35</v>
      </c>
      <c r="R22" s="31"/>
      <c r="S22" s="12">
        <f t="shared" si="8"/>
        <v>5.3134239015879112</v>
      </c>
      <c r="T22" s="12">
        <f t="shared" si="8"/>
        <v>11.955203778572804</v>
      </c>
      <c r="U22" s="12">
        <f t="shared" si="8"/>
        <v>21.253695606351645</v>
      </c>
      <c r="V22" s="12">
        <f t="shared" si="8"/>
        <v>33.20889938492445</v>
      </c>
      <c r="W22" s="12">
        <f t="shared" si="8"/>
        <v>47.820815114291214</v>
      </c>
      <c r="X22" s="12">
        <f t="shared" si="8"/>
        <v>65.089442794451926</v>
      </c>
      <c r="Y22" s="32">
        <f t="shared" si="8"/>
        <v>85.01478242540658</v>
      </c>
      <c r="AA22" s="40" t="s">
        <v>34</v>
      </c>
      <c r="AB22" s="9"/>
      <c r="AC22" s="9"/>
      <c r="AD22" s="10"/>
      <c r="AE22" s="10"/>
      <c r="AF22" s="10"/>
      <c r="AG22" s="10"/>
      <c r="AH22" s="10"/>
      <c r="AI22" s="10"/>
      <c r="AJ22" s="10"/>
      <c r="AK22" s="10"/>
    </row>
    <row r="23">
      <c r="O23" s="11"/>
      <c r="P23" s="12">
        <f t="shared" si="9"/>
        <v>27.5</v>
      </c>
      <c r="Q23" s="12">
        <f t="shared" si="7"/>
        <v>27.499999999999996</v>
      </c>
      <c r="R23" s="31"/>
      <c r="S23" s="12">
        <f t="shared" si="8"/>
        <v>4.2774876417456351</v>
      </c>
      <c r="T23" s="12">
        <f t="shared" si="8"/>
        <v>9.6243471939276812</v>
      </c>
      <c r="U23" s="12">
        <f t="shared" si="8"/>
        <v>17.10995056698254</v>
      </c>
      <c r="V23" s="12">
        <f t="shared" si="8"/>
        <v>26.734297760910227</v>
      </c>
      <c r="W23" s="12">
        <f t="shared" si="8"/>
        <v>38.497388775710725</v>
      </c>
      <c r="X23" s="12">
        <f t="shared" si="8"/>
        <v>52.399223611384045</v>
      </c>
      <c r="Y23" s="32">
        <f t="shared" si="8"/>
        <v>68.439802267930162</v>
      </c>
      <c r="AA23" s="16" t="s">
        <v>35</v>
      </c>
      <c r="AB23" s="9"/>
      <c r="AC23" s="9"/>
      <c r="AE23" s="10"/>
      <c r="AF23" s="10"/>
      <c r="AG23" s="10"/>
      <c r="AH23" s="10"/>
      <c r="AI23" s="10"/>
      <c r="AJ23" s="10"/>
      <c r="AK23" s="10"/>
    </row>
    <row r="24">
      <c r="O24" s="11"/>
      <c r="P24" s="12">
        <f t="shared" si="9"/>
        <v>20</v>
      </c>
      <c r="Q24" s="12">
        <f t="shared" si="7"/>
        <v>20</v>
      </c>
      <c r="R24" s="31"/>
      <c r="S24" s="12">
        <f t="shared" si="8"/>
        <v>3.168362382409466</v>
      </c>
      <c r="T24" s="12">
        <f t="shared" si="8"/>
        <v>7.1288153604212976</v>
      </c>
      <c r="U24" s="12">
        <f t="shared" si="8"/>
        <v>12.673449529637864</v>
      </c>
      <c r="V24" s="12">
        <f t="shared" si="8"/>
        <v>19.80226489005916</v>
      </c>
      <c r="W24" s="12">
        <f t="shared" si="8"/>
        <v>28.51526144168519</v>
      </c>
      <c r="X24" s="12">
        <f t="shared" si="8"/>
        <v>38.812439184515959</v>
      </c>
      <c r="Y24" s="32">
        <f t="shared" si="8"/>
        <v>50.693798118551456</v>
      </c>
      <c r="AA24" s="16" t="s">
        <v>36</v>
      </c>
      <c r="AB24" s="9"/>
      <c r="AC24" s="9"/>
      <c r="AD24" s="9"/>
      <c r="AE24" s="10"/>
      <c r="AF24" s="10"/>
      <c r="AG24" s="10"/>
      <c r="AH24" s="10"/>
      <c r="AI24" s="10"/>
      <c r="AJ24" s="10"/>
      <c r="AK24" s="10"/>
    </row>
    <row r="25">
      <c r="O25" s="11"/>
      <c r="P25" s="12">
        <f t="shared" si="9"/>
        <v>12.5</v>
      </c>
      <c r="Q25" s="12">
        <f t="shared" si="7"/>
        <v>12.5</v>
      </c>
      <c r="R25" s="31"/>
      <c r="S25" s="12">
        <f t="shared" si="8"/>
        <v>2.0050255642742609</v>
      </c>
      <c r="T25" s="12">
        <f t="shared" si="8"/>
        <v>4.5113075196170875</v>
      </c>
      <c r="U25" s="12">
        <f t="shared" si="8"/>
        <v>8.0201022570970437</v>
      </c>
      <c r="V25" s="12">
        <f t="shared" si="8"/>
        <v>12.531409776714133</v>
      </c>
      <c r="W25" s="12">
        <f t="shared" si="8"/>
        <v>18.04523007846835</v>
      </c>
      <c r="X25" s="12">
        <f t="shared" si="8"/>
        <v>24.5615631623597</v>
      </c>
      <c r="Y25" s="32">
        <f t="shared" si="8"/>
        <v>32.080409028388175</v>
      </c>
      <c r="AA25" s="16" t="s">
        <v>37</v>
      </c>
      <c r="AB25" s="9"/>
      <c r="AC25" s="9"/>
      <c r="AD25" s="9"/>
      <c r="AE25" s="10"/>
      <c r="AF25" s="10"/>
      <c r="AG25" s="10"/>
      <c r="AH25" s="10"/>
      <c r="AI25" s="10"/>
      <c r="AJ25" s="10"/>
      <c r="AK25" s="10"/>
    </row>
    <row r="26" ht="13.5">
      <c r="O26" s="36"/>
      <c r="P26" s="12">
        <f t="shared" si="9"/>
        <v>5</v>
      </c>
      <c r="Q26" s="37">
        <f t="shared" si="7"/>
        <v>5</v>
      </c>
      <c r="R26" s="38"/>
      <c r="S26" s="37">
        <f t="shared" si="8"/>
        <v>0.80738220283621598</v>
      </c>
      <c r="T26" s="37">
        <f t="shared" si="8"/>
        <v>1.8166099563814861</v>
      </c>
      <c r="U26" s="37">
        <f t="shared" si="8"/>
        <v>3.2295288113448639</v>
      </c>
      <c r="V26" s="37">
        <f t="shared" si="8"/>
        <v>5.0461387677263509</v>
      </c>
      <c r="W26" s="37">
        <f t="shared" si="8"/>
        <v>7.2664398255259446</v>
      </c>
      <c r="X26" s="37">
        <f t="shared" si="8"/>
        <v>9.8904319847436462</v>
      </c>
      <c r="Y26" s="39">
        <f t="shared" si="8"/>
        <v>12.918115245379456</v>
      </c>
      <c r="AA26" s="16" t="s">
        <v>38</v>
      </c>
      <c r="AB26" s="9"/>
      <c r="AC26" s="9"/>
      <c r="AD26" s="9"/>
      <c r="AE26" s="10"/>
      <c r="AF26" s="10"/>
      <c r="AG26" s="10"/>
      <c r="AH26" s="10"/>
      <c r="AI26" s="10"/>
      <c r="AJ26" s="10"/>
      <c r="AK26" s="10"/>
    </row>
    <row r="27" ht="13.5">
      <c r="O27" s="41" t="s">
        <v>39</v>
      </c>
      <c r="P27" s="42"/>
      <c r="Q27" s="42"/>
      <c r="R27" s="42"/>
      <c r="S27" s="42"/>
      <c r="T27" s="42"/>
      <c r="U27" s="42"/>
      <c r="V27" s="42"/>
      <c r="W27" s="42"/>
      <c r="X27" s="42"/>
      <c r="Y27" s="43"/>
      <c r="AA27" s="16" t="s">
        <v>40</v>
      </c>
      <c r="AB27" s="9"/>
      <c r="AC27" s="9"/>
      <c r="AD27" s="9"/>
      <c r="AE27" s="10"/>
      <c r="AF27" s="10"/>
      <c r="AG27" s="10"/>
      <c r="AH27" s="10"/>
      <c r="AI27" s="10"/>
      <c r="AJ27" s="10"/>
      <c r="AK27" s="10"/>
    </row>
    <row r="28">
      <c r="AA28" s="16" t="s">
        <v>41</v>
      </c>
      <c r="AB28" s="9"/>
      <c r="AC28" s="9"/>
      <c r="AD28" s="9"/>
      <c r="AE28" s="10"/>
      <c r="AF28" s="10"/>
      <c r="AG28" s="10"/>
      <c r="AH28" s="10"/>
      <c r="AI28" s="10"/>
      <c r="AJ28" s="10"/>
      <c r="AK28" s="10"/>
    </row>
    <row r="29">
      <c r="AA29" s="16" t="s">
        <v>42</v>
      </c>
      <c r="AB29" s="9"/>
      <c r="AC29" s="9"/>
      <c r="AD29" s="9"/>
      <c r="AE29" s="10"/>
      <c r="AF29" s="10"/>
      <c r="AG29" s="10"/>
      <c r="AH29" s="10"/>
      <c r="AI29" s="10"/>
      <c r="AJ29" s="10"/>
      <c r="AK29" s="10"/>
    </row>
    <row r="30">
      <c r="AA30" s="16" t="s">
        <v>43</v>
      </c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>
      <c r="AA31" s="16" t="s">
        <v>44</v>
      </c>
      <c r="AB31" s="10"/>
      <c r="AC31" s="10"/>
      <c r="AD31" s="10"/>
      <c r="AE31" s="10"/>
      <c r="AG31" s="10"/>
      <c r="AH31" s="10"/>
      <c r="AI31" s="10"/>
      <c r="AJ31" s="10"/>
      <c r="AK31" s="10"/>
    </row>
    <row r="32">
      <c r="AA32" s="16" t="s">
        <v>45</v>
      </c>
      <c r="AB32" s="10"/>
      <c r="AC32" s="10"/>
      <c r="AD32" s="10"/>
      <c r="AE32" s="10"/>
      <c r="AG32" s="10"/>
      <c r="AH32" s="10"/>
      <c r="AI32" s="10"/>
      <c r="AJ32" s="10"/>
      <c r="AK32" s="10"/>
    </row>
    <row r="33" ht="14.25">
      <c r="C33" s="1" t="s">
        <v>46</v>
      </c>
      <c r="AA33" s="16" t="s">
        <v>47</v>
      </c>
      <c r="AK33" s="10"/>
    </row>
    <row r="34">
      <c r="C34" s="1" t="s">
        <v>48</v>
      </c>
      <c r="AA34" s="10"/>
    </row>
    <row r="35">
      <c r="C35" s="1" t="s">
        <v>49</v>
      </c>
      <c r="AA35" s="44" t="s">
        <v>50</v>
      </c>
    </row>
    <row r="36">
      <c r="AA36" s="44" t="s">
        <v>51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75" workbookViewId="0">
      <selection activeCell="H2" activeCellId="0" sqref="H2"/>
    </sheetView>
  </sheetViews>
  <sheetFormatPr defaultRowHeight="12.75"/>
  <cols>
    <col customWidth="1" min="1" max="1" style="1" width="2.7109375"/>
    <col customWidth="1" min="2" max="2" style="45" width="2.85546875"/>
    <col customWidth="1" min="3" max="5" style="2" width="10.7109375"/>
    <col customWidth="1" min="6" max="14" style="1" width="10.7109375"/>
    <col customWidth="1" min="15" max="15" style="1" width="3.28515625"/>
    <col customWidth="1" min="16" max="16" style="1" width="10.42578125"/>
    <col customWidth="1" min="17" max="18" style="1" width="7.5703125"/>
    <col customWidth="1" min="19" max="19" style="2" width="4.7109375"/>
    <col customWidth="1" min="20" max="20" style="46" width="4.140625"/>
    <col customWidth="1" min="21" max="26" style="1" width="4.140625"/>
    <col customWidth="1" min="27" max="27" style="1" width="1.85546875"/>
    <col customWidth="1" min="28" max="28" style="1" width="10.42578125"/>
    <col customWidth="1" min="29" max="30" style="1" width="7.5703125"/>
    <col customWidth="1" min="31" max="31" style="2" width="4.7109375"/>
    <col customWidth="1" min="32" max="32" style="46" width="4.140625"/>
    <col customWidth="1" min="33" max="38" style="1" width="4.140625"/>
    <col customWidth="1" min="39" max="39" style="1" width="3.42578125"/>
    <col customWidth="1" min="40" max="40" style="2" width="8.5703125"/>
    <col customWidth="1" min="41" max="42" style="1" width="4.5703125"/>
    <col customWidth="1" min="43" max="43" style="1" width="5.28515625"/>
    <col customWidth="1" min="44" max="46" style="1" width="3.5703125"/>
    <col customWidth="1" min="47" max="47" style="1" width="3.42578125"/>
    <col customWidth="1" min="48" max="48" style="8" width="6.5703125"/>
    <col customWidth="1" min="49" max="52" style="1" width="6.5703125"/>
    <col min="53" max="16384" style="1" width="9.140625"/>
  </cols>
  <sheetData>
    <row r="1" ht="13.5">
      <c r="D1" s="1"/>
      <c r="O1" s="2"/>
    </row>
    <row r="2">
      <c r="C2" s="1"/>
      <c r="D2" s="1"/>
      <c r="E2" s="1"/>
      <c r="G2" s="3" t="s">
        <v>0</v>
      </c>
      <c r="H2" s="4">
        <v>80</v>
      </c>
      <c r="I2" s="2"/>
      <c r="J2" s="2"/>
      <c r="L2" s="2"/>
      <c r="P2" s="47" t="s">
        <v>52</v>
      </c>
      <c r="Q2" s="48"/>
      <c r="R2" s="48"/>
      <c r="S2" s="48"/>
      <c r="T2" s="48"/>
      <c r="U2" s="48"/>
      <c r="V2" s="48"/>
      <c r="W2" s="48"/>
      <c r="X2" s="48"/>
      <c r="Y2" s="48"/>
      <c r="Z2" s="49"/>
      <c r="AB2" s="47" t="s">
        <v>53</v>
      </c>
      <c r="AC2" s="48"/>
      <c r="AD2" s="48"/>
      <c r="AE2" s="48"/>
      <c r="AF2" s="48"/>
      <c r="AG2" s="48"/>
      <c r="AH2" s="48"/>
      <c r="AI2" s="48"/>
      <c r="AJ2" s="48"/>
      <c r="AK2" s="48"/>
      <c r="AL2" s="49"/>
      <c r="AN2" s="47" t="s">
        <v>54</v>
      </c>
      <c r="AO2" s="27"/>
      <c r="AP2" s="27"/>
      <c r="AQ2" s="27"/>
      <c r="AR2" s="27"/>
      <c r="AS2" s="26"/>
      <c r="AT2" s="50"/>
      <c r="AV2" s="51" t="s">
        <v>55</v>
      </c>
      <c r="AW2" s="26"/>
      <c r="AX2" s="26"/>
      <c r="AY2" s="26"/>
      <c r="AZ2" s="50"/>
    </row>
    <row r="3">
      <c r="C3" s="1"/>
      <c r="D3" s="1"/>
      <c r="E3" s="1"/>
      <c r="G3" s="3"/>
      <c r="H3" s="2" t="s">
        <v>5</v>
      </c>
      <c r="I3" s="2" t="s">
        <v>6</v>
      </c>
      <c r="J3" s="2" t="s">
        <v>7</v>
      </c>
      <c r="L3" s="2"/>
      <c r="M3" s="2"/>
      <c r="P3" s="11"/>
      <c r="Q3" s="12"/>
      <c r="R3" s="12"/>
      <c r="S3" s="13" t="s">
        <v>3</v>
      </c>
      <c r="T3" s="14">
        <f t="shared" ref="T3:Y3" si="10">U3-0.1*$AL$3</f>
        <v>32</v>
      </c>
      <c r="U3" s="14">
        <f t="shared" si="10"/>
        <v>40</v>
      </c>
      <c r="V3" s="14">
        <f t="shared" si="10"/>
        <v>48</v>
      </c>
      <c r="W3" s="14">
        <f t="shared" si="10"/>
        <v>56</v>
      </c>
      <c r="X3" s="14">
        <f t="shared" si="10"/>
        <v>64</v>
      </c>
      <c r="Y3" s="14">
        <f t="shared" si="10"/>
        <v>72</v>
      </c>
      <c r="Z3" s="15">
        <f>$H$2</f>
        <v>80</v>
      </c>
      <c r="AB3" s="11"/>
      <c r="AC3" s="12"/>
      <c r="AD3" s="12"/>
      <c r="AE3" s="13" t="s">
        <v>3</v>
      </c>
      <c r="AF3" s="14">
        <f t="shared" ref="AF3:AK3" si="11">AG3-0.1*$AL$3</f>
        <v>32</v>
      </c>
      <c r="AG3" s="14">
        <f t="shared" si="11"/>
        <v>40</v>
      </c>
      <c r="AH3" s="14">
        <f t="shared" si="11"/>
        <v>48</v>
      </c>
      <c r="AI3" s="14">
        <f t="shared" si="11"/>
        <v>56</v>
      </c>
      <c r="AJ3" s="14">
        <f t="shared" si="11"/>
        <v>64</v>
      </c>
      <c r="AK3" s="14">
        <f t="shared" si="11"/>
        <v>72</v>
      </c>
      <c r="AL3" s="15">
        <f>$H$2</f>
        <v>80</v>
      </c>
      <c r="AN3" s="52"/>
      <c r="AO3" s="53" t="s">
        <v>56</v>
      </c>
      <c r="AP3" s="53" t="s">
        <v>57</v>
      </c>
      <c r="AQ3" s="53" t="s">
        <v>58</v>
      </c>
      <c r="AR3" s="53" t="s">
        <v>59</v>
      </c>
      <c r="AS3" s="53" t="s">
        <v>60</v>
      </c>
      <c r="AT3" s="54"/>
      <c r="AV3" s="52"/>
      <c r="AW3" s="12" t="s">
        <v>61</v>
      </c>
      <c r="AX3" s="12" t="s">
        <v>61</v>
      </c>
      <c r="AY3" s="12" t="s">
        <v>62</v>
      </c>
      <c r="AZ3" s="32" t="s">
        <v>62</v>
      </c>
    </row>
    <row r="4">
      <c r="C4" s="1"/>
      <c r="D4" s="1"/>
      <c r="E4" s="1"/>
      <c r="G4" s="3" t="s">
        <v>11</v>
      </c>
      <c r="H4" s="17">
        <v>7</v>
      </c>
      <c r="I4" s="17">
        <v>13</v>
      </c>
      <c r="J4" s="17">
        <v>18</v>
      </c>
      <c r="L4" s="2"/>
      <c r="M4" s="2"/>
      <c r="P4" s="11"/>
      <c r="Q4" s="12" t="s">
        <v>8</v>
      </c>
      <c r="R4" s="12" t="s">
        <v>9</v>
      </c>
      <c r="S4" s="12"/>
      <c r="T4" s="14"/>
      <c r="U4" s="14"/>
      <c r="V4" s="14"/>
      <c r="W4" s="14"/>
      <c r="X4" s="14"/>
      <c r="Y4" s="14"/>
      <c r="Z4" s="15"/>
      <c r="AB4" s="11"/>
      <c r="AC4" s="12" t="s">
        <v>8</v>
      </c>
      <c r="AD4" s="12" t="s">
        <v>9</v>
      </c>
      <c r="AE4" s="12"/>
      <c r="AF4" s="14"/>
      <c r="AG4" s="14"/>
      <c r="AH4" s="14"/>
      <c r="AI4" s="14"/>
      <c r="AJ4" s="14"/>
      <c r="AK4" s="14"/>
      <c r="AL4" s="15"/>
      <c r="AN4" s="52"/>
      <c r="AO4" s="55">
        <v>14</v>
      </c>
      <c r="AP4" s="55">
        <v>7</v>
      </c>
      <c r="AQ4" s="55">
        <v>10</v>
      </c>
      <c r="AR4" s="55">
        <v>2.5</v>
      </c>
      <c r="AS4" s="55">
        <v>5</v>
      </c>
      <c r="AT4" s="32"/>
      <c r="AV4" s="52"/>
      <c r="AW4" s="12" t="s">
        <v>63</v>
      </c>
      <c r="AX4" s="12" t="s">
        <v>9</v>
      </c>
      <c r="AY4" s="12" t="s">
        <v>63</v>
      </c>
      <c r="AZ4" s="32" t="s">
        <v>9</v>
      </c>
    </row>
    <row r="5" ht="12.75" customHeight="1">
      <c r="C5" s="1"/>
      <c r="D5" s="1"/>
      <c r="E5" s="1"/>
      <c r="G5" s="3" t="s">
        <v>15</v>
      </c>
      <c r="H5" s="17">
        <v>75</v>
      </c>
      <c r="I5" s="17">
        <v>30</v>
      </c>
      <c r="J5" s="17">
        <v>35</v>
      </c>
      <c r="L5" s="2"/>
      <c r="M5" s="2"/>
      <c r="P5" s="11"/>
      <c r="Q5" s="18" t="s">
        <v>12</v>
      </c>
      <c r="R5" s="18" t="s">
        <v>12</v>
      </c>
      <c r="S5" s="12"/>
      <c r="T5" s="20" t="s">
        <v>13</v>
      </c>
      <c r="U5" s="21"/>
      <c r="V5" s="21"/>
      <c r="W5" s="21"/>
      <c r="X5" s="21"/>
      <c r="Y5" s="21"/>
      <c r="Z5" s="22"/>
      <c r="AB5" s="11"/>
      <c r="AC5" s="18" t="s">
        <v>12</v>
      </c>
      <c r="AD5" s="18" t="s">
        <v>12</v>
      </c>
      <c r="AE5" s="12"/>
      <c r="AF5" s="20" t="s">
        <v>13</v>
      </c>
      <c r="AG5" s="21"/>
      <c r="AH5" s="21"/>
      <c r="AI5" s="21"/>
      <c r="AJ5" s="21"/>
      <c r="AK5" s="21"/>
      <c r="AL5" s="22"/>
      <c r="AN5" s="52"/>
      <c r="AO5" s="12"/>
      <c r="AP5" s="12"/>
      <c r="AQ5" s="12"/>
      <c r="AR5" s="12"/>
      <c r="AS5" s="12"/>
      <c r="AT5" s="32"/>
      <c r="AV5" s="52"/>
      <c r="AW5" s="12" t="s">
        <v>64</v>
      </c>
      <c r="AX5" s="12" t="s">
        <v>65</v>
      </c>
      <c r="AY5" s="12" t="s">
        <v>64</v>
      </c>
      <c r="AZ5" s="32" t="s">
        <v>65</v>
      </c>
    </row>
    <row r="6">
      <c r="C6" s="1"/>
      <c r="D6" s="1"/>
      <c r="E6" s="1"/>
      <c r="G6" s="29" t="s">
        <v>17</v>
      </c>
      <c r="H6" s="30">
        <v>30</v>
      </c>
      <c r="I6" s="30">
        <v>60</v>
      </c>
      <c r="J6" s="30">
        <v>110</v>
      </c>
      <c r="L6" s="2"/>
      <c r="P6" s="56" t="s">
        <v>5</v>
      </c>
      <c r="Q6" s="24">
        <f>$H$9</f>
        <v>25</v>
      </c>
      <c r="R6" s="25">
        <f t="shared" ref="R6:R13" si="12">-$H$17+DEGREES(ASIN((SIN(RADIANS(90-$H$16+Q6))-SIN(RADIANS(90-$H$16)))/((SIN(RADIANS(90-$H$16+$H$9))-SIN(RADIANS(90-$H$16)))/(SIN(RADIANS($H$17+$H$7-90))-SIN(RADIANS($H$17-90))))+SIN(RADIANS($H$17-90))))+90</f>
        <v>60.000000000000007</v>
      </c>
      <c r="S6" s="25"/>
      <c r="T6" s="27">
        <f t="shared" ref="T6:Z13" si="13">0.0000085*($H$4^2*$H$5*T$3^2*SIN(RADIANS($Q6))*(COS(RADIANS($H$17+$R6-90))/COS(RADIANS(90-$H$16+$Q6)))*(SIN(RADIANS(90-$H$16+$Q6))-SIN(RADIANS(90-$H$16)))/(SIN(RADIANS($H$17+$R6-90))-SIN(RADIANS($H$17-90))))</f>
        <v>4.4202499349679201</v>
      </c>
      <c r="U6" s="27">
        <f t="shared" si="13"/>
        <v>6.9066405233873747</v>
      </c>
      <c r="V6" s="27">
        <f t="shared" si="13"/>
        <v>9.9455623536778202</v>
      </c>
      <c r="W6" s="27">
        <f t="shared" si="13"/>
        <v>13.537015425839256</v>
      </c>
      <c r="X6" s="27">
        <f t="shared" si="13"/>
        <v>17.68099973987168</v>
      </c>
      <c r="Y6" s="27">
        <f t="shared" si="13"/>
        <v>22.377515295775098</v>
      </c>
      <c r="Z6" s="28">
        <f t="shared" si="13"/>
        <v>27.626562093549499</v>
      </c>
      <c r="AB6" s="56" t="s">
        <v>5</v>
      </c>
      <c r="AC6" s="24">
        <f>$H$10</f>
        <v>15</v>
      </c>
      <c r="AD6" s="25">
        <f t="shared" ref="AD6:AD13" si="14">$H$17-DEGREES(ASIN((SIN(RADIANS(90-$H$16+-AC6))-SIN(RADIANS(90-$H$16)))/((SIN(RADIANS(90-$H$16+$H$9))-SIN(RADIANS(90-$H$16)))/(SIN(RADIANS($H$17+$H$7-90))-SIN(RADIANS($H$17-90))))+SIN(RADIANS($H$17-90))))-90</f>
        <v>40</v>
      </c>
      <c r="AE6" s="25"/>
      <c r="AF6" s="27">
        <f t="shared" ref="AF6:AL13" si="15">0.0000085*($H$4^2*$H$5*AF$3^2*SIN(RADIANS($AC6))*(COS(RADIANS($H$17+-$AD6-90))/COS(RADIANS(90-$H$16+-$AC6)))*(SIN(RADIANS(90-$H$16+-$AC6))-SIN(RADIANS(90-$H$16)))/(SIN(RADIANS($H$17+-$AD6-90))-SIN(RADIANS($H$17-90))))</f>
        <v>2.3608536670038611</v>
      </c>
      <c r="AG6" s="27">
        <f t="shared" si="15"/>
        <v>3.6888338546935331</v>
      </c>
      <c r="AH6" s="27">
        <f t="shared" si="15"/>
        <v>5.311920750758687</v>
      </c>
      <c r="AI6" s="27">
        <f t="shared" si="15"/>
        <v>7.2301143551993245</v>
      </c>
      <c r="AJ6" s="27">
        <f t="shared" si="15"/>
        <v>9.4434146680154445</v>
      </c>
      <c r="AK6" s="27">
        <f t="shared" si="15"/>
        <v>11.951821689207046</v>
      </c>
      <c r="AL6" s="28">
        <f t="shared" si="15"/>
        <v>14.755335418774132</v>
      </c>
      <c r="AN6" s="52"/>
      <c r="AO6" s="53" t="s">
        <v>66</v>
      </c>
      <c r="AP6" s="53" t="s">
        <v>67</v>
      </c>
      <c r="AQ6" s="53" t="s">
        <v>68</v>
      </c>
      <c r="AR6" s="53" t="s">
        <v>69</v>
      </c>
      <c r="AS6" s="53" t="s">
        <v>70</v>
      </c>
      <c r="AT6" s="54" t="s">
        <v>71</v>
      </c>
      <c r="AV6" s="57" t="s">
        <v>72</v>
      </c>
      <c r="AW6" s="58">
        <f t="shared" ref="AW6:AW13" si="16">$H$4*SIN(RADIANS($Q6))</f>
        <v>2.9583278321848963</v>
      </c>
      <c r="AX6" s="27">
        <f t="shared" ref="AX6:AX13" si="17">100*$R6/$R$6</f>
        <v>100</v>
      </c>
      <c r="AY6" s="58">
        <f t="shared" ref="AY6:AY13" si="18">$H$4*SIN(RADIANS($AC6))</f>
        <v>1.8117333157176452</v>
      </c>
      <c r="AZ6" s="28">
        <f t="shared" ref="AZ6:AZ13" si="19">100*$AD6/$AD$6</f>
        <v>100</v>
      </c>
    </row>
    <row r="7" ht="13.5">
      <c r="C7" s="1"/>
      <c r="D7" s="1"/>
      <c r="E7" s="1"/>
      <c r="G7" s="3" t="s">
        <v>73</v>
      </c>
      <c r="H7" s="33">
        <v>60</v>
      </c>
      <c r="I7" s="33">
        <v>50</v>
      </c>
      <c r="J7" s="33">
        <v>60</v>
      </c>
      <c r="L7" s="2"/>
      <c r="P7" s="11"/>
      <c r="Q7" s="12">
        <f t="shared" ref="Q7:Q13" si="20">Q6-0.13*$Q$6</f>
        <v>21.75</v>
      </c>
      <c r="R7" s="12">
        <f t="shared" si="12"/>
        <v>50.731953758379909</v>
      </c>
      <c r="S7" s="12"/>
      <c r="T7" s="12">
        <f t="shared" si="13"/>
        <v>4.4147300375734284</v>
      </c>
      <c r="U7" s="12">
        <f t="shared" si="13"/>
        <v>6.8980156837084827</v>
      </c>
      <c r="V7" s="12">
        <f t="shared" si="13"/>
        <v>9.9331425845402173</v>
      </c>
      <c r="W7" s="12">
        <f t="shared" si="13"/>
        <v>13.520110740068629</v>
      </c>
      <c r="X7" s="12">
        <f t="shared" si="13"/>
        <v>17.658920150293714</v>
      </c>
      <c r="Y7" s="12">
        <f t="shared" si="13"/>
        <v>22.349570815215486</v>
      </c>
      <c r="Z7" s="32">
        <f t="shared" si="13"/>
        <v>27.592062734833931</v>
      </c>
      <c r="AB7" s="11"/>
      <c r="AC7" s="12">
        <f t="shared" ref="AC7:AC13" si="21">AC6-0.13*$AC$6</f>
        <v>13.050000000000001</v>
      </c>
      <c r="AD7" s="12">
        <f t="shared" si="14"/>
        <v>33.575121105384113</v>
      </c>
      <c r="AE7" s="12"/>
      <c r="AF7" s="12">
        <f t="shared" si="15"/>
        <v>2.3193664462021744</v>
      </c>
      <c r="AG7" s="12">
        <f t="shared" si="15"/>
        <v>3.6240100721908974</v>
      </c>
      <c r="AH7" s="12">
        <f t="shared" si="15"/>
        <v>5.2185745039548923</v>
      </c>
      <c r="AI7" s="12">
        <f t="shared" si="15"/>
        <v>7.1030597414941594</v>
      </c>
      <c r="AJ7" s="12">
        <f t="shared" si="15"/>
        <v>9.2774657848086974</v>
      </c>
      <c r="AK7" s="12">
        <f t="shared" si="15"/>
        <v>11.741792633898509</v>
      </c>
      <c r="AL7" s="32">
        <f t="shared" si="15"/>
        <v>14.49604028876359</v>
      </c>
      <c r="AN7" s="52" t="s">
        <v>74</v>
      </c>
      <c r="AO7" s="55">
        <f>((SIN(RADIANS(90-H16+H9))-SIN(RADIANS(90-H16)))/(SIN(RADIANS(H17+H7-90))-SIN(RADIANS(H17-90))))*$AR$4</f>
        <v>1.1124642416401189</v>
      </c>
      <c r="AP7" s="55">
        <f>((SIN(RADIANS(90-I16+I9))-SIN(RADIANS(90-I16)))/(SIN(RADIANS(I17+I7-90))-SIN(RADIANS(I17-90))))*$AR$4</f>
        <v>1.3792221851318385</v>
      </c>
      <c r="AQ7" s="55">
        <f>((SIN(RADIANS(90-J16+J9))-SIN(RADIANS(90-J16)))/(SIN(RADIANS(J17+J7-90))-SIN(RADIANS(J17-90))))*$AR$4</f>
        <v>1.3252971850955844</v>
      </c>
      <c r="AR7" s="55">
        <f>AO7</f>
        <v>1.1124642416401189</v>
      </c>
      <c r="AS7" s="55">
        <f>AP7</f>
        <v>1.3792221851318385</v>
      </c>
      <c r="AT7" s="59">
        <f>AQ7</f>
        <v>1.3252971850955844</v>
      </c>
      <c r="AV7" s="52"/>
      <c r="AW7" s="55">
        <f t="shared" si="16"/>
        <v>2.5939020625688536</v>
      </c>
      <c r="AX7" s="12">
        <f t="shared" si="17"/>
        <v>84.553256263966503</v>
      </c>
      <c r="AY7" s="55">
        <f t="shared" si="18"/>
        <v>1.580608868083726</v>
      </c>
      <c r="AZ7" s="32">
        <f t="shared" si="19"/>
        <v>83.937802763460283</v>
      </c>
    </row>
    <row r="8">
      <c r="C8" s="1"/>
      <c r="D8" s="1"/>
      <c r="E8" s="1"/>
      <c r="G8" s="3" t="s">
        <v>75</v>
      </c>
      <c r="H8" s="33">
        <f>100-H7</f>
        <v>40</v>
      </c>
      <c r="I8" s="33">
        <v>50</v>
      </c>
      <c r="J8" s="33">
        <v>60</v>
      </c>
      <c r="L8" s="2"/>
      <c r="P8" s="11"/>
      <c r="Q8" s="12">
        <f t="shared" si="20"/>
        <v>18.5</v>
      </c>
      <c r="R8" s="12">
        <f t="shared" si="12"/>
        <v>42.374668629628658</v>
      </c>
      <c r="S8" s="12"/>
      <c r="T8" s="12">
        <f t="shared" si="13"/>
        <v>4.0985811675047668</v>
      </c>
      <c r="U8" s="12">
        <f t="shared" si="13"/>
        <v>6.4040330742261977</v>
      </c>
      <c r="V8" s="12">
        <f t="shared" si="13"/>
        <v>9.2218076268857256</v>
      </c>
      <c r="W8" s="12">
        <f t="shared" si="13"/>
        <v>12.551904825483346</v>
      </c>
      <c r="X8" s="12">
        <f t="shared" si="13"/>
        <v>16.394324670019067</v>
      </c>
      <c r="Y8" s="12">
        <f t="shared" si="13"/>
        <v>20.749067160492881</v>
      </c>
      <c r="Z8" s="32">
        <f t="shared" si="13"/>
        <v>25.616132296904791</v>
      </c>
      <c r="AB8" s="11"/>
      <c r="AC8" s="12">
        <f t="shared" si="21"/>
        <v>11.100000000000001</v>
      </c>
      <c r="AD8" s="12">
        <f t="shared" si="14"/>
        <v>27.767415980290494</v>
      </c>
      <c r="AE8" s="12"/>
      <c r="AF8" s="12">
        <f t="shared" si="15"/>
        <v>2.1540746790566812</v>
      </c>
      <c r="AG8" s="12">
        <f t="shared" si="15"/>
        <v>3.3657416860260647</v>
      </c>
      <c r="AH8" s="12">
        <f t="shared" si="15"/>
        <v>4.8466680278775325</v>
      </c>
      <c r="AI8" s="12">
        <f t="shared" si="15"/>
        <v>6.5968537046110862</v>
      </c>
      <c r="AJ8" s="12">
        <f t="shared" si="15"/>
        <v>8.6162987162267246</v>
      </c>
      <c r="AK8" s="12">
        <f t="shared" si="15"/>
        <v>10.905003062724447</v>
      </c>
      <c r="AL8" s="32">
        <f t="shared" si="15"/>
        <v>13.462966744104259</v>
      </c>
      <c r="AN8" s="57" t="s">
        <v>76</v>
      </c>
      <c r="AO8" s="58"/>
      <c r="AP8" s="58"/>
      <c r="AQ8" s="58"/>
      <c r="AR8" s="58"/>
      <c r="AS8" s="58"/>
      <c r="AT8" s="60"/>
      <c r="AV8" s="52"/>
      <c r="AW8" s="55">
        <f t="shared" si="16"/>
        <v>2.2211325948356451</v>
      </c>
      <c r="AX8" s="12">
        <f t="shared" si="17"/>
        <v>70.624447716047754</v>
      </c>
      <c r="AY8" s="55">
        <f t="shared" si="18"/>
        <v>1.3476537656813521</v>
      </c>
      <c r="AZ8" s="32">
        <f t="shared" si="19"/>
        <v>69.418539950726228</v>
      </c>
    </row>
    <row r="9">
      <c r="C9" s="1"/>
      <c r="D9" s="1"/>
      <c r="E9" s="1"/>
      <c r="G9" s="3" t="s">
        <v>77</v>
      </c>
      <c r="H9" s="34">
        <v>25</v>
      </c>
      <c r="I9" s="34">
        <v>25</v>
      </c>
      <c r="J9" s="34">
        <v>30</v>
      </c>
      <c r="L9" s="2"/>
      <c r="P9" s="11"/>
      <c r="Q9" s="12">
        <f t="shared" si="20"/>
        <v>15.25</v>
      </c>
      <c r="R9" s="12">
        <f t="shared" si="12"/>
        <v>34.546059098203123</v>
      </c>
      <c r="S9" s="12"/>
      <c r="T9" s="12">
        <f t="shared" si="13"/>
        <v>3.5776479244555457</v>
      </c>
      <c r="U9" s="12">
        <f t="shared" si="13"/>
        <v>5.5900748819617903</v>
      </c>
      <c r="V9" s="12">
        <f t="shared" si="13"/>
        <v>8.0497078300249783</v>
      </c>
      <c r="W9" s="12">
        <f t="shared" si="13"/>
        <v>10.956546768645106</v>
      </c>
      <c r="X9" s="12">
        <f t="shared" si="13"/>
        <v>14.310591697822183</v>
      </c>
      <c r="Y9" s="12">
        <f t="shared" si="13"/>
        <v>18.111842617556203</v>
      </c>
      <c r="Z9" s="32">
        <f t="shared" si="13"/>
        <v>22.360299527847161</v>
      </c>
      <c r="AB9" s="11"/>
      <c r="AC9" s="12">
        <f t="shared" si="21"/>
        <v>9.1500000000000021</v>
      </c>
      <c r="AD9" s="12">
        <f t="shared" si="14"/>
        <v>22.376223861444089</v>
      </c>
      <c r="AE9" s="12"/>
      <c r="AF9" s="12">
        <f t="shared" si="15"/>
        <v>1.8977060687505884</v>
      </c>
      <c r="AG9" s="12">
        <f t="shared" si="15"/>
        <v>2.9651657324227947</v>
      </c>
      <c r="AH9" s="12">
        <f t="shared" si="15"/>
        <v>4.269838654688825</v>
      </c>
      <c r="AI9" s="12">
        <f t="shared" si="15"/>
        <v>5.8117248355486781</v>
      </c>
      <c r="AJ9" s="12">
        <f t="shared" si="15"/>
        <v>7.5908242750023538</v>
      </c>
      <c r="AK9" s="12">
        <f t="shared" si="15"/>
        <v>9.6071369730498564</v>
      </c>
      <c r="AL9" s="32">
        <f t="shared" si="15"/>
        <v>11.860662929691179</v>
      </c>
      <c r="AN9" s="52" t="s">
        <v>78</v>
      </c>
      <c r="AO9" s="55">
        <f>$AO$4+$AR$4*SIN(RADIANS(H$13-H$16))-$AQ$4*SIN(RADIANS(H$13))+AO$7*COS(RADIANS(-90+H$17+H$13))</f>
        <v>4.2266671626090924</v>
      </c>
      <c r="AP9" s="55">
        <f>$AO$4+$AR$4*SIN(RADIANS(I$13-I$16))-$AQ$4*SIN(RADIANS(I$13))+AP$7*COS(RADIANS(-90+I$17+I$13))</f>
        <v>4.569315304369173</v>
      </c>
      <c r="AQ9" s="55">
        <f>$AO$4+$AR$4*SIN(RADIANS(J$13-J$16))-$AQ$4*SIN(RADIANS(J$13))+AQ$7*COS(RADIANS(-90+J$17+J$13))</f>
        <v>4.8184576843538132</v>
      </c>
      <c r="AR9" s="55">
        <f>$AP$4-$AR$4*COS(RADIANS(H$13-H$16))+$AQ$4*COS(RADIANS(H$13))+AR$7*SIN(RADIANS(-90+H$17+H$13))</f>
        <v>5.5891274885534159</v>
      </c>
      <c r="AS9" s="55">
        <f>$AP$4-$AR$4*COS(RADIANS(I$13-I$16))+$AQ$4*COS(RADIANS(I$13))+AS$7*SIN(RADIANS(-90+I$17+I$13))</f>
        <v>3.4935777791277447</v>
      </c>
      <c r="AT9" s="59">
        <f>$AP$4-$AR$4*COS(RADIANS(J$13-J$16))+$AQ$4*COS(RADIANS(J$13))+AT$7*SIN(RADIANS(-90+J$17+J$13))</f>
        <v>6.0549264712360165</v>
      </c>
      <c r="AV9" s="52"/>
      <c r="AW9" s="55">
        <f t="shared" si="16"/>
        <v>1.8412185012058235</v>
      </c>
      <c r="AX9" s="12">
        <f t="shared" si="17"/>
        <v>57.576765163671865</v>
      </c>
      <c r="AY9" s="55">
        <f t="shared" si="18"/>
        <v>1.1131378161635495</v>
      </c>
      <c r="AZ9" s="32">
        <f t="shared" si="19"/>
        <v>55.940559653610215</v>
      </c>
    </row>
    <row r="10">
      <c r="C10" s="1"/>
      <c r="D10" s="1"/>
      <c r="E10" s="1"/>
      <c r="G10" s="3" t="s">
        <v>79</v>
      </c>
      <c r="H10" s="34">
        <v>15</v>
      </c>
      <c r="I10" s="34">
        <v>25</v>
      </c>
      <c r="J10" s="34">
        <v>30</v>
      </c>
      <c r="L10" s="2"/>
      <c r="P10" s="11"/>
      <c r="Q10" s="12">
        <f t="shared" si="20"/>
        <v>12</v>
      </c>
      <c r="R10" s="12">
        <f t="shared" si="12"/>
        <v>27.033123351318466</v>
      </c>
      <c r="S10" s="12"/>
      <c r="T10" s="12">
        <f t="shared" si="13"/>
        <v>2.9185910961665069</v>
      </c>
      <c r="U10" s="12">
        <f t="shared" si="13"/>
        <v>4.5602985877601672</v>
      </c>
      <c r="V10" s="12">
        <f t="shared" si="13"/>
        <v>6.566829966374641</v>
      </c>
      <c r="W10" s="12">
        <f t="shared" si="13"/>
        <v>8.9381852320099284</v>
      </c>
      <c r="X10" s="12">
        <f t="shared" si="13"/>
        <v>11.674364384666028</v>
      </c>
      <c r="Y10" s="12">
        <f t="shared" si="13"/>
        <v>14.775367424342942</v>
      </c>
      <c r="Z10" s="32">
        <f t="shared" si="13"/>
        <v>18.241194351040669</v>
      </c>
      <c r="AB10" s="11"/>
      <c r="AC10" s="12">
        <f t="shared" si="21"/>
        <v>7.200000000000002</v>
      </c>
      <c r="AD10" s="12">
        <f t="shared" si="14"/>
        <v>17.282807437380285</v>
      </c>
      <c r="AE10" s="12"/>
      <c r="AF10" s="12">
        <f t="shared" si="15"/>
        <v>1.5721020449143144</v>
      </c>
      <c r="AG10" s="12">
        <f t="shared" si="15"/>
        <v>2.456409445178616</v>
      </c>
      <c r="AH10" s="12">
        <f t="shared" si="15"/>
        <v>3.5372296010572075</v>
      </c>
      <c r="AI10" s="12">
        <f t="shared" si="15"/>
        <v>4.8145625125500882</v>
      </c>
      <c r="AJ10" s="12">
        <f t="shared" si="15"/>
        <v>6.2884081796572575</v>
      </c>
      <c r="AK10" s="12">
        <f t="shared" si="15"/>
        <v>7.9587666023787165</v>
      </c>
      <c r="AL10" s="32">
        <f t="shared" si="15"/>
        <v>9.8256377807144641</v>
      </c>
      <c r="AN10" s="52" t="s">
        <v>80</v>
      </c>
      <c r="AO10" s="55">
        <f>$AO$4+$AR$4*SIN(RADIANS(H$13-H$16))-$AQ$4*SIN(RADIANS(H$13))</f>
        <v>4</v>
      </c>
      <c r="AP10" s="55">
        <f>$AO$4+$AR$4*SIN(RADIANS(I$13-I$16))-$AQ$4*SIN(RADIANS(I$13))</f>
        <v>4.9033817998308677</v>
      </c>
      <c r="AQ10" s="55">
        <f>$AO$4+$AR$4*SIN(RADIANS(J$13-J$16))-$AQ$4*SIN(RADIANS(J$13))</f>
        <v>5.1180339887498949</v>
      </c>
      <c r="AR10" s="55">
        <f>$AP$4-$AR$4*COS(RADIANS(H$13-H$16))+$AQ$4*COS(RADIANS(H$13))</f>
        <v>4.5000000000000009</v>
      </c>
      <c r="AS10" s="55">
        <f>$AP$4-$AR$4*COS(RADIANS(I$13-I$16))+$AQ$4*COS(RADIANS(I$13))</f>
        <v>2.1554247936399924</v>
      </c>
      <c r="AT10" s="59">
        <f>$AP$4-$AR$4*COS(RADIANS(J$13-J$16))+$AQ$4*COS(RADIANS(J$13))</f>
        <v>4.7639320225002111</v>
      </c>
      <c r="AV10" s="52"/>
      <c r="AW10" s="55">
        <f t="shared" si="16"/>
        <v>1.4553818357243153</v>
      </c>
      <c r="AX10" s="12">
        <f t="shared" si="17"/>
        <v>45.055205585530764</v>
      </c>
      <c r="AY10" s="55">
        <f t="shared" si="18"/>
        <v>0.87733263495013003</v>
      </c>
      <c r="AZ10" s="32">
        <f t="shared" si="19"/>
        <v>43.207018593450712</v>
      </c>
    </row>
    <row r="11">
      <c r="C11" s="1"/>
      <c r="D11" s="1"/>
      <c r="E11" s="1"/>
      <c r="G11" s="29" t="s">
        <v>81</v>
      </c>
      <c r="H11" s="61"/>
      <c r="I11" s="61">
        <v>1</v>
      </c>
      <c r="J11" s="61">
        <v>2</v>
      </c>
      <c r="L11" s="2"/>
      <c r="P11" s="11"/>
      <c r="Q11" s="12">
        <f t="shared" si="20"/>
        <v>8.75</v>
      </c>
      <c r="R11" s="12">
        <f t="shared" si="12"/>
        <v>19.694906272910174</v>
      </c>
      <c r="S11" s="12"/>
      <c r="T11" s="12">
        <f t="shared" si="13"/>
        <v>2.1698041713165281</v>
      </c>
      <c r="U11" s="12">
        <f t="shared" si="13"/>
        <v>3.3903190176820766</v>
      </c>
      <c r="V11" s="12">
        <f t="shared" si="13"/>
        <v>4.8820593854621892</v>
      </c>
      <c r="W11" s="12">
        <f t="shared" si="13"/>
        <v>6.6450252746568683</v>
      </c>
      <c r="X11" s="12">
        <f t="shared" si="13"/>
        <v>8.6792166852661126</v>
      </c>
      <c r="Y11" s="12">
        <f t="shared" si="13"/>
        <v>10.984633617289928</v>
      </c>
      <c r="Z11" s="32">
        <f t="shared" si="13"/>
        <v>13.561276070728306</v>
      </c>
      <c r="AB11" s="11"/>
      <c r="AC11" s="12">
        <f t="shared" si="21"/>
        <v>5.2500000000000018</v>
      </c>
      <c r="AD11" s="12">
        <f t="shared" si="14"/>
        <v>12.409456680960503</v>
      </c>
      <c r="AE11" s="12"/>
      <c r="AF11" s="12">
        <f t="shared" si="15"/>
        <v>1.193286686079027</v>
      </c>
      <c r="AG11" s="12">
        <f t="shared" si="15"/>
        <v>1.8645104469984801</v>
      </c>
      <c r="AH11" s="12">
        <f t="shared" si="15"/>
        <v>2.6848950436778107</v>
      </c>
      <c r="AI11" s="12">
        <f t="shared" si="15"/>
        <v>3.6544404761170206</v>
      </c>
      <c r="AJ11" s="12">
        <f t="shared" si="15"/>
        <v>4.773146744316108</v>
      </c>
      <c r="AK11" s="12">
        <f t="shared" si="15"/>
        <v>6.0410138482750746</v>
      </c>
      <c r="AL11" s="32">
        <f t="shared" si="15"/>
        <v>7.4580417879939205</v>
      </c>
      <c r="AN11" s="52" t="s">
        <v>82</v>
      </c>
      <c r="AO11" s="55">
        <f t="shared" ref="AO11:AQ12" si="22">$AO$4+$AR$4*SIN(RADIANS(H$13-H$16))</f>
        <v>14</v>
      </c>
      <c r="AP11" s="55">
        <f t="shared" si="22"/>
        <v>14.606339062590832</v>
      </c>
      <c r="AQ11" s="55">
        <f t="shared" si="22"/>
        <v>15.118033988749895</v>
      </c>
      <c r="AR11" s="55">
        <f>$AP$4-$AR$4*COS(RADIANS(H$13-H$16))</f>
        <v>4.5</v>
      </c>
      <c r="AS11" s="55">
        <f>$AP$4-$AR$4*COS(RADIANS(I$13-I$16))</f>
        <v>4.5746437496366701</v>
      </c>
      <c r="AT11" s="59">
        <f>$AP$4-$AR$4*COS(RADIANS(J$13-J$16))</f>
        <v>4.7639320225002102</v>
      </c>
      <c r="AV11" s="52"/>
      <c r="AW11" s="55">
        <f t="shared" si="16"/>
        <v>1.0648637033294168</v>
      </c>
      <c r="AX11" s="12">
        <f t="shared" si="17"/>
        <v>32.824843788183621</v>
      </c>
      <c r="AY11" s="55">
        <f t="shared" si="18"/>
        <v>0.64051133064381682</v>
      </c>
      <c r="AZ11" s="32">
        <f t="shared" si="19"/>
        <v>31.023641702401257</v>
      </c>
    </row>
    <row r="12">
      <c r="C12" s="1"/>
      <c r="D12" s="1"/>
      <c r="E12" s="1"/>
      <c r="G12" s="29" t="s">
        <v>83</v>
      </c>
      <c r="H12" s="61"/>
      <c r="I12" s="61">
        <v>4</v>
      </c>
      <c r="J12" s="61">
        <v>4</v>
      </c>
      <c r="L12" s="2"/>
      <c r="P12" s="11"/>
      <c r="Q12" s="12">
        <f t="shared" si="20"/>
        <v>5.5</v>
      </c>
      <c r="R12" s="12">
        <f t="shared" si="12"/>
        <v>12.42331226909468</v>
      </c>
      <c r="S12" s="12"/>
      <c r="T12" s="12">
        <f t="shared" si="13"/>
        <v>1.3704707044200715</v>
      </c>
      <c r="U12" s="12">
        <f t="shared" si="13"/>
        <v>2.141360475656362</v>
      </c>
      <c r="V12" s="12">
        <f t="shared" si="13"/>
        <v>3.0835590849451608</v>
      </c>
      <c r="W12" s="12">
        <f t="shared" si="13"/>
        <v>4.1970665322864686</v>
      </c>
      <c r="X12" s="12">
        <f t="shared" si="13"/>
        <v>5.4818828176802858</v>
      </c>
      <c r="Y12" s="12">
        <f t="shared" si="13"/>
        <v>6.9380079411266111</v>
      </c>
      <c r="Z12" s="32">
        <f t="shared" si="13"/>
        <v>8.565441902625448</v>
      </c>
      <c r="AB12" s="11"/>
      <c r="AC12" s="12">
        <f t="shared" si="21"/>
        <v>3.3000000000000016</v>
      </c>
      <c r="AD12" s="12">
        <f t="shared" si="14"/>
        <v>7.7014115833941759</v>
      </c>
      <c r="AE12" s="12"/>
      <c r="AF12" s="12">
        <f t="shared" si="15"/>
        <v>0.77384441839511064</v>
      </c>
      <c r="AG12" s="12">
        <f t="shared" si="15"/>
        <v>1.2091319037423602</v>
      </c>
      <c r="AH12" s="12">
        <f t="shared" si="15"/>
        <v>1.7411499413889986</v>
      </c>
      <c r="AI12" s="12">
        <f t="shared" si="15"/>
        <v>2.3698985313350263</v>
      </c>
      <c r="AJ12" s="12">
        <f t="shared" si="15"/>
        <v>3.0953776735804426</v>
      </c>
      <c r="AK12" s="12">
        <f t="shared" si="15"/>
        <v>3.9175873681252473</v>
      </c>
      <c r="AL12" s="32">
        <f t="shared" si="15"/>
        <v>4.8365276149694409</v>
      </c>
      <c r="AN12" s="52" t="s">
        <v>84</v>
      </c>
      <c r="AO12" s="55">
        <f t="shared" si="22"/>
        <v>14</v>
      </c>
      <c r="AP12" s="55">
        <f t="shared" si="22"/>
        <v>14.606339062590832</v>
      </c>
      <c r="AQ12" s="55">
        <f t="shared" si="22"/>
        <v>15.118033988749895</v>
      </c>
      <c r="AR12" s="55">
        <f t="shared" ref="AR12:AT13" si="23">$AP$4</f>
        <v>7</v>
      </c>
      <c r="AS12" s="55">
        <f t="shared" si="23"/>
        <v>7</v>
      </c>
      <c r="AT12" s="59">
        <f t="shared" si="23"/>
        <v>7</v>
      </c>
      <c r="AV12" s="52"/>
      <c r="AW12" s="55">
        <f t="shared" si="16"/>
        <v>0.67092026764156787</v>
      </c>
      <c r="AX12" s="12">
        <f t="shared" si="17"/>
        <v>20.705520448491132</v>
      </c>
      <c r="AY12" s="55">
        <f t="shared" si="18"/>
        <v>0.40294818871697113</v>
      </c>
      <c r="AZ12" s="32">
        <f t="shared" si="19"/>
        <v>19.25352895848544</v>
      </c>
    </row>
    <row r="13" ht="13.5">
      <c r="C13" s="1"/>
      <c r="D13" s="1"/>
      <c r="E13" s="1"/>
      <c r="G13" s="3" t="s">
        <v>85</v>
      </c>
      <c r="H13" s="61">
        <v>90</v>
      </c>
      <c r="I13" s="61">
        <v>104</v>
      </c>
      <c r="J13" s="61">
        <v>90</v>
      </c>
      <c r="L13" s="2"/>
      <c r="O13" s="2"/>
      <c r="P13" s="36"/>
      <c r="Q13" s="12">
        <f t="shared" si="20"/>
        <v>2.25</v>
      </c>
      <c r="R13" s="12">
        <f t="shared" si="12"/>
        <v>5.1225532979965749</v>
      </c>
      <c r="S13" s="12"/>
      <c r="T13" s="12">
        <f t="shared" si="13"/>
        <v>0.5555049266587202</v>
      </c>
      <c r="U13" s="12">
        <f t="shared" si="13"/>
        <v>0.86797644790424988</v>
      </c>
      <c r="V13" s="12">
        <f t="shared" si="13"/>
        <v>1.2498860849821203</v>
      </c>
      <c r="W13" s="12">
        <f t="shared" si="13"/>
        <v>1.7012338378923302</v>
      </c>
      <c r="X13" s="12">
        <f t="shared" si="13"/>
        <v>2.2220197066348808</v>
      </c>
      <c r="Y13" s="12">
        <f t="shared" si="13"/>
        <v>2.8122436912097699</v>
      </c>
      <c r="Z13" s="32">
        <f t="shared" si="13"/>
        <v>3.4719057916169995</v>
      </c>
      <c r="AB13" s="36"/>
      <c r="AC13" s="12">
        <f t="shared" si="21"/>
        <v>1.3500000000000014</v>
      </c>
      <c r="AD13" s="12">
        <f t="shared" si="14"/>
        <v>3.1177114559038159</v>
      </c>
      <c r="AE13" s="12"/>
      <c r="AF13" s="12">
        <f t="shared" si="15"/>
        <v>0.32419923636839482</v>
      </c>
      <c r="AG13" s="12">
        <f t="shared" si="15"/>
        <v>0.50656130682561695</v>
      </c>
      <c r="AH13" s="12">
        <f t="shared" si="15"/>
        <v>0.72944828182888843</v>
      </c>
      <c r="AI13" s="12">
        <f t="shared" si="15"/>
        <v>0.99286016137820909</v>
      </c>
      <c r="AJ13" s="12">
        <f t="shared" si="15"/>
        <v>1.2967969454735793</v>
      </c>
      <c r="AK13" s="12">
        <f t="shared" si="15"/>
        <v>1.6412586341149986</v>
      </c>
      <c r="AL13" s="32">
        <f t="shared" si="15"/>
        <v>2.0262452273024678</v>
      </c>
      <c r="AN13" s="52" t="s">
        <v>86</v>
      </c>
      <c r="AO13" s="55">
        <f>$AO$4</f>
        <v>14</v>
      </c>
      <c r="AP13" s="55">
        <f>$AO$4</f>
        <v>14</v>
      </c>
      <c r="AQ13" s="55">
        <f>$AO$4</f>
        <v>14</v>
      </c>
      <c r="AR13" s="55">
        <f t="shared" si="23"/>
        <v>7</v>
      </c>
      <c r="AS13" s="55">
        <f t="shared" si="23"/>
        <v>7</v>
      </c>
      <c r="AT13" s="59">
        <f t="shared" si="23"/>
        <v>7</v>
      </c>
      <c r="AV13" s="62"/>
      <c r="AW13" s="63">
        <f t="shared" si="16"/>
        <v>0.27481871031348026</v>
      </c>
      <c r="AX13" s="37">
        <f t="shared" si="17"/>
        <v>8.5375888299942897</v>
      </c>
      <c r="AY13" s="63">
        <f t="shared" si="18"/>
        <v>0.16491835383527126</v>
      </c>
      <c r="AZ13" s="39">
        <f t="shared" si="19"/>
        <v>7.7942786397595398</v>
      </c>
    </row>
    <row r="14" ht="13.5">
      <c r="C14" s="1"/>
      <c r="D14" s="1"/>
      <c r="E14" s="1"/>
      <c r="O14" s="2"/>
      <c r="P14" s="56" t="s">
        <v>6</v>
      </c>
      <c r="Q14" s="24">
        <f>$I$9</f>
        <v>25</v>
      </c>
      <c r="R14" s="25">
        <f t="shared" ref="R14:R21" si="24">-$I$17+DEGREES(ASIN((SIN(RADIANS(90-$I$16+Q14))-SIN(RADIANS(90-$I$16)))/((SIN(RADIANS(90-$I$16+$I$9))-SIN(RADIANS(90-$I$16)))/(SIN(RADIANS($I$17+$I$7-90))-SIN(RADIANS($I$17-90))))+SIN(RADIANS($I$17-90))))+90</f>
        <v>50.000000000000021</v>
      </c>
      <c r="S14" s="25"/>
      <c r="T14" s="27">
        <f t="shared" ref="T14:Z21" si="25">0.0000085*($I$4^2*$I$5*T$3^2*SIN(RADIANS($Q14))*(COS(RADIANS($I$17+$R14-90))/COS(RADIANS(90-$I$16+$Q14)))*(SIN(RADIANS(90-$I$16+$Q14))-SIN(RADIANS(90-$I$16)))/(SIN(RADIANS($I$17+$R14-90))-SIN(RADIANS($I$17-90))))</f>
        <v>7.2968197880272623</v>
      </c>
      <c r="U14" s="27">
        <f t="shared" si="25"/>
        <v>11.401280918792596</v>
      </c>
      <c r="V14" s="27">
        <f t="shared" si="25"/>
        <v>16.417844523061337</v>
      </c>
      <c r="W14" s="27">
        <f t="shared" si="25"/>
        <v>22.346510600833486</v>
      </c>
      <c r="X14" s="27">
        <f t="shared" si="25"/>
        <v>29.187279152109049</v>
      </c>
      <c r="Y14" s="27">
        <f t="shared" si="25"/>
        <v>36.940150176888011</v>
      </c>
      <c r="Z14" s="28">
        <f t="shared" si="25"/>
        <v>45.605123675170383</v>
      </c>
      <c r="AB14" s="56" t="s">
        <v>6</v>
      </c>
      <c r="AC14" s="24">
        <f>$I$10</f>
        <v>25</v>
      </c>
      <c r="AD14" s="25">
        <f t="shared" ref="AD14:AD21" si="26">$I$17-DEGREES(ASIN((SIN(RADIANS(90-$I$16+-AC14))-SIN(RADIANS(90-$I$16)))/((SIN(RADIANS(90-$I$16+$I$9))-SIN(RADIANS(90-$I$16)))/(SIN(RADIANS($I$17+$I$7-90))-SIN(RADIANS($I$17-90))))+SIN(RADIANS($I$17-90))))-90</f>
        <v>50</v>
      </c>
      <c r="AE14" s="25"/>
      <c r="AF14" s="27">
        <f t="shared" ref="AF14:AL21" si="27">0.0000085*($I$4^2*$I$5*AF$3^2*SIN(RADIANS($AC14))*(COS(RADIANS($I$17+-$AD14-90))/COS(RADIANS(90-$I$16+-$AC14)))*(SIN(RADIANS(90-$I$16+-$AC14))-SIN(RADIANS(90-$I$16)))/(SIN(RADIANS($I$17+-$AD14-90))-SIN(RADIANS($I$17-90))))</f>
        <v>7.2977456031865424</v>
      </c>
      <c r="AG14" s="27">
        <f t="shared" si="27"/>
        <v>11.402727504978971</v>
      </c>
      <c r="AH14" s="27">
        <f t="shared" si="27"/>
        <v>16.419927607169718</v>
      </c>
      <c r="AI14" s="27">
        <f t="shared" si="27"/>
        <v>22.349345909758782</v>
      </c>
      <c r="AJ14" s="27">
        <f t="shared" si="27"/>
        <v>29.19098241274617</v>
      </c>
      <c r="AK14" s="27">
        <f t="shared" si="27"/>
        <v>36.944837116131865</v>
      </c>
      <c r="AL14" s="28">
        <f t="shared" si="27"/>
        <v>45.610910019915885</v>
      </c>
      <c r="AN14" s="62" t="s">
        <v>87</v>
      </c>
      <c r="AO14" s="63">
        <f>AO$13+$AS$4</f>
        <v>19</v>
      </c>
      <c r="AP14" s="63">
        <f>AP$13+$AS$4</f>
        <v>19</v>
      </c>
      <c r="AQ14" s="63">
        <f>AQ$13+$AS$4</f>
        <v>19</v>
      </c>
      <c r="AR14" s="63">
        <f>AR$13</f>
        <v>7</v>
      </c>
      <c r="AS14" s="63">
        <f>AS$13</f>
        <v>7</v>
      </c>
      <c r="AT14" s="64">
        <f>AT$13</f>
        <v>7</v>
      </c>
      <c r="AV14" s="57" t="s">
        <v>88</v>
      </c>
      <c r="AW14" s="58">
        <f t="shared" ref="AW14:AW21" si="28">$I$4*SIN(RADIANS($Q14))</f>
        <v>5.4940374026290923</v>
      </c>
      <c r="AX14" s="27">
        <f t="shared" ref="AX14:AX21" si="29">100*$R14/$R$14</f>
        <v>100</v>
      </c>
      <c r="AY14" s="58">
        <f t="shared" ref="AY14:AY21" si="30">$I$4*SIN(RADIANS($AC14))</f>
        <v>5.4940374026290923</v>
      </c>
      <c r="AZ14" s="28">
        <f t="shared" ref="AZ14:AZ21" si="31">100*$AD14/$AD$14</f>
        <v>100</v>
      </c>
    </row>
    <row r="15">
      <c r="C15" s="1"/>
      <c r="D15" s="1"/>
      <c r="E15" s="1"/>
      <c r="G15" s="3" t="s">
        <v>24</v>
      </c>
      <c r="H15" s="65">
        <f>MAX(Z6:Z13,AL6:AL13)</f>
        <v>27.626562093549499</v>
      </c>
      <c r="I15" s="65">
        <f>MAX(Z14:Z21,AL14:AL21)</f>
        <v>45.610910019915885</v>
      </c>
      <c r="J15" s="65">
        <f>MAX(Z22:Z29,AL22:AL29)</f>
        <v>114.85781143771695</v>
      </c>
      <c r="O15" s="2"/>
      <c r="P15" s="11"/>
      <c r="Q15" s="12">
        <f t="shared" ref="Q15:Q21" si="32">Q14-0.13*$Q$14</f>
        <v>21.75</v>
      </c>
      <c r="R15" s="12">
        <f t="shared" si="24"/>
        <v>42.196434873415775</v>
      </c>
      <c r="S15" s="12"/>
      <c r="T15" s="12">
        <f t="shared" si="25"/>
        <v>7.1956387355032625</v>
      </c>
      <c r="U15" s="12">
        <f t="shared" si="25"/>
        <v>11.243185524223847</v>
      </c>
      <c r="V15" s="12">
        <f t="shared" si="25"/>
        <v>16.190187154882342</v>
      </c>
      <c r="W15" s="12">
        <f t="shared" si="25"/>
        <v>22.036643627478739</v>
      </c>
      <c r="X15" s="12">
        <f t="shared" si="25"/>
        <v>28.78255494201305</v>
      </c>
      <c r="Y15" s="12">
        <f t="shared" si="25"/>
        <v>36.427921098485271</v>
      </c>
      <c r="Z15" s="32">
        <f t="shared" si="25"/>
        <v>44.972742096895388</v>
      </c>
      <c r="AB15" s="11"/>
      <c r="AC15" s="12">
        <f t="shared" ref="AC15:AC21" si="33">AC14-0.13*$AC$14</f>
        <v>21.75</v>
      </c>
      <c r="AD15" s="12">
        <f t="shared" si="26"/>
        <v>42.197005403682482</v>
      </c>
      <c r="AE15" s="12"/>
      <c r="AF15" s="12">
        <f t="shared" si="27"/>
        <v>7.1958658214176587</v>
      </c>
      <c r="AG15" s="12">
        <f t="shared" si="27"/>
        <v>11.243540345965091</v>
      </c>
      <c r="AH15" s="12">
        <f t="shared" si="27"/>
        <v>16.190698098189731</v>
      </c>
      <c r="AI15" s="12">
        <f t="shared" si="27"/>
        <v>22.037339078091577</v>
      </c>
      <c r="AJ15" s="12">
        <f t="shared" si="27"/>
        <v>28.783463285670635</v>
      </c>
      <c r="AK15" s="12">
        <f t="shared" si="27"/>
        <v>36.429070720926887</v>
      </c>
      <c r="AL15" s="32">
        <f t="shared" si="27"/>
        <v>44.974161383860363</v>
      </c>
      <c r="AN15" s="57" t="s">
        <v>61</v>
      </c>
      <c r="AO15" s="27"/>
      <c r="AP15" s="27"/>
      <c r="AQ15" s="27"/>
      <c r="AR15" s="27"/>
      <c r="AS15" s="27"/>
      <c r="AT15" s="28"/>
      <c r="AV15" s="52"/>
      <c r="AW15" s="55">
        <f t="shared" si="28"/>
        <v>4.817246687627871</v>
      </c>
      <c r="AX15" s="12">
        <f t="shared" si="29"/>
        <v>84.392869746831508</v>
      </c>
      <c r="AY15" s="55">
        <f t="shared" si="30"/>
        <v>4.817246687627871</v>
      </c>
      <c r="AZ15" s="32">
        <f t="shared" si="31"/>
        <v>84.394010807364964</v>
      </c>
    </row>
    <row r="16">
      <c r="C16" s="1"/>
      <c r="D16" s="1"/>
      <c r="E16" s="1"/>
      <c r="G16" s="3" t="s">
        <v>89</v>
      </c>
      <c r="H16" s="66">
        <f>H13-IF(H12=0,0,DEGREES(ATAN(H11/H12)))</f>
        <v>90</v>
      </c>
      <c r="I16" s="66">
        <f>I13-IF(I12=0,0,DEGREES(ATAN(I11/I12)))</f>
        <v>89.963756532073518</v>
      </c>
      <c r="J16" s="66">
        <f>J13-IF(J12=0,0,DEGREES(ATAN(J11/J12)))</f>
        <v>63.43494882292201</v>
      </c>
      <c r="N16" s="67" t="s">
        <v>90</v>
      </c>
      <c r="O16" s="2"/>
      <c r="P16" s="11"/>
      <c r="Q16" s="12">
        <f t="shared" si="32"/>
        <v>18.5</v>
      </c>
      <c r="R16" s="12">
        <f t="shared" si="24"/>
        <v>35.109915376056868</v>
      </c>
      <c r="S16" s="12"/>
      <c r="T16" s="12">
        <f t="shared" si="25"/>
        <v>6.6637860106006208</v>
      </c>
      <c r="U16" s="12">
        <f t="shared" si="25"/>
        <v>10.412165641563469</v>
      </c>
      <c r="V16" s="12">
        <f t="shared" si="25"/>
        <v>14.993518523851394</v>
      </c>
      <c r="W16" s="12">
        <f t="shared" si="25"/>
        <v>20.407844657464402</v>
      </c>
      <c r="X16" s="12">
        <f t="shared" si="25"/>
        <v>26.655144042402483</v>
      </c>
      <c r="Y16" s="12">
        <f t="shared" si="25"/>
        <v>33.735416678665636</v>
      </c>
      <c r="Z16" s="32">
        <f t="shared" si="25"/>
        <v>41.648662566253876</v>
      </c>
      <c r="AB16" s="11"/>
      <c r="AC16" s="12">
        <f t="shared" si="33"/>
        <v>18.5</v>
      </c>
      <c r="AD16" s="12">
        <f t="shared" si="26"/>
        <v>35.110550195234396</v>
      </c>
      <c r="AE16" s="12"/>
      <c r="AF16" s="12">
        <f t="shared" si="27"/>
        <v>6.663731287802527</v>
      </c>
      <c r="AG16" s="12">
        <f t="shared" si="27"/>
        <v>10.412080137191447</v>
      </c>
      <c r="AH16" s="12">
        <f t="shared" si="27"/>
        <v>14.993395397555686</v>
      </c>
      <c r="AI16" s="12">
        <f t="shared" si="27"/>
        <v>20.407677068895239</v>
      </c>
      <c r="AJ16" s="12">
        <f t="shared" si="27"/>
        <v>26.654925151210108</v>
      </c>
      <c r="AK16" s="12">
        <f t="shared" si="27"/>
        <v>33.735139644500293</v>
      </c>
      <c r="AL16" s="32">
        <f t="shared" si="27"/>
        <v>41.648320548765788</v>
      </c>
      <c r="AN16" s="52" t="s">
        <v>78</v>
      </c>
      <c r="AO16" s="55">
        <f>$AO$4+$AR$4*SIN(RADIANS(H$13-H$16))-$AQ$4*SIN(RADIANS(H$13))+AO$7*COS(RADIANS(-90+H$17+H$13))</f>
        <v>4.2266671626090924</v>
      </c>
      <c r="AP16" s="55">
        <f>$AO$4+$AR$4*SIN(RADIANS(I$13-I$16))-$AQ$4*SIN(RADIANS(I$13))+AP$7*COS(RADIANS(-90+I$17+I$13))</f>
        <v>4.569315304369173</v>
      </c>
      <c r="AQ16" s="55">
        <f>$AO$4+$AR$4*SIN(RADIANS(J$13-J$16))-$AQ$4*SIN(RADIANS(J$13))+AQ$7*COS(RADIANS(-90+J$17+J$13))</f>
        <v>4.8184576843538132</v>
      </c>
      <c r="AR16" s="55">
        <f>$AP$4-$AR$4*COS(RADIANS(H$13-H$16))+$AQ$4*COS(RADIANS(H$13))+AR$7*SIN(RADIANS(-90+H$17+H$13))</f>
        <v>5.5891274885534159</v>
      </c>
      <c r="AS16" s="55">
        <f>$AP$4-$AR$4*COS(RADIANS(I$13-I$16))+$AQ$4*COS(RADIANS(I$13))+AS$7*SIN(RADIANS(-90+I$17+I$13))</f>
        <v>3.4935777791277447</v>
      </c>
      <c r="AT16" s="59">
        <f>$AP$4-$AR$4*COS(RADIANS(J$13-J$16))+$AQ$4*COS(RADIANS(J$13))+AT$7*SIN(RADIANS(-90+J$17+J$13))</f>
        <v>6.0549264712360165</v>
      </c>
      <c r="AV16" s="52"/>
      <c r="AW16" s="55">
        <f t="shared" si="28"/>
        <v>4.124960533266198</v>
      </c>
      <c r="AX16" s="12">
        <f t="shared" si="29"/>
        <v>70.219830752113708</v>
      </c>
      <c r="AY16" s="55">
        <f t="shared" si="30"/>
        <v>4.124960533266198</v>
      </c>
      <c r="AZ16" s="32">
        <f t="shared" si="31"/>
        <v>70.221100390468791</v>
      </c>
    </row>
    <row r="17">
      <c r="C17" s="1"/>
      <c r="D17" s="1"/>
      <c r="E17" s="1"/>
      <c r="G17" s="3" t="s">
        <v>91</v>
      </c>
      <c r="H17" s="68">
        <f>DEGREES(ATAN((((SIN(RADIANS(90-H16-H10))-SIN(RADIANS(90-H16)))*SIN(RADIANS(H7)))-((SIN(RADIANS(90-H16+H9))-SIN(RADIANS(90-H16)))*SIN(RADIANS(-H8))))/((SIN(RADIANS(90-H16+H9))-SIN(RADIANS(90-H16)))*(COS(RADIANS(-H8))-1)-(SIN(RADIANS(90-H16-H10))-SIN(RADIANS(90-H16)))*(COS(RADIANS(H7))-1))))+90</f>
        <v>78.243529600861336</v>
      </c>
      <c r="I17" s="68">
        <f>DEGREES(ATAN((((SIN(RADIANS(90-I16-I10))-SIN(RADIANS(90-I16)))*SIN(RADIANS(I7)))-((SIN(RADIANS(90-I16+I9))-SIN(RADIANS(90-I16)))*SIN(RADIANS(-I8))))/((SIN(RADIANS(90-I16+I9))-SIN(RADIANS(90-I16)))*(COS(RADIANS(-I8))-1)-(SIN(RADIANS(90-I16-I10))-SIN(RADIANS(90-I16)))*(COS(RADIANS(I7))-1))))+90</f>
        <v>90.017231079275504</v>
      </c>
      <c r="J17" s="68">
        <f>DEGREES(ATAN((((SIN(RADIANS(90-J16-J10))-SIN(RADIANS(90-J16)))*SIN(RADIANS(J7)))-((SIN(RADIANS(90-J16+J9))-SIN(RADIANS(90-J16)))*SIN(RADIANS(-J8))))/((SIN(RADIANS(90-J16+J9))-SIN(RADIANS(90-J16)))*(COS(RADIANS(-J8))-1)-(SIN(RADIANS(90-J16-J10))-SIN(RADIANS(90-J16)))*(COS(RADIANS(J7))-1))))+90</f>
        <v>103.06431342950829</v>
      </c>
      <c r="O17" s="2"/>
      <c r="P17" s="11"/>
      <c r="Q17" s="12">
        <f t="shared" si="32"/>
        <v>15.25</v>
      </c>
      <c r="R17" s="12">
        <f t="shared" si="24"/>
        <v>28.474688654582813</v>
      </c>
      <c r="S17" s="12"/>
      <c r="T17" s="12">
        <f t="shared" si="25"/>
        <v>5.8344982465265049</v>
      </c>
      <c r="U17" s="12">
        <f t="shared" si="25"/>
        <v>9.1164035101976655</v>
      </c>
      <c r="V17" s="12">
        <f t="shared" si="25"/>
        <v>13.127621054684639</v>
      </c>
      <c r="W17" s="12">
        <f t="shared" si="25"/>
        <v>17.868150879987422</v>
      </c>
      <c r="X17" s="12">
        <f t="shared" si="25"/>
        <v>23.33799298610602</v>
      </c>
      <c r="Y17" s="12">
        <f t="shared" si="25"/>
        <v>29.537147373040433</v>
      </c>
      <c r="Z17" s="32">
        <f t="shared" si="25"/>
        <v>36.465614040790662</v>
      </c>
      <c r="AB17" s="11"/>
      <c r="AC17" s="12">
        <f t="shared" si="33"/>
        <v>15.25</v>
      </c>
      <c r="AD17" s="12">
        <f t="shared" si="26"/>
        <v>28.475209219960561</v>
      </c>
      <c r="AE17" s="12"/>
      <c r="AF17" s="12">
        <f t="shared" si="27"/>
        <v>5.8343605073956031</v>
      </c>
      <c r="AG17" s="12">
        <f t="shared" si="27"/>
        <v>9.1161882928056279</v>
      </c>
      <c r="AH17" s="12">
        <f t="shared" si="27"/>
        <v>13.127311141640106</v>
      </c>
      <c r="AI17" s="12">
        <f t="shared" si="27"/>
        <v>17.86772905389903</v>
      </c>
      <c r="AJ17" s="12">
        <f t="shared" si="27"/>
        <v>23.337442029582412</v>
      </c>
      <c r="AK17" s="12">
        <f t="shared" si="27"/>
        <v>29.53645006869024</v>
      </c>
      <c r="AL17" s="32">
        <f t="shared" si="27"/>
        <v>36.464753171222512</v>
      </c>
      <c r="AN17" s="52" t="s">
        <v>80</v>
      </c>
      <c r="AO17" s="55">
        <f>AO16-AO$7*SIN(RADIANS(180-H$17-H$13-H$7))</f>
        <v>5.0565456543517486</v>
      </c>
      <c r="AP17" s="55">
        <f>AP16-AP$7*SIN(RADIANS(180-I$17-I$13-I$7))</f>
        <v>5.8091337670393184</v>
      </c>
      <c r="AQ17" s="55">
        <f>AQ16-AQ$7*SIN(RADIANS(180-J$17-J$13-J$7))</f>
        <v>6.086279825301748</v>
      </c>
      <c r="AR17" s="55">
        <f>AR16-AR$7*COS(RADIANS(180-H$17-H$13-H$7))</f>
        <v>4.8482642232534969</v>
      </c>
      <c r="AS17" s="55">
        <f>AS16-AS$7*COS(RADIANS(180-I$17-I$13-I$7))</f>
        <v>2.8893394026718289</v>
      </c>
      <c r="AT17" s="59">
        <f>AT16-AT$7*COS(RADIANS(180-J$17-J$13-J$7))</f>
        <v>5.6688699368469795</v>
      </c>
      <c r="AV17" s="52"/>
      <c r="AW17" s="55">
        <f t="shared" si="28"/>
        <v>3.4194057879536723</v>
      </c>
      <c r="AX17" s="12">
        <f t="shared" si="29"/>
        <v>56.949377309165605</v>
      </c>
      <c r="AY17" s="55">
        <f t="shared" si="30"/>
        <v>3.4194057879536723</v>
      </c>
      <c r="AZ17" s="32">
        <f t="shared" si="31"/>
        <v>56.950418439921123</v>
      </c>
    </row>
    <row r="18">
      <c r="C18" s="1"/>
      <c r="D18" s="1"/>
      <c r="E18" s="1"/>
      <c r="G18" s="3" t="s">
        <v>92</v>
      </c>
      <c r="H18" s="69" t="str">
        <f>IF(H12=0,"?",((SIN(RADIANS(90-H16+H9))-SIN(RADIANS(90-H16)))/(SIN(RADIANS(H17+H7-90))-SIN(RADIANS(H17-90))))*SQRT(H11^2+H12^2))</f>
        <v>?</v>
      </c>
      <c r="I18" s="69">
        <f>IF(I12=0,"?",((SIN(RADIANS(90-I16+I9))-SIN(RADIANS(90-I16)))/(SIN(RADIANS(I17+I7-90))-SIN(RADIANS(I17-90))))*SQRT(I11^2+I12^2))</f>
        <v>2.2746715001975062</v>
      </c>
      <c r="J18" s="69">
        <f>IF(J12=0,"?",((SIN(RADIANS(90-J16+J9))-SIN(RADIANS(90-J16)))/(SIN(RADIANS(J17+J7-90))-SIN(RADIANS(J17-90))))*SQRT(J11^2+J12^2))</f>
        <v>2.3707636770102782</v>
      </c>
      <c r="O18" s="2"/>
      <c r="P18" s="11"/>
      <c r="Q18" s="12">
        <f t="shared" si="32"/>
        <v>12</v>
      </c>
      <c r="R18" s="12">
        <f t="shared" si="24"/>
        <v>22.139386131113383</v>
      </c>
      <c r="S18" s="12"/>
      <c r="T18" s="12">
        <f t="shared" si="25"/>
        <v>4.7933418719736691</v>
      </c>
      <c r="U18" s="12">
        <f t="shared" si="25"/>
        <v>7.4895966749588583</v>
      </c>
      <c r="V18" s="12">
        <f t="shared" si="25"/>
        <v>10.785019211940757</v>
      </c>
      <c r="W18" s="12">
        <f t="shared" si="25"/>
        <v>14.679609482919366</v>
      </c>
      <c r="X18" s="12">
        <f t="shared" si="25"/>
        <v>19.173367487894676</v>
      </c>
      <c r="Y18" s="12">
        <f t="shared" si="25"/>
        <v>24.266293226866704</v>
      </c>
      <c r="Z18" s="32">
        <f t="shared" si="25"/>
        <v>29.958386699835433</v>
      </c>
      <c r="AB18" s="11"/>
      <c r="AC18" s="12">
        <f t="shared" si="33"/>
        <v>12</v>
      </c>
      <c r="AD18" s="12">
        <f t="shared" si="26"/>
        <v>22.139742685502014</v>
      </c>
      <c r="AE18" s="12"/>
      <c r="AF18" s="12">
        <f t="shared" si="27"/>
        <v>4.7932137670807</v>
      </c>
      <c r="AG18" s="12">
        <f t="shared" si="27"/>
        <v>7.4893965110635925</v>
      </c>
      <c r="AH18" s="12">
        <f t="shared" si="27"/>
        <v>10.784730975931575</v>
      </c>
      <c r="AI18" s="12">
        <f t="shared" si="27"/>
        <v>14.679217161684644</v>
      </c>
      <c r="AJ18" s="12">
        <f t="shared" si="27"/>
        <v>19.1728550683228</v>
      </c>
      <c r="AK18" s="12">
        <f t="shared" si="27"/>
        <v>24.265644695846042</v>
      </c>
      <c r="AL18" s="32">
        <f t="shared" si="27"/>
        <v>29.95758604425437</v>
      </c>
      <c r="AN18" s="52" t="s">
        <v>82</v>
      </c>
      <c r="AO18" s="55">
        <f>$AO$4+$AR$4*SIN(RADIANS(H$13-H$16+H$9))</f>
        <v>15.056545654351748</v>
      </c>
      <c r="AP18" s="55">
        <f>$AO$4+$AR$4*SIN(RADIANS(I$13-I$16+I$9))</f>
        <v>15.574529656641065</v>
      </c>
      <c r="AQ18" s="55">
        <f>$AO$4+$AR$4*SIN(RADIANS(J$13-J$16+J$9))</f>
        <v>16.086279825301748</v>
      </c>
      <c r="AR18" s="55">
        <f>$AP$4-$AR$4*COS(RADIANS(H$13-H$16+H$9))</f>
        <v>4.7342305324083753</v>
      </c>
      <c r="AS18" s="55">
        <f>$AP$4-$AR$4*COS(RADIANS(I$13-I$16+I$9))</f>
        <v>5.0581307046153263</v>
      </c>
      <c r="AT18" s="59">
        <f>$AP$4-$AR$4*COS(RADIANS(J$13-J$16+J$9))</f>
        <v>5.6225253212712385</v>
      </c>
      <c r="AV18" s="52"/>
      <c r="AW18" s="55">
        <f t="shared" si="28"/>
        <v>2.7028519806308715</v>
      </c>
      <c r="AX18" s="12">
        <f t="shared" si="29"/>
        <v>44.278772262226745</v>
      </c>
      <c r="AY18" s="55">
        <f t="shared" si="30"/>
        <v>2.7028519806308715</v>
      </c>
      <c r="AZ18" s="32">
        <f t="shared" si="31"/>
        <v>44.279485371004029</v>
      </c>
    </row>
    <row r="19" ht="12.75" customHeight="1">
      <c r="D19" s="1"/>
      <c r="G19" s="2"/>
      <c r="H19" s="2"/>
      <c r="I19" s="2"/>
      <c r="J19" s="2"/>
      <c r="K19" s="2"/>
      <c r="L19" s="2"/>
      <c r="M19" s="2"/>
      <c r="N19" s="2"/>
      <c r="O19" s="2"/>
      <c r="P19" s="11"/>
      <c r="Q19" s="12">
        <f t="shared" si="32"/>
        <v>8.75</v>
      </c>
      <c r="R19" s="12">
        <f t="shared" si="24"/>
        <v>16.006090352091903</v>
      </c>
      <c r="S19" s="12"/>
      <c r="T19" s="12">
        <f t="shared" si="25"/>
        <v>3.6019236972134028</v>
      </c>
      <c r="U19" s="12">
        <f t="shared" si="25"/>
        <v>5.6280057768959413</v>
      </c>
      <c r="V19" s="12">
        <f t="shared" si="25"/>
        <v>8.1043283187301558</v>
      </c>
      <c r="W19" s="12">
        <f t="shared" si="25"/>
        <v>11.030891322716046</v>
      </c>
      <c r="X19" s="12">
        <f t="shared" si="25"/>
        <v>14.407694788853611</v>
      </c>
      <c r="Y19" s="12">
        <f t="shared" si="25"/>
        <v>18.23473871714285</v>
      </c>
      <c r="Z19" s="32">
        <f t="shared" si="25"/>
        <v>22.512023107583765</v>
      </c>
      <c r="AB19" s="11"/>
      <c r="AC19" s="12">
        <f t="shared" si="33"/>
        <v>8.75</v>
      </c>
      <c r="AD19" s="12">
        <f t="shared" si="26"/>
        <v>16.006291302766357</v>
      </c>
      <c r="AE19" s="12"/>
      <c r="AF19" s="12">
        <f t="shared" si="27"/>
        <v>3.6018401778140867</v>
      </c>
      <c r="AG19" s="12">
        <f t="shared" si="27"/>
        <v>5.6278752778345105</v>
      </c>
      <c r="AH19" s="12">
        <f t="shared" si="27"/>
        <v>8.1041404000816932</v>
      </c>
      <c r="AI19" s="12">
        <f t="shared" si="27"/>
        <v>11.03063554455564</v>
      </c>
      <c r="AJ19" s="12">
        <f t="shared" si="27"/>
        <v>14.407360711256347</v>
      </c>
      <c r="AK19" s="12">
        <f t="shared" si="27"/>
        <v>18.234315900183812</v>
      </c>
      <c r="AL19" s="32">
        <f t="shared" si="27"/>
        <v>22.511501111338042</v>
      </c>
      <c r="AN19" s="52" t="s">
        <v>84</v>
      </c>
      <c r="AO19" s="55">
        <f>AO$12+$AR$4*SIN(RADIANS(H$13-H$16))*(COS(RADIANS(H$9))-1)</f>
        <v>14</v>
      </c>
      <c r="AP19" s="55">
        <f>AP$12+$AR$4*SIN(RADIANS(I$13-I$16))*(COS(RADIANS(I$9))-1)</f>
        <v>14.549529814010574</v>
      </c>
      <c r="AQ19" s="55">
        <f>AQ$12+$AR$4*SIN(RADIANS(J$13-J$16))*(COS(RADIANS(J$9))-1)</f>
        <v>14.968245836551855</v>
      </c>
      <c r="AR19" s="55">
        <f>AR$12+$AR$4*SIN(RADIANS(H$13-H$16))*SIN(RADIANS(H$9))</f>
        <v>7</v>
      </c>
      <c r="AS19" s="55">
        <f>AS$12+$AR$4*SIN(RADIANS(I$13-I$16))*SIN(RADIANS(I$9))</f>
        <v>7.2562499606576232</v>
      </c>
      <c r="AT19" s="59">
        <f>AT$12+$AR$4*SIN(RADIANS(J$13-J$16))*SIN(RADIANS(J$9))</f>
        <v>7.5590169943749475</v>
      </c>
      <c r="AV19" s="52"/>
      <c r="AW19" s="55">
        <f t="shared" si="28"/>
        <v>1.9776040204689169</v>
      </c>
      <c r="AX19" s="12">
        <f t="shared" si="29"/>
        <v>32.012180704183791</v>
      </c>
      <c r="AY19" s="55">
        <f t="shared" si="30"/>
        <v>1.9776040204689169</v>
      </c>
      <c r="AZ19" s="32">
        <f t="shared" si="31"/>
        <v>32.012582605532714</v>
      </c>
    </row>
    <row r="20">
      <c r="O20" s="2"/>
      <c r="P20" s="11"/>
      <c r="Q20" s="12">
        <f t="shared" si="32"/>
        <v>5.5</v>
      </c>
      <c r="R20" s="12">
        <f t="shared" si="24"/>
        <v>10.004806874745157</v>
      </c>
      <c r="S20" s="12"/>
      <c r="T20" s="12">
        <f t="shared" si="25"/>
        <v>2.3085882064715371</v>
      </c>
      <c r="U20" s="12">
        <f t="shared" si="25"/>
        <v>3.6071690726117764</v>
      </c>
      <c r="V20" s="12">
        <f t="shared" si="25"/>
        <v>5.1943234645609593</v>
      </c>
      <c r="W20" s="12">
        <f t="shared" si="25"/>
        <v>7.0700513823190807</v>
      </c>
      <c r="X20" s="12">
        <f t="shared" si="25"/>
        <v>9.2343528258861483</v>
      </c>
      <c r="Y20" s="12">
        <f t="shared" si="25"/>
        <v>11.687227795262157</v>
      </c>
      <c r="Z20" s="32">
        <f t="shared" si="25"/>
        <v>14.428676290447106</v>
      </c>
      <c r="AB20" s="11"/>
      <c r="AC20" s="12">
        <f t="shared" si="33"/>
        <v>5.5</v>
      </c>
      <c r="AD20" s="12">
        <f t="shared" si="26"/>
        <v>10.004888956802745</v>
      </c>
      <c r="AE20" s="12"/>
      <c r="AF20" s="12">
        <f t="shared" si="27"/>
        <v>2.3085513567165852</v>
      </c>
      <c r="AG20" s="12">
        <f t="shared" si="27"/>
        <v>3.6071114948696645</v>
      </c>
      <c r="AH20" s="12">
        <f t="shared" si="27"/>
        <v>5.1942405526123183</v>
      </c>
      <c r="AI20" s="12">
        <f t="shared" si="27"/>
        <v>7.069938529944543</v>
      </c>
      <c r="AJ20" s="12">
        <f t="shared" si="27"/>
        <v>9.2342054268663407</v>
      </c>
      <c r="AK20" s="12">
        <f t="shared" si="27"/>
        <v>11.687041243377713</v>
      </c>
      <c r="AL20" s="32">
        <f t="shared" si="27"/>
        <v>14.428445979478658</v>
      </c>
      <c r="AN20" s="52" t="s">
        <v>86</v>
      </c>
      <c r="AO20" s="55">
        <f>$AO$4</f>
        <v>14</v>
      </c>
      <c r="AP20" s="55">
        <f>$AO$4</f>
        <v>14</v>
      </c>
      <c r="AQ20" s="55">
        <f>$AO$4</f>
        <v>14</v>
      </c>
      <c r="AR20" s="55">
        <f>$AP$4</f>
        <v>7</v>
      </c>
      <c r="AS20" s="55">
        <f>$AP$4</f>
        <v>7</v>
      </c>
      <c r="AT20" s="59">
        <f>$AP$4</f>
        <v>7</v>
      </c>
      <c r="AV20" s="52"/>
      <c r="AW20" s="55">
        <f t="shared" si="28"/>
        <v>1.2459947827629119</v>
      </c>
      <c r="AX20" s="12">
        <f t="shared" si="29"/>
        <v>20.009613749490306</v>
      </c>
      <c r="AY20" s="55">
        <f t="shared" si="30"/>
        <v>1.2459947827629119</v>
      </c>
      <c r="AZ20" s="32">
        <f t="shared" si="31"/>
        <v>20.00977791360549</v>
      </c>
    </row>
    <row r="21" ht="12.75" customHeight="1">
      <c r="O21" s="2"/>
      <c r="P21" s="11"/>
      <c r="Q21" s="12">
        <f t="shared" si="32"/>
        <v>2.25</v>
      </c>
      <c r="R21" s="12">
        <f t="shared" si="24"/>
        <v>4.0807791626306908</v>
      </c>
      <c r="S21" s="12"/>
      <c r="T21" s="12">
        <f t="shared" si="25"/>
        <v>0.95412079653967208</v>
      </c>
      <c r="U21" s="12">
        <f t="shared" si="25"/>
        <v>1.4908137445932375</v>
      </c>
      <c r="V21" s="12">
        <f t="shared" si="25"/>
        <v>2.146771792214262</v>
      </c>
      <c r="W21" s="12">
        <f t="shared" si="25"/>
        <v>2.9219949394027456</v>
      </c>
      <c r="X21" s="12">
        <f t="shared" si="25"/>
        <v>3.8164831861586883</v>
      </c>
      <c r="Y21" s="12">
        <f t="shared" si="25"/>
        <v>4.8302365324820897</v>
      </c>
      <c r="Z21" s="32">
        <f t="shared" si="25"/>
        <v>5.9632549783729498</v>
      </c>
      <c r="AB21" s="11"/>
      <c r="AC21" s="12">
        <f t="shared" si="33"/>
        <v>2.25</v>
      </c>
      <c r="AD21" s="12">
        <f t="shared" si="26"/>
        <v>4.0807931238957451</v>
      </c>
      <c r="AE21" s="12"/>
      <c r="AF21" s="12">
        <f t="shared" si="27"/>
        <v>0.95411429618259025</v>
      </c>
      <c r="AG21" s="12">
        <f t="shared" si="27"/>
        <v>1.490803587785297</v>
      </c>
      <c r="AH21" s="12">
        <f t="shared" si="27"/>
        <v>2.1467571664108278</v>
      </c>
      <c r="AI21" s="12">
        <f t="shared" si="27"/>
        <v>2.9219750320591826</v>
      </c>
      <c r="AJ21" s="12">
        <f t="shared" si="27"/>
        <v>3.816457184730361</v>
      </c>
      <c r="AK21" s="12">
        <f t="shared" si="27"/>
        <v>4.8302036244243629</v>
      </c>
      <c r="AL21" s="32">
        <f t="shared" si="27"/>
        <v>5.9632143511411879</v>
      </c>
      <c r="AN21" s="62" t="s">
        <v>87</v>
      </c>
      <c r="AO21" s="63">
        <f>AO$14+$AS$4*(COS(RADIANS(H$9))-1)</f>
        <v>18.531538935183249</v>
      </c>
      <c r="AP21" s="63">
        <f>AP$14+$AS$4*(COS(RADIANS(I$9))-1)</f>
        <v>18.531538935183249</v>
      </c>
      <c r="AQ21" s="63">
        <f>AQ$14+$AS$4*(COS(RADIANS(J$9))-1)</f>
        <v>18.330127018922195</v>
      </c>
      <c r="AR21" s="63">
        <f>AR$14+$AS$4*SIN(RADIANS(H$9))</f>
        <v>9.1130913087034973</v>
      </c>
      <c r="AS21" s="63">
        <f>AS$14+$AS$4*SIN(RADIANS(I$9))</f>
        <v>9.1130913087034973</v>
      </c>
      <c r="AT21" s="64">
        <f>AT$14+$AS$4*SIN(RADIANS(J$9))</f>
        <v>9.5</v>
      </c>
      <c r="AV21" s="52"/>
      <c r="AW21" s="55">
        <f t="shared" si="28"/>
        <v>0.51037760486789197</v>
      </c>
      <c r="AX21" s="12">
        <f t="shared" si="29"/>
        <v>8.1615583252613781</v>
      </c>
      <c r="AY21" s="55">
        <f t="shared" si="30"/>
        <v>0.51037760486789197</v>
      </c>
      <c r="AZ21" s="32">
        <f t="shared" si="31"/>
        <v>8.1615862477914902</v>
      </c>
    </row>
    <row r="22">
      <c r="O22" s="2"/>
      <c r="P22" s="56" t="s">
        <v>7</v>
      </c>
      <c r="Q22" s="24">
        <f>$J$9</f>
        <v>30</v>
      </c>
      <c r="R22" s="25">
        <f t="shared" ref="R22:R29" si="34">-$J$17+DEGREES(ASIN((SIN(RADIANS(90-$J$16+Q22))-SIN(RADIANS(90-$J$16)))/((SIN(RADIANS(90-$J$16+$J$9))-SIN(RADIANS(90-$J$16)))/(SIN(RADIANS($J$17+$J$7-90))-SIN(RADIANS($J$17-90))))+SIN(RADIANS($J$17-90))))+90</f>
        <v>60</v>
      </c>
      <c r="S22" s="25"/>
      <c r="T22" s="27">
        <f t="shared" ref="T22:Z29" si="35">0.0000085*($J$4^2*$J$5*T$3^2*SIN(RADIANS($Q22))*(COS(RADIANS($J$17+$R22-90))/COS(RADIANS(90-$J$16+$Q22)))*(SIN(RADIANS(90-$J$16+$Q22))-SIN(RADIANS(90-$J$16)))/(SIN(RADIANS($J$17+$R22-90))-SIN(RADIANS($J$17-90))))</f>
        <v>13.831498205585801</v>
      </c>
      <c r="U22" s="27">
        <f t="shared" si="35"/>
        <v>21.611715946227818</v>
      </c>
      <c r="V22" s="27">
        <f t="shared" si="35"/>
        <v>31.120870962568052</v>
      </c>
      <c r="W22" s="27">
        <f t="shared" si="35"/>
        <v>42.358963254606515</v>
      </c>
      <c r="X22" s="27">
        <f t="shared" si="35"/>
        <v>55.325992822343203</v>
      </c>
      <c r="Y22" s="27">
        <f t="shared" si="35"/>
        <v>70.021959665778127</v>
      </c>
      <c r="Z22" s="28">
        <f t="shared" si="35"/>
        <v>86.446863784911272</v>
      </c>
      <c r="AB22" s="56" t="s">
        <v>7</v>
      </c>
      <c r="AC22" s="24">
        <f>$J$10</f>
        <v>30</v>
      </c>
      <c r="AD22" s="25">
        <f t="shared" ref="AD22:AD29" si="36">$J$17-DEGREES(ASIN((SIN(RADIANS(90-$J$16+-AC22))-SIN(RADIANS(90-$J$16)))/((SIN(RADIANS(90-$J$16+$J$9))-SIN(RADIANS(90-$J$16)))/(SIN(RADIANS($J$17+$J$7-90))-SIN(RADIANS($J$17-90))))+SIN(RADIANS($J$17-90))))-90</f>
        <v>60</v>
      </c>
      <c r="AE22" s="25"/>
      <c r="AF22" s="27">
        <f t="shared" ref="AF22:AL29" si="37">0.0000085*($J$4^2*$J$5*AF$3^2*SIN(RADIANS($AC22))*(COS(RADIANS($J$17+-$AD22-90))/COS(RADIANS(90-$J$16+-$AC22)))*(SIN(RADIANS(90-$J$16+-$AC22))-SIN(RADIANS(90-$J$16)))/(SIN(RADIANS($J$17+-$AD22-90))-SIN(RADIANS($J$17-90))))</f>
        <v>17.896233722093907</v>
      </c>
      <c r="AG22" s="27">
        <f t="shared" si="37"/>
        <v>27.962865190771726</v>
      </c>
      <c r="AH22" s="27">
        <f t="shared" si="37"/>
        <v>40.266525874711284</v>
      </c>
      <c r="AI22" s="27">
        <f t="shared" si="37"/>
        <v>54.807215773912574</v>
      </c>
      <c r="AJ22" s="27">
        <f t="shared" si="37"/>
        <v>71.584934888375628</v>
      </c>
      <c r="AK22" s="27">
        <f t="shared" si="37"/>
        <v>90.599683218100409</v>
      </c>
      <c r="AL22" s="28">
        <f t="shared" si="37"/>
        <v>111.85146076308691</v>
      </c>
      <c r="AN22" s="57" t="s">
        <v>62</v>
      </c>
      <c r="AO22" s="27"/>
      <c r="AP22" s="27"/>
      <c r="AQ22" s="27"/>
      <c r="AR22" s="27"/>
      <c r="AS22" s="27"/>
      <c r="AT22" s="28"/>
      <c r="AV22" s="57" t="s">
        <v>93</v>
      </c>
      <c r="AW22" s="58">
        <f t="shared" ref="AW22:AW29" si="38">$J$4*SIN(RADIANS($Q22))</f>
        <v>8.9999999999999982</v>
      </c>
      <c r="AX22" s="27">
        <f t="shared" ref="AX22:AX29" si="39">100*$R22/$R$22</f>
        <v>100</v>
      </c>
      <c r="AY22" s="58">
        <f t="shared" ref="AY22:AY29" si="40">$J$4*SIN(RADIANS($AC22))</f>
        <v>8.9999999999999982</v>
      </c>
      <c r="AZ22" s="28">
        <f t="shared" ref="AZ22:AZ29" si="41">100*$AD22/$AD$22</f>
        <v>100</v>
      </c>
    </row>
    <row r="23">
      <c r="O23" s="2"/>
      <c r="P23" s="11"/>
      <c r="Q23" s="12">
        <f t="shared" ref="Q23:Q29" si="42">Q22-0.13*$Q$22</f>
        <v>26.100000000000001</v>
      </c>
      <c r="R23" s="12">
        <f t="shared" si="34"/>
        <v>48.856006115912152</v>
      </c>
      <c r="S23" s="12"/>
      <c r="T23" s="12">
        <f t="shared" si="35"/>
        <v>17.866080607568868</v>
      </c>
      <c r="U23" s="12">
        <f t="shared" si="35"/>
        <v>27.915750949326362</v>
      </c>
      <c r="V23" s="12">
        <f t="shared" si="35"/>
        <v>40.198681367029963</v>
      </c>
      <c r="W23" s="12">
        <f t="shared" si="35"/>
        <v>54.714871860679651</v>
      </c>
      <c r="X23" s="12">
        <f t="shared" si="35"/>
        <v>71.464322430275473</v>
      </c>
      <c r="Y23" s="12">
        <f t="shared" si="35"/>
        <v>90.447033075817387</v>
      </c>
      <c r="Z23" s="32">
        <f t="shared" si="35"/>
        <v>111.66300379730545</v>
      </c>
      <c r="AB23" s="11"/>
      <c r="AC23" s="12">
        <f t="shared" ref="AC23:AC29" si="43">AC22-0.13*$AC$22</f>
        <v>26.100000000000001</v>
      </c>
      <c r="AD23" s="12">
        <f t="shared" si="36"/>
        <v>50.095850475268918</v>
      </c>
      <c r="AE23" s="12"/>
      <c r="AF23" s="12">
        <f t="shared" si="37"/>
        <v>18.37724983003471</v>
      </c>
      <c r="AG23" s="12">
        <f t="shared" si="37"/>
        <v>28.714452859429237</v>
      </c>
      <c r="AH23" s="12">
        <f t="shared" si="37"/>
        <v>41.348812117578106</v>
      </c>
      <c r="AI23" s="12">
        <f t="shared" si="37"/>
        <v>56.280327604481293</v>
      </c>
      <c r="AJ23" s="12">
        <f t="shared" si="37"/>
        <v>73.508999320138841</v>
      </c>
      <c r="AK23" s="12">
        <f t="shared" si="37"/>
        <v>93.034827264550714</v>
      </c>
      <c r="AL23" s="32">
        <f t="shared" si="37"/>
        <v>114.85781143771695</v>
      </c>
      <c r="AN23" s="52" t="s">
        <v>78</v>
      </c>
      <c r="AO23" s="55">
        <f>$AO$4+$AR$4*SIN(RADIANS(H$13-H$16))-$AQ$4*SIN(RADIANS(H$13))+AO$7*COS(RADIANS(-90+H$17+H$13))</f>
        <v>4.2266671626090924</v>
      </c>
      <c r="AP23" s="55">
        <f>$AO$4+$AR$4*SIN(RADIANS(I$13-I$16))-$AQ$4*SIN(RADIANS(I$13))+AP$7*COS(RADIANS(-90+I$17+I$13))</f>
        <v>4.569315304369173</v>
      </c>
      <c r="AQ23" s="55">
        <f>$AO$4+$AR$4*SIN(RADIANS(J$13-J$16))-$AQ$4*SIN(RADIANS(J$13))+AQ$7*COS(RADIANS(-90+J$17+J$13))</f>
        <v>4.8184576843538132</v>
      </c>
      <c r="AR23" s="55">
        <f>$AP$4-$AR$4*COS(RADIANS(H$13-H$16))+$AQ$4*COS(RADIANS(H$13))+AR$7*SIN(RADIANS(-90+H$17+H$13))</f>
        <v>5.5891274885534159</v>
      </c>
      <c r="AS23" s="55">
        <f>$AP$4-$AR$4*COS(RADIANS(I$13-I$16))+$AQ$4*COS(RADIANS(I$13))+AS$7*SIN(RADIANS(-90+I$17+I$13))</f>
        <v>3.4935777791277447</v>
      </c>
      <c r="AT23" s="59">
        <f>$AP$4-$AR$4*COS(RADIANS(J$13-J$16))+$AQ$4*COS(RADIANS(J$13))+AT$7*SIN(RADIANS(-90+J$17+J$13))</f>
        <v>6.0549264712360165</v>
      </c>
      <c r="AV23" s="52"/>
      <c r="AW23" s="55">
        <f t="shared" si="38"/>
        <v>7.9189050574064721</v>
      </c>
      <c r="AX23" s="12">
        <f t="shared" si="39"/>
        <v>81.426676859853586</v>
      </c>
      <c r="AY23" s="55">
        <f t="shared" si="40"/>
        <v>7.9189050574064721</v>
      </c>
      <c r="AZ23" s="32">
        <f t="shared" si="41"/>
        <v>83.493084125448192</v>
      </c>
    </row>
    <row r="24">
      <c r="O24" s="2"/>
      <c r="P24" s="11"/>
      <c r="Q24" s="12">
        <f t="shared" si="42"/>
        <v>22.200000000000003</v>
      </c>
      <c r="R24" s="12">
        <f t="shared" si="34"/>
        <v>40.162235895412842</v>
      </c>
      <c r="S24" s="12"/>
      <c r="T24" s="12">
        <f t="shared" si="35"/>
        <v>17.955839278566199</v>
      </c>
      <c r="U24" s="12">
        <f t="shared" si="35"/>
        <v>28.055998872759687</v>
      </c>
      <c r="V24" s="12">
        <f t="shared" si="35"/>
        <v>40.400638376773948</v>
      </c>
      <c r="W24" s="12">
        <f t="shared" si="35"/>
        <v>54.989757790608984</v>
      </c>
      <c r="X24" s="12">
        <f t="shared" si="35"/>
        <v>71.823357114264795</v>
      </c>
      <c r="Y24" s="12">
        <f t="shared" si="35"/>
        <v>90.901436347741367</v>
      </c>
      <c r="Z24" s="32">
        <f t="shared" si="35"/>
        <v>112.22399549103875</v>
      </c>
      <c r="AB24" s="11"/>
      <c r="AC24" s="12">
        <f t="shared" si="43"/>
        <v>22.200000000000003</v>
      </c>
      <c r="AD24" s="12">
        <f t="shared" si="36"/>
        <v>41.358068759517323</v>
      </c>
      <c r="AE24" s="12"/>
      <c r="AF24" s="12">
        <f t="shared" si="37"/>
        <v>17.458996391253187</v>
      </c>
      <c r="AG24" s="12">
        <f t="shared" si="37"/>
        <v>27.279681861333103</v>
      </c>
      <c r="AH24" s="12">
        <f t="shared" si="37"/>
        <v>39.282741880319662</v>
      </c>
      <c r="AI24" s="12">
        <f t="shared" si="37"/>
        <v>53.46817644821288</v>
      </c>
      <c r="AJ24" s="12">
        <f t="shared" si="37"/>
        <v>69.835985565012749</v>
      </c>
      <c r="AK24" s="12">
        <f t="shared" si="37"/>
        <v>88.386169230719247</v>
      </c>
      <c r="AL24" s="32">
        <f t="shared" si="37"/>
        <v>109.11872744533241</v>
      </c>
      <c r="AN24" s="52" t="s">
        <v>80</v>
      </c>
      <c r="AO24" s="55">
        <f>AO23-AO$7*SIN(RADIANS(180-H$17-H$13+H$8))</f>
        <v>3.3529523872436986</v>
      </c>
      <c r="AP24" s="55">
        <f>AP23-AP$7*SIN(RADIANS(180-I$17-I$13+I$8))</f>
        <v>3.758964449887392</v>
      </c>
      <c r="AQ24" s="55">
        <f>AQ23-AQ$7*SIN(RADIANS(180-J$17-J$13+J$8))</f>
        <v>3.8502118478019591</v>
      </c>
      <c r="AR24" s="55">
        <f>AR23-AR$7*COS(RADIANS(180-H$17-H$13+H$8))</f>
        <v>4.9005062717468721</v>
      </c>
      <c r="AS24" s="55">
        <f>AS23-AS$7*COS(RADIANS(180-I$17-I$13+I$8))</f>
        <v>2.3775198377105031</v>
      </c>
      <c r="AT24" s="59">
        <f>AT23-AT$7*COS(RADIANS(180-J$17-J$13+J$8))</f>
        <v>5.1499885568892481</v>
      </c>
      <c r="AV24" s="52"/>
      <c r="AW24" s="55">
        <f t="shared" si="38"/>
        <v>6.8011341627324091</v>
      </c>
      <c r="AX24" s="12">
        <f t="shared" si="39"/>
        <v>66.937059825688067</v>
      </c>
      <c r="AY24" s="55">
        <f t="shared" si="40"/>
        <v>6.8011341627324091</v>
      </c>
      <c r="AZ24" s="32">
        <f t="shared" si="41"/>
        <v>68.930114599195534</v>
      </c>
    </row>
    <row r="25">
      <c r="O25" s="2"/>
      <c r="P25" s="11"/>
      <c r="Q25" s="12">
        <f t="shared" si="42"/>
        <v>18.300000000000004</v>
      </c>
      <c r="R25" s="12">
        <f t="shared" si="34"/>
        <v>32.427787885748948</v>
      </c>
      <c r="S25" s="12"/>
      <c r="T25" s="12">
        <f t="shared" si="35"/>
        <v>16.249561413395579</v>
      </c>
      <c r="U25" s="12">
        <f t="shared" si="35"/>
        <v>25.389939708430589</v>
      </c>
      <c r="V25" s="12">
        <f t="shared" si="35"/>
        <v>36.561513180140054</v>
      </c>
      <c r="W25" s="12">
        <f t="shared" si="35"/>
        <v>49.764281828523956</v>
      </c>
      <c r="X25" s="12">
        <f t="shared" si="35"/>
        <v>64.998245653582316</v>
      </c>
      <c r="Y25" s="12">
        <f t="shared" si="35"/>
        <v>82.263404655315114</v>
      </c>
      <c r="Z25" s="32">
        <f t="shared" si="35"/>
        <v>101.55975883372236</v>
      </c>
      <c r="AB25" s="11"/>
      <c r="AC25" s="12">
        <f t="shared" si="43"/>
        <v>18.300000000000004</v>
      </c>
      <c r="AD25" s="12">
        <f t="shared" si="36"/>
        <v>33.331283303456544</v>
      </c>
      <c r="AE25" s="12"/>
      <c r="AF25" s="12">
        <f t="shared" si="37"/>
        <v>15.574089974631539</v>
      </c>
      <c r="AG25" s="12">
        <f t="shared" si="37"/>
        <v>24.334515585361785</v>
      </c>
      <c r="AH25" s="12">
        <f t="shared" si="37"/>
        <v>35.041702442920965</v>
      </c>
      <c r="AI25" s="12">
        <f t="shared" si="37"/>
        <v>47.695650547309093</v>
      </c>
      <c r="AJ25" s="12">
        <f t="shared" si="37"/>
        <v>62.296359898526156</v>
      </c>
      <c r="AK25" s="12">
        <f t="shared" si="37"/>
        <v>78.843830496572167</v>
      </c>
      <c r="AL25" s="32">
        <f t="shared" si="37"/>
        <v>97.338062341447142</v>
      </c>
      <c r="AN25" s="52" t="s">
        <v>82</v>
      </c>
      <c r="AO25" s="55">
        <f>$AO$4+$AR$4*SIN(RADIANS(H$13-H$16-H$10))</f>
        <v>13.352952387243699</v>
      </c>
      <c r="AP25" s="55">
        <f>$AO$4+$AR$4*SIN(RADIANS(I$13-I$16-I$10))</f>
        <v>13.524529971380083</v>
      </c>
      <c r="AQ25" s="55">
        <f>$AO$4+$AR$4*SIN(RADIANS(J$13-J$16-J$10))</f>
        <v>13.85021184780196</v>
      </c>
      <c r="AR25" s="55">
        <f>$AP$4-$AR$4*COS(RADIANS(H$13-H$16-H$10))</f>
        <v>4.5851854342773297</v>
      </c>
      <c r="AS25" s="55">
        <f>$AP$4-$AR$4*COS(RADIANS(I$13-I$16-I$10))</f>
        <v>4.5456307833000809</v>
      </c>
      <c r="AT25" s="59">
        <f>$AP$4-$AR$4*COS(RADIANS(J$13-J$16-J$10))</f>
        <v>4.5044913325213436</v>
      </c>
      <c r="AV25" s="52"/>
      <c r="AW25" s="55">
        <f t="shared" si="38"/>
        <v>5.6518642074132899</v>
      </c>
      <c r="AX25" s="12">
        <f t="shared" si="39"/>
        <v>54.046313142914912</v>
      </c>
      <c r="AY25" s="55">
        <f t="shared" si="40"/>
        <v>5.6518642074132899</v>
      </c>
      <c r="AZ25" s="32">
        <f t="shared" si="41"/>
        <v>55.552138839094241</v>
      </c>
    </row>
    <row r="26">
      <c r="O26" s="2"/>
      <c r="P26" s="11"/>
      <c r="Q26" s="12">
        <f t="shared" si="42"/>
        <v>14.400000000000004</v>
      </c>
      <c r="R26" s="12">
        <f t="shared" si="34"/>
        <v>25.188727392735331</v>
      </c>
      <c r="S26" s="12"/>
      <c r="T26" s="12">
        <f t="shared" si="35"/>
        <v>13.532564839096404</v>
      </c>
      <c r="U26" s="12">
        <f t="shared" si="35"/>
        <v>21.14463256108813</v>
      </c>
      <c r="V26" s="12">
        <f t="shared" si="35"/>
        <v>30.44827088796691</v>
      </c>
      <c r="W26" s="12">
        <f t="shared" si="35"/>
        <v>41.443479819732723</v>
      </c>
      <c r="X26" s="12">
        <f t="shared" si="35"/>
        <v>54.130259356385615</v>
      </c>
      <c r="Y26" s="12">
        <f t="shared" si="35"/>
        <v>68.508609497925534</v>
      </c>
      <c r="Z26" s="32">
        <f t="shared" si="35"/>
        <v>84.578530244352521</v>
      </c>
      <c r="AB26" s="11"/>
      <c r="AC26" s="12">
        <f t="shared" si="43"/>
        <v>14.400000000000004</v>
      </c>
      <c r="AD26" s="12">
        <f t="shared" si="36"/>
        <v>25.776488673827146</v>
      </c>
      <c r="AE26" s="12"/>
      <c r="AF26" s="12">
        <f t="shared" si="37"/>
        <v>12.985198293804519</v>
      </c>
      <c r="AG26" s="12">
        <f t="shared" si="37"/>
        <v>20.289372334069562</v>
      </c>
      <c r="AH26" s="12">
        <f t="shared" si="37"/>
        <v>29.216696161060167</v>
      </c>
      <c r="AI26" s="12">
        <f t="shared" si="37"/>
        <v>39.767169774776335</v>
      </c>
      <c r="AJ26" s="12">
        <f t="shared" si="37"/>
        <v>51.940793175218076</v>
      </c>
      <c r="AK26" s="12">
        <f t="shared" si="37"/>
        <v>65.73756636238538</v>
      </c>
      <c r="AL26" s="32">
        <f t="shared" si="37"/>
        <v>81.157489336278246</v>
      </c>
      <c r="AN26" s="52" t="s">
        <v>84</v>
      </c>
      <c r="AO26" s="55">
        <f>AO$12+$AR$4*SIN(RADIANS(H$13-H$16))*(COS(RADIANS(H$10))-1)</f>
        <v>14</v>
      </c>
      <c r="AP26" s="55">
        <f>AP$12+$AR$4*SIN(RADIANS(I$13-I$16))*(COS(RADIANS(I$10))-1)</f>
        <v>14.549529814010574</v>
      </c>
      <c r="AQ26" s="55">
        <f>AQ$12+$AR$4*SIN(RADIANS(J$13-J$16))*(COS(RADIANS(J$10))-1)</f>
        <v>14.968245836551855</v>
      </c>
      <c r="AR26" s="55">
        <f>AR$12-$AR$4*SIN(RADIANS(H$13-H$16))*SIN(RADIANS(H$10))</f>
        <v>7</v>
      </c>
      <c r="AS26" s="55">
        <f>AS$12-$AR$4*SIN(RADIANS(I$13-I$16))*SIN(RADIANS(I$10))</f>
        <v>6.7437500393423768</v>
      </c>
      <c r="AT26" s="59">
        <f>AT$12-$AR$4*SIN(RADIANS(J$13-J$16))*SIN(RADIANS(J$10))</f>
        <v>6.4409830056250525</v>
      </c>
      <c r="AV26" s="52"/>
      <c r="AW26" s="55">
        <f t="shared" si="38"/>
        <v>4.4764179689673878</v>
      </c>
      <c r="AX26" s="12">
        <f t="shared" si="39"/>
        <v>41.981212321225556</v>
      </c>
      <c r="AY26" s="55">
        <f t="shared" si="40"/>
        <v>4.4764179689673878</v>
      </c>
      <c r="AZ26" s="32">
        <f t="shared" si="41"/>
        <v>42.960814456378571</v>
      </c>
    </row>
    <row r="27">
      <c r="P27" s="11"/>
      <c r="Q27" s="12">
        <f t="shared" si="42"/>
        <v>10.500000000000004</v>
      </c>
      <c r="R27" s="12">
        <f t="shared" si="34"/>
        <v>18.227011144381834</v>
      </c>
      <c r="S27" s="12"/>
      <c r="T27" s="12">
        <f t="shared" si="35"/>
        <v>10.211575414391914</v>
      </c>
      <c r="U27" s="12">
        <f t="shared" si="35"/>
        <v>15.955586584987362</v>
      </c>
      <c r="V27" s="12">
        <f t="shared" si="35"/>
        <v>22.976044682381808</v>
      </c>
      <c r="W27" s="12">
        <f t="shared" si="35"/>
        <v>31.272949706575236</v>
      </c>
      <c r="X27" s="12">
        <f t="shared" si="35"/>
        <v>40.846301657567658</v>
      </c>
      <c r="Y27" s="12">
        <f t="shared" si="35"/>
        <v>51.696100535359065</v>
      </c>
      <c r="Z27" s="32">
        <f t="shared" si="35"/>
        <v>63.822346339949448</v>
      </c>
      <c r="AB27" s="11"/>
      <c r="AC27" s="12">
        <f t="shared" si="43"/>
        <v>10.500000000000004</v>
      </c>
      <c r="AD27" s="12">
        <f t="shared" si="36"/>
        <v>18.547470382733422</v>
      </c>
      <c r="AE27" s="12"/>
      <c r="AF27" s="12">
        <f t="shared" si="37"/>
        <v>9.8774889674126207</v>
      </c>
      <c r="AG27" s="12">
        <f t="shared" si="37"/>
        <v>15.433576511582219</v>
      </c>
      <c r="AH27" s="12">
        <f t="shared" si="37"/>
        <v>22.224350176678396</v>
      </c>
      <c r="AI27" s="12">
        <f t="shared" si="37"/>
        <v>30.24980996270115</v>
      </c>
      <c r="AJ27" s="12">
        <f t="shared" si="37"/>
        <v>39.509955869650483</v>
      </c>
      <c r="AK27" s="12">
        <f t="shared" si="37"/>
        <v>50.004787897526384</v>
      </c>
      <c r="AL27" s="32">
        <f t="shared" si="37"/>
        <v>61.734306046328875</v>
      </c>
      <c r="AN27" s="52" t="s">
        <v>86</v>
      </c>
      <c r="AO27" s="55">
        <f>$AO$4</f>
        <v>14</v>
      </c>
      <c r="AP27" s="55">
        <f>$AO$4</f>
        <v>14</v>
      </c>
      <c r="AQ27" s="55">
        <f>$AO$4</f>
        <v>14</v>
      </c>
      <c r="AR27" s="55">
        <f>$AP$4</f>
        <v>7</v>
      </c>
      <c r="AS27" s="55">
        <f>$AP$4</f>
        <v>7</v>
      </c>
      <c r="AT27" s="59">
        <f>$AP$4</f>
        <v>7</v>
      </c>
      <c r="AV27" s="52"/>
      <c r="AW27" s="55">
        <f t="shared" si="38"/>
        <v>3.2802394588586554</v>
      </c>
      <c r="AX27" s="12">
        <f t="shared" si="39"/>
        <v>30.378351907303056</v>
      </c>
      <c r="AY27" s="55">
        <f t="shared" si="40"/>
        <v>3.2802394588586554</v>
      </c>
      <c r="AZ27" s="32">
        <f t="shared" si="41"/>
        <v>30.912450637889037</v>
      </c>
    </row>
    <row r="28" ht="13.5">
      <c r="P28" s="11"/>
      <c r="Q28" s="12">
        <f t="shared" si="42"/>
        <v>6.6000000000000032</v>
      </c>
      <c r="R28" s="12">
        <f t="shared" si="34"/>
        <v>11.415844358335065</v>
      </c>
      <c r="S28" s="12"/>
      <c r="T28" s="12">
        <f t="shared" si="35"/>
        <v>6.5385381715006918</v>
      </c>
      <c r="U28" s="12">
        <f t="shared" si="35"/>
        <v>10.216465892969829</v>
      </c>
      <c r="V28" s="12">
        <f t="shared" si="35"/>
        <v>14.711710885876554</v>
      </c>
      <c r="W28" s="12">
        <f t="shared" si="35"/>
        <v>20.024273150220864</v>
      </c>
      <c r="X28" s="12">
        <f t="shared" si="35"/>
        <v>26.154152686002767</v>
      </c>
      <c r="Y28" s="12">
        <f t="shared" si="35"/>
        <v>33.101349493222244</v>
      </c>
      <c r="Z28" s="32">
        <f t="shared" si="35"/>
        <v>40.865863571879316</v>
      </c>
      <c r="AB28" s="11"/>
      <c r="AC28" s="12">
        <f t="shared" si="43"/>
        <v>6.6000000000000032</v>
      </c>
      <c r="AD28" s="12">
        <f t="shared" si="36"/>
        <v>11.544103324007878</v>
      </c>
      <c r="AE28" s="12"/>
      <c r="AF28" s="12">
        <f t="shared" si="37"/>
        <v>6.3963261514132874</v>
      </c>
      <c r="AG28" s="12">
        <f t="shared" si="37"/>
        <v>9.99425961158326</v>
      </c>
      <c r="AH28" s="12">
        <f t="shared" si="37"/>
        <v>14.391733840679896</v>
      </c>
      <c r="AI28" s="12">
        <f t="shared" si="37"/>
        <v>19.588748838703189</v>
      </c>
      <c r="AJ28" s="12">
        <f t="shared" si="37"/>
        <v>25.58530460565315</v>
      </c>
      <c r="AK28" s="12">
        <f t="shared" si="37"/>
        <v>32.381401141529764</v>
      </c>
      <c r="AL28" s="32">
        <f t="shared" si="37"/>
        <v>39.97703844633304</v>
      </c>
      <c r="AN28" s="62" t="s">
        <v>87</v>
      </c>
      <c r="AO28" s="63">
        <f>AO$14+$AS$4*(COS(RADIANS(H$10))-1)</f>
        <v>18.829629131445341</v>
      </c>
      <c r="AP28" s="63">
        <f>AP$14+$AS$4*(COS(RADIANS(I$10))-1)</f>
        <v>18.531538935183249</v>
      </c>
      <c r="AQ28" s="63">
        <f>AQ$14+$AS$4*(COS(RADIANS(J$10))-1)</f>
        <v>18.330127018922195</v>
      </c>
      <c r="AR28" s="63">
        <f>AR$14-$AS$4*SIN(RADIANS(H$10))</f>
        <v>5.7059047744873963</v>
      </c>
      <c r="AS28" s="63">
        <f>AS$14-$AS$4*SIN(RADIANS(I$10))</f>
        <v>4.8869086912965027</v>
      </c>
      <c r="AT28" s="64">
        <f>AT$14-$AS$4*SIN(RADIANS(J$10))</f>
        <v>4.5</v>
      </c>
      <c r="AV28" s="52"/>
      <c r="AW28" s="55">
        <f t="shared" si="38"/>
        <v>2.0688687088715998</v>
      </c>
      <c r="AX28" s="12">
        <f t="shared" si="39"/>
        <v>19.026407263891773</v>
      </c>
      <c r="AY28" s="55">
        <f t="shared" si="40"/>
        <v>2.0688687088715998</v>
      </c>
      <c r="AZ28" s="32">
        <f t="shared" si="41"/>
        <v>19.240172206679798</v>
      </c>
    </row>
    <row r="29" ht="13.5">
      <c r="P29" s="11"/>
      <c r="Q29" s="12">
        <f t="shared" si="42"/>
        <v>2.7000000000000028</v>
      </c>
      <c r="R29" s="12">
        <f t="shared" si="34"/>
        <v>4.6690087316961524</v>
      </c>
      <c r="S29" s="37"/>
      <c r="T29" s="37">
        <f t="shared" si="35"/>
        <v>2.6911875606597064</v>
      </c>
      <c r="U29" s="12">
        <f t="shared" si="35"/>
        <v>4.2049805635307917</v>
      </c>
      <c r="V29" s="12">
        <f t="shared" si="35"/>
        <v>6.0551720114843404</v>
      </c>
      <c r="W29" s="12">
        <f t="shared" si="35"/>
        <v>8.2417619045203505</v>
      </c>
      <c r="X29" s="12">
        <f t="shared" si="35"/>
        <v>10.764750242638826</v>
      </c>
      <c r="Y29" s="12">
        <f t="shared" si="35"/>
        <v>13.624137025839763</v>
      </c>
      <c r="Z29" s="32">
        <f t="shared" si="35"/>
        <v>16.819922254123167</v>
      </c>
      <c r="AB29" s="11"/>
      <c r="AC29" s="12">
        <f t="shared" si="43"/>
        <v>2.7000000000000028</v>
      </c>
      <c r="AD29" s="12">
        <f t="shared" si="36"/>
        <v>4.6905990661715293</v>
      </c>
      <c r="AE29" s="37"/>
      <c r="AF29" s="37">
        <f t="shared" si="37"/>
        <v>2.6665312815410593</v>
      </c>
      <c r="AG29" s="12">
        <f t="shared" si="37"/>
        <v>4.1664551274079056</v>
      </c>
      <c r="AH29" s="12">
        <f t="shared" si="37"/>
        <v>5.9996953834673841</v>
      </c>
      <c r="AI29" s="12">
        <f t="shared" si="37"/>
        <v>8.1662520497194944</v>
      </c>
      <c r="AJ29" s="12">
        <f t="shared" si="37"/>
        <v>10.666125126164237</v>
      </c>
      <c r="AK29" s="12">
        <f t="shared" si="37"/>
        <v>13.499314612801614</v>
      </c>
      <c r="AL29" s="32">
        <f t="shared" si="37"/>
        <v>16.665820509631622</v>
      </c>
      <c r="AV29" s="62"/>
      <c r="AW29" s="63">
        <f t="shared" si="38"/>
        <v>0.84791611277356882</v>
      </c>
      <c r="AX29" s="37">
        <f t="shared" si="39"/>
        <v>7.7816812194935876</v>
      </c>
      <c r="AY29" s="63">
        <f t="shared" si="40"/>
        <v>0.84791611277356882</v>
      </c>
      <c r="AZ29" s="39">
        <f t="shared" si="41"/>
        <v>7.8176651102858825</v>
      </c>
    </row>
    <row r="30" ht="13.5">
      <c r="P30" s="41" t="s">
        <v>39</v>
      </c>
      <c r="Q30" s="42"/>
      <c r="R30" s="42"/>
      <c r="S30" s="42"/>
      <c r="T30" s="42"/>
      <c r="U30" s="42"/>
      <c r="V30" s="42"/>
      <c r="W30" s="42"/>
      <c r="X30" s="42"/>
      <c r="Y30" s="42"/>
      <c r="Z30" s="43"/>
      <c r="AB30" s="41" t="s">
        <v>39</v>
      </c>
      <c r="AC30" s="42"/>
      <c r="AD30" s="42"/>
      <c r="AE30" s="42"/>
      <c r="AF30" s="42"/>
      <c r="AG30" s="42"/>
      <c r="AH30" s="42"/>
      <c r="AI30" s="42"/>
      <c r="AJ30" s="42"/>
      <c r="AK30" s="42"/>
      <c r="AL30" s="43"/>
      <c r="AO30" s="70"/>
      <c r="AP30" s="70"/>
      <c r="AQ30" s="70"/>
      <c r="AR30" s="70"/>
      <c r="AS30" s="70"/>
      <c r="AT30" s="70"/>
    </row>
    <row r="31">
      <c r="T31" s="1"/>
      <c r="AF31" s="1"/>
      <c r="AO31" s="70"/>
      <c r="AP31" s="70"/>
      <c r="AQ31" s="70"/>
      <c r="AR31" s="70"/>
      <c r="AS31" s="70"/>
      <c r="AT31" s="70"/>
    </row>
    <row r="32" ht="12.75" customHeight="1">
      <c r="T32" s="1"/>
      <c r="AF32" s="1"/>
    </row>
    <row r="33" ht="12.75" customHeight="1">
      <c r="T33" s="1"/>
      <c r="AF33" s="1"/>
    </row>
    <row r="34" ht="102" customHeight="1">
      <c r="T34" s="1"/>
      <c r="AF34" s="1"/>
    </row>
    <row r="35" ht="144.75" customHeight="1">
      <c r="T35" s="1"/>
      <c r="AF35" s="1"/>
    </row>
    <row r="36">
      <c r="T36" s="1"/>
      <c r="AF36" s="1"/>
    </row>
    <row r="37">
      <c r="C37" s="71" t="s">
        <v>94</v>
      </c>
      <c r="T37" s="1"/>
      <c r="AF37" s="1"/>
    </row>
    <row r="38">
      <c r="C38" s="1" t="s">
        <v>95</v>
      </c>
      <c r="T38" s="1"/>
      <c r="AF38" s="1"/>
    </row>
    <row r="39">
      <c r="C39" s="1" t="s">
        <v>96</v>
      </c>
      <c r="T39" s="1"/>
      <c r="AF39" s="1"/>
    </row>
    <row r="40">
      <c r="C40" s="1" t="s">
        <v>97</v>
      </c>
      <c r="D40" s="1"/>
      <c r="E40" s="1"/>
      <c r="T40" s="1"/>
      <c r="AF40" s="1"/>
    </row>
    <row r="41">
      <c r="C41" s="1" t="s">
        <v>98</v>
      </c>
      <c r="T41" s="1"/>
      <c r="AF41" s="1"/>
    </row>
    <row r="42">
      <c r="C42" s="1" t="s">
        <v>99</v>
      </c>
      <c r="T42" s="1"/>
      <c r="AF42" s="1"/>
    </row>
    <row r="43">
      <c r="T43" s="1"/>
      <c r="AF43" s="1"/>
    </row>
    <row r="44">
      <c r="T44" s="1"/>
      <c r="AF44" s="1"/>
    </row>
    <row r="45">
      <c r="T45" s="1"/>
      <c r="AF45" s="1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6" topLeftCell="G1" activePane="topRight" state="frozen"/>
      <selection activeCell="C3" activeCellId="0" sqref="C3"/>
    </sheetView>
  </sheetViews>
  <sheetFormatPr defaultRowHeight="13.5" customHeight="1"/>
  <cols>
    <col customWidth="1" min="1" max="1" style="72" width="2.140625"/>
    <col customWidth="1" min="2" max="2" style="72" width="7.28515625"/>
    <col customWidth="1" min="3" max="3" style="72" width="6.140625"/>
    <col customWidth="1" min="4" max="4" style="72" width="5"/>
    <col customWidth="1" min="5" max="6" style="72" width="2.140625"/>
    <col customWidth="1" min="7" max="9" style="72" width="37.28515625"/>
    <col customWidth="1" min="10" max="10" style="72" width="2.7109375"/>
    <col customWidth="1" hidden="1" min="11" max="11" style="72" width="15"/>
    <col customWidth="1" hidden="1" min="12" max="12" style="72" width="7.85546875"/>
    <col customWidth="1" hidden="1" min="13" max="13" style="73" width="6"/>
    <col customWidth="1" hidden="1" min="14" max="14" style="72" width="7"/>
    <col customWidth="1" hidden="1" min="15" max="15" style="72" width="0.140625"/>
    <col customWidth="1" hidden="1" min="16" max="16" style="73" width="9.28515625"/>
    <col customWidth="1" hidden="1" min="17" max="17" style="72" width="6.140625"/>
    <col customWidth="1" hidden="1" min="18" max="18" style="72" width="0.140625"/>
    <col customWidth="1" hidden="1" min="19" max="19" style="72" width="6.28515625"/>
    <col customWidth="1" hidden="1" min="20" max="20" style="70" width="4.140625"/>
    <col customWidth="1" hidden="1" min="21" max="22" style="70" width="5.140625"/>
    <col customWidth="1" hidden="1" min="23" max="23" style="70" width="4.140625"/>
    <col customWidth="1" hidden="1" min="24" max="25" style="70" width="4.28515625"/>
    <col customWidth="1" hidden="1" min="26" max="26" style="70" width="4.140625"/>
    <col customWidth="1" hidden="1" min="27" max="27" style="70" width="6.140625"/>
    <col customWidth="1" hidden="1" min="28" max="28" style="70" width="7"/>
    <col customWidth="1" hidden="1" min="29" max="29" style="70" width="4.28515625"/>
    <col customWidth="1" hidden="1" min="30" max="30" style="70" width="4.42578125"/>
    <col customWidth="1" hidden="1" min="31" max="32" style="70" width="4"/>
    <col customWidth="1" hidden="1" min="33" max="33" style="70" width="4.5703125"/>
    <col customWidth="1" hidden="1" min="34" max="34" style="70" width="3"/>
    <col customWidth="1" min="35" max="35" style="70" width="2.140625"/>
    <col customWidth="1" min="36" max="36" style="72" width="6.28515625"/>
    <col customWidth="1" min="37" max="41" style="70" width="6.28515625"/>
    <col customWidth="1" min="42" max="42" style="72" width="2.7109375"/>
    <col customWidth="1" min="43" max="43" style="72" width="5.7109375"/>
    <col customWidth="1" min="44" max="44" style="72" width="5.140625"/>
    <col customWidth="1" min="45" max="45" style="72" width="5.5703125"/>
    <col customWidth="1" min="46" max="51" style="72" width="5.140625"/>
    <col min="52" max="16384" style="72" width="9.140625"/>
  </cols>
  <sheetData>
    <row r="1" s="74" customFormat="1" ht="13.5" customHeight="1">
      <c r="A1" s="72"/>
      <c r="C1" s="75" t="s">
        <v>100</v>
      </c>
      <c r="D1" s="72"/>
      <c r="E1" s="72"/>
      <c r="F1" s="72"/>
      <c r="G1" s="72"/>
      <c r="H1" s="72"/>
      <c r="I1" s="72"/>
      <c r="M1" s="76"/>
      <c r="P1" s="76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2"/>
      <c r="AK1" s="70"/>
      <c r="AL1" s="70"/>
      <c r="AO1" s="70"/>
      <c r="AP1" s="72"/>
      <c r="AQ1" s="72"/>
      <c r="AR1" s="72"/>
      <c r="AS1" s="72"/>
      <c r="AT1" s="72"/>
      <c r="AU1" s="72"/>
      <c r="AV1" s="72"/>
      <c r="AW1" s="72"/>
      <c r="AX1" s="72"/>
      <c r="AY1" s="72"/>
    </row>
    <row r="2" s="76" customFormat="1" ht="13.5" customHeight="1">
      <c r="A2" s="74"/>
      <c r="B2" s="76" t="s">
        <v>101</v>
      </c>
      <c r="C2" s="74"/>
      <c r="D2" s="74"/>
      <c r="E2" s="74"/>
      <c r="F2" s="74"/>
      <c r="G2" s="76" t="s">
        <v>102</v>
      </c>
      <c r="I2" s="73" t="s">
        <v>103</v>
      </c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6" t="s">
        <v>104</v>
      </c>
      <c r="AP2" s="73"/>
      <c r="AQ2" s="76" t="s">
        <v>105</v>
      </c>
      <c r="AR2" s="73"/>
      <c r="AS2" s="73"/>
      <c r="AT2" s="73"/>
      <c r="AU2" s="73"/>
      <c r="AV2" s="73"/>
      <c r="AW2" s="73"/>
      <c r="AX2" s="73"/>
      <c r="AY2" s="73"/>
    </row>
    <row r="3" ht="13.5" customHeight="1">
      <c r="A3" s="76"/>
      <c r="B3" s="79" t="s">
        <v>106</v>
      </c>
      <c r="C3" s="80">
        <v>10</v>
      </c>
      <c r="D3" s="81" t="s">
        <v>107</v>
      </c>
      <c r="E3" s="82"/>
      <c r="F3" s="76"/>
      <c r="G3" s="72"/>
      <c r="H3" s="72"/>
      <c r="I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I3" s="83"/>
      <c r="AJ3" s="84" t="s">
        <v>108</v>
      </c>
      <c r="AK3" s="58" t="s">
        <v>109</v>
      </c>
      <c r="AL3" s="58" t="s">
        <v>110</v>
      </c>
      <c r="AM3" s="58" t="s">
        <v>111</v>
      </c>
      <c r="AN3" s="58" t="s">
        <v>112</v>
      </c>
      <c r="AO3" s="60" t="s">
        <v>113</v>
      </c>
      <c r="AQ3" s="85"/>
      <c r="AR3" s="86" t="s">
        <v>114</v>
      </c>
      <c r="AS3" s="87" t="s">
        <v>115</v>
      </c>
      <c r="AT3" s="88" t="s">
        <v>116</v>
      </c>
      <c r="AU3" s="88" t="s">
        <v>117</v>
      </c>
      <c r="AV3" s="86" t="s">
        <v>118</v>
      </c>
      <c r="AW3" s="87" t="s">
        <v>119</v>
      </c>
      <c r="AX3" s="89" t="s">
        <v>120</v>
      </c>
      <c r="AY3" s="90" t="s">
        <v>121</v>
      </c>
    </row>
    <row r="4" ht="13.5" customHeight="1">
      <c r="B4" s="91" t="s">
        <v>122</v>
      </c>
      <c r="C4" s="92">
        <f t="shared" ref="C4:C6" si="44">N4/10-10</f>
        <v>0</v>
      </c>
      <c r="D4" s="92" t="s">
        <v>107</v>
      </c>
      <c r="E4" s="93"/>
      <c r="F4" s="72"/>
      <c r="G4" s="72"/>
      <c r="H4" s="72"/>
      <c r="I4" s="72"/>
      <c r="K4" s="76" t="s">
        <v>123</v>
      </c>
      <c r="M4" s="73" t="s">
        <v>124</v>
      </c>
      <c r="N4" s="94">
        <v>100</v>
      </c>
      <c r="P4" s="73" t="s">
        <v>125</v>
      </c>
      <c r="Q4" s="72">
        <v>0</v>
      </c>
      <c r="S4" s="73" t="s">
        <v>108</v>
      </c>
      <c r="T4" s="95" t="s">
        <v>126</v>
      </c>
      <c r="U4" s="95" t="s">
        <v>127</v>
      </c>
      <c r="V4" s="95" t="s">
        <v>128</v>
      </c>
      <c r="W4" s="95" t="s">
        <v>129</v>
      </c>
      <c r="X4" s="95" t="s">
        <v>130</v>
      </c>
      <c r="Y4" s="95" t="s">
        <v>131</v>
      </c>
      <c r="Z4" s="95" t="s">
        <v>110</v>
      </c>
      <c r="AA4" s="95" t="s">
        <v>109</v>
      </c>
      <c r="AB4" s="95" t="s">
        <v>132</v>
      </c>
      <c r="AC4" s="95" t="s">
        <v>133</v>
      </c>
      <c r="AD4" s="95" t="s">
        <v>134</v>
      </c>
      <c r="AE4" s="95" t="s">
        <v>111</v>
      </c>
      <c r="AF4" s="95" t="s">
        <v>112</v>
      </c>
      <c r="AG4" s="95" t="s">
        <v>113</v>
      </c>
      <c r="AH4" s="2"/>
      <c r="AI4" s="96"/>
      <c r="AJ4" s="97"/>
      <c r="AK4" s="63" t="s">
        <v>107</v>
      </c>
      <c r="AL4" s="63" t="s">
        <v>135</v>
      </c>
      <c r="AM4" s="63" t="s">
        <v>136</v>
      </c>
      <c r="AN4" s="63" t="s">
        <v>137</v>
      </c>
      <c r="AO4" s="64" t="s">
        <v>136</v>
      </c>
      <c r="AQ4" s="98" t="s">
        <v>78</v>
      </c>
      <c r="AR4" s="99">
        <f>$Q$6</f>
        <v>10</v>
      </c>
      <c r="AS4" s="100">
        <f>$Q$7</f>
        <v>0</v>
      </c>
      <c r="AT4" s="101">
        <f>$Q$6</f>
        <v>10</v>
      </c>
      <c r="AU4" s="101">
        <f>$Q$7</f>
        <v>0</v>
      </c>
      <c r="AV4" s="99">
        <f>$Q$6</f>
        <v>10</v>
      </c>
      <c r="AW4" s="100">
        <f>$Q$7</f>
        <v>0</v>
      </c>
      <c r="AX4" s="101">
        <f>$Q$6</f>
        <v>10</v>
      </c>
      <c r="AY4" s="100">
        <f>$Q$7</f>
        <v>0</v>
      </c>
    </row>
    <row r="5" ht="13.5" customHeight="1">
      <c r="B5" s="91" t="s">
        <v>138</v>
      </c>
      <c r="C5" s="92">
        <f t="shared" si="44"/>
        <v>0</v>
      </c>
      <c r="D5" s="92" t="s">
        <v>107</v>
      </c>
      <c r="E5" s="93"/>
      <c r="F5" s="72"/>
      <c r="G5" s="72"/>
      <c r="H5" s="72"/>
      <c r="I5" s="72"/>
      <c r="K5" s="102">
        <v>1</v>
      </c>
      <c r="M5" s="73" t="s">
        <v>139</v>
      </c>
      <c r="N5" s="94">
        <v>100</v>
      </c>
      <c r="P5" s="73" t="s">
        <v>140</v>
      </c>
      <c r="Q5" s="72">
        <v>0</v>
      </c>
      <c r="S5" s="103">
        <f>$C$20/100</f>
        <v>-0.29999999999999999</v>
      </c>
      <c r="T5" s="70">
        <f t="shared" ref="T5:T26" si="45">$Q$21+IF($S5&gt;0,$Q$22-$Q$21,$Q$21-$Q$23)*$S5</f>
        <v>-1.2247826928494763</v>
      </c>
      <c r="U5" s="70">
        <f t="shared" ref="U5:U26" si="46">$Q$6+$Q$20*COS($T5)-$Q$4</f>
        <v>11.090215563279319</v>
      </c>
      <c r="V5" s="70">
        <f t="shared" ref="V5:V26" si="47">$Q$7+$Q$20*SIN($T5)-$Q$5</f>
        <v>-3.0240295016626324</v>
      </c>
      <c r="W5" s="70">
        <f t="shared" ref="W5:W26" si="48">(U5^2+V5^2+$Q$16^2-$Q$24^2)/(2*$Q$16)</f>
        <v>4.8428059910952879</v>
      </c>
      <c r="X5" s="70">
        <f t="shared" ref="X5:X26" si="49">IF($W5+$U5=0,PI(),2*ATAN(($V5+SQRT($V5^2-$W5^2+$U5^2))/($W5+$U5)))</f>
        <v>0.86972243713639352</v>
      </c>
      <c r="Y5" s="70">
        <f t="shared" ref="Y5:Y26" si="50">IF($W5+$U5=0,PI(),2*ATAN(($V5-SQRT($V5^2-$W5^2+$U5^2))/($W5+$U5)))</f>
        <v>-1.4021300612062744</v>
      </c>
      <c r="Z5" s="70">
        <f t="shared" ref="Z5:Z26" si="51">IF(AND(ROUND(SIN($X$6),3)=ROUND(SIN($Q$18),3),ROUND(COS($X$6),3)=ROUND(COS($Q$18),3)),X5,Y5)</f>
        <v>-1.4021300612062744</v>
      </c>
      <c r="AA5" s="70">
        <f t="shared" ref="AA5:AA26" si="52">$N$23*SIN($Z5-$Q$17+$N$17)</f>
        <v>-3.0216184319336739</v>
      </c>
      <c r="AB5" s="70">
        <f t="shared" ref="AB5:AB26" si="53">ASIN(SIN($N$20*($Z5-$Q$17+$N$17-$N$18)))</f>
        <v>-0.16866626558862219</v>
      </c>
      <c r="AC5" s="70">
        <f t="shared" ref="AC5:AC26" si="54">ACOS(($Q$24^2+$Q$20^2-($Q$4+$Q$16*COS($Z5)-$Q$6)^2-($Q$5+$Q$16*SIN($Z5)-$Q$7)^2)/(2*$Q$20*$Q$24))</f>
        <v>1.4085260837170992</v>
      </c>
      <c r="AD5" s="70">
        <f t="shared" ref="AD5:AD26" si="55">ACOS(($Q$24^2+$Q$16^2-($Q$6+$Q$20*COS($T5)-$Q$4)^2-($Q$7+$Q$20*SIN($T5)-$Q$5)^2)/(2*$Q$16*$Q$24))</f>
        <v>1.555719201515896</v>
      </c>
      <c r="AE5" s="2">
        <f t="shared" ref="AE5:AE26" si="56">0.0000085*$C$16^2*$C$17^2*$C$18*ABS(SIN(AB5))</f>
        <v>79.285756844723636</v>
      </c>
      <c r="AF5" s="2">
        <f t="shared" ref="AF5:AF26" si="57">AE5/($Q$16*SIN(AD5))</f>
        <v>15.858953861169146</v>
      </c>
      <c r="AG5" s="2">
        <f t="shared" ref="AG5:AG26" si="58">AF5*$Q$20*SIN(AC5)</f>
        <v>50.309668456155954</v>
      </c>
      <c r="AH5" s="2"/>
      <c r="AI5" s="104" t="str">
        <f t="shared" ref="AI5:AI26" si="59">IF($K$5&gt;0,IF(S5&lt;0,"-",IF(S5&gt;0,"+","")),"")</f>
        <v>-</v>
      </c>
      <c r="AJ5" s="105">
        <f t="shared" ref="AJ5:AJ26" si="60">IF($K$5&gt;0,ABS(S5),S5)</f>
        <v>0.29999999999999999</v>
      </c>
      <c r="AK5" s="106">
        <f t="shared" ref="AK5:AK26" si="61">IF($K$5&gt;0,ABS(AA5),AA5)</f>
        <v>3.0216184319336739</v>
      </c>
      <c r="AL5" s="106">
        <f t="shared" ref="AL5:AL26" si="62">IF($K$5&gt;0,ABS(DEGREES(ASIN(SIN($N$20*($Z5-$Q$17+$N$17))))),DEGREES(ASIN(SIN($N$20*($Z5-$Q$17+$N$17)))))</f>
        <v>9.663865164460681</v>
      </c>
      <c r="AM5" s="107">
        <f t="shared" ref="AM5:AM26" si="63">AE5</f>
        <v>79.285756844723636</v>
      </c>
      <c r="AN5" s="106">
        <f t="shared" ref="AN5:AN26" si="64">AF5/16</f>
        <v>0.99118461632307164</v>
      </c>
      <c r="AO5" s="108">
        <f t="shared" ref="AO5:AO26" si="65">AG5</f>
        <v>50.309668456155954</v>
      </c>
      <c r="AQ5" s="98" t="s">
        <v>141</v>
      </c>
      <c r="AR5" s="99">
        <f>$AR$4+$Q$20*COS($Q$21)</f>
        <v>10.270390940811604</v>
      </c>
      <c r="AS5" s="100">
        <f>$AS$4+$Q$20*SIN($Q$21)</f>
        <v>-3.2031567461598578</v>
      </c>
      <c r="AT5" s="101">
        <f>$AR$4+$Q$20*COS($Q$22)</f>
        <v>7.7200435206903597</v>
      </c>
      <c r="AU5" s="101">
        <f>$AS$4+$Q$20*SIN($Q$22)</f>
        <v>-2.26608094599385</v>
      </c>
      <c r="AV5" s="99">
        <f>$AR$4+$Q$20*COS($Q$23)</f>
        <v>12.627564372360013</v>
      </c>
      <c r="AW5" s="100">
        <f>$AS$4+$Q$20*SIN($Q$23)</f>
        <v>-1.8518179906369661</v>
      </c>
      <c r="AX5" s="101">
        <f>$Q$6+$Q$20*COS($T$5)</f>
        <v>11.090215563279319</v>
      </c>
      <c r="AY5" s="100">
        <f>$Q$7+$Q$20*SIN($T$5)</f>
        <v>-3.0240295016626324</v>
      </c>
    </row>
    <row r="6" ht="13.5" customHeight="1">
      <c r="B6" s="109" t="s">
        <v>142</v>
      </c>
      <c r="C6" s="110">
        <f t="shared" si="44"/>
        <v>-5</v>
      </c>
      <c r="D6" s="110" t="s">
        <v>107</v>
      </c>
      <c r="E6" s="111"/>
      <c r="F6" s="72"/>
      <c r="G6" s="72"/>
      <c r="H6" s="72"/>
      <c r="I6" s="72"/>
      <c r="M6" s="73" t="s">
        <v>143</v>
      </c>
      <c r="N6" s="94">
        <v>50</v>
      </c>
      <c r="P6" s="73" t="s">
        <v>144</v>
      </c>
      <c r="Q6" s="72">
        <f>Q4-$N$11</f>
        <v>10</v>
      </c>
      <c r="S6" s="103">
        <v>1</v>
      </c>
      <c r="T6" s="70">
        <f t="shared" si="45"/>
        <v>-2.3592467066457905</v>
      </c>
      <c r="U6" s="70">
        <f t="shared" si="46"/>
        <v>7.7200435206903597</v>
      </c>
      <c r="V6" s="70">
        <f t="shared" si="47"/>
        <v>-2.26608094599385</v>
      </c>
      <c r="W6" s="70">
        <f t="shared" si="48"/>
        <v>-1.8975380940826299</v>
      </c>
      <c r="X6" s="70">
        <f t="shared" si="49"/>
        <v>1.5233701581774837</v>
      </c>
      <c r="Y6" s="70">
        <f t="shared" si="50"/>
        <v>-2.0943951023931948</v>
      </c>
      <c r="Z6" s="70">
        <f t="shared" si="51"/>
        <v>-2.0943951023931948</v>
      </c>
      <c r="AA6" s="70">
        <f t="shared" si="52"/>
        <v>8.9999999999999893</v>
      </c>
      <c r="AB6" s="70">
        <f t="shared" si="53"/>
        <v>0.52359877559829815</v>
      </c>
      <c r="AC6" s="70">
        <f t="shared" si="54"/>
        <v>2.5585267414874644</v>
      </c>
      <c r="AD6" s="70">
        <f t="shared" si="55"/>
        <v>0.84791751635492296</v>
      </c>
      <c r="AE6" s="2">
        <f t="shared" si="56"/>
        <v>236.15549999999971</v>
      </c>
      <c r="AF6" s="2">
        <f t="shared" si="57"/>
        <v>62.982830481043699</v>
      </c>
      <c r="AG6" s="2">
        <f t="shared" si="58"/>
        <v>111.47238009555812</v>
      </c>
      <c r="AH6" s="2"/>
      <c r="AI6" s="112" t="str">
        <f t="shared" si="59"/>
        <v>+</v>
      </c>
      <c r="AJ6" s="113">
        <f t="shared" si="60"/>
        <v>1</v>
      </c>
      <c r="AK6" s="55">
        <f t="shared" si="61"/>
        <v>8.9999999999999893</v>
      </c>
      <c r="AL6" s="55">
        <f t="shared" si="62"/>
        <v>29.999999999999961</v>
      </c>
      <c r="AM6" s="12">
        <f t="shared" si="63"/>
        <v>236.15549999999971</v>
      </c>
      <c r="AN6" s="55">
        <f t="shared" si="64"/>
        <v>3.9364269050652312</v>
      </c>
      <c r="AO6" s="32">
        <f t="shared" si="65"/>
        <v>111.47238009555812</v>
      </c>
      <c r="AQ6" s="98" t="s">
        <v>145</v>
      </c>
      <c r="AR6" s="99">
        <f>$Q$4+$Q$16*COS($Q$17)</f>
        <v>3.06287113727155e-016</v>
      </c>
      <c r="AS6" s="100">
        <f>$Q$5+$Q$16*SIN($Q$17)</f>
        <v>-5</v>
      </c>
      <c r="AT6" s="101">
        <f>$Q$4+$Q$16*COS($Q$18)</f>
        <v>-2.4999999999999991</v>
      </c>
      <c r="AU6" s="101">
        <f>$Q$5+$Q$16*SIN($Q$18)</f>
        <v>-4.3301270189221936</v>
      </c>
      <c r="AV6" s="99">
        <f>$Q$4+$Q$16*COS($Q$19)</f>
        <v>2.4999999999999996</v>
      </c>
      <c r="AW6" s="100">
        <f>$Q$5+$Q$16*SIN($Q$19)</f>
        <v>-4.3301270189221936</v>
      </c>
      <c r="AX6" s="101">
        <f>Q$4+$Q$16*COS($Z$5)</f>
        <v>0.83933845331490964</v>
      </c>
      <c r="AY6" s="100">
        <f>$Q$5+$Q$16*SIN(Z$5)</f>
        <v>-4.9290476728052584</v>
      </c>
    </row>
    <row r="7" ht="13.5" customHeight="1">
      <c r="F7" s="72"/>
      <c r="G7" s="72"/>
      <c r="H7" s="72"/>
      <c r="I7" s="72"/>
      <c r="K7" s="73"/>
      <c r="M7" s="73" t="s">
        <v>146</v>
      </c>
      <c r="N7" s="94">
        <v>90</v>
      </c>
      <c r="P7" s="73" t="s">
        <v>147</v>
      </c>
      <c r="Q7" s="72">
        <f>Q5+C4</f>
        <v>0</v>
      </c>
      <c r="S7" s="103">
        <v>0.90000000000000002</v>
      </c>
      <c r="T7" s="70">
        <f t="shared" si="45"/>
        <v>-2.2719802440460741</v>
      </c>
      <c r="U7" s="70">
        <f t="shared" si="46"/>
        <v>7.9262214114062228</v>
      </c>
      <c r="V7" s="70">
        <f t="shared" si="47"/>
        <v>-2.4561691242323676</v>
      </c>
      <c r="W7" s="70">
        <f t="shared" si="48"/>
        <v>-1.4851823126509018</v>
      </c>
      <c r="X7" s="70">
        <f t="shared" si="49"/>
        <v>1.4502502305672098</v>
      </c>
      <c r="Y7" s="70">
        <f t="shared" si="50"/>
        <v>-2.0512406789069431</v>
      </c>
      <c r="Z7" s="70">
        <f t="shared" si="51"/>
        <v>-2.0512406789069431</v>
      </c>
      <c r="AA7" s="70">
        <f t="shared" si="52"/>
        <v>8.3191188241251517</v>
      </c>
      <c r="AB7" s="70">
        <f t="shared" si="53"/>
        <v>0.48044435211204645</v>
      </c>
      <c r="AC7" s="70">
        <f t="shared" si="54"/>
        <v>2.4628264011037468</v>
      </c>
      <c r="AD7" s="70">
        <f t="shared" si="55"/>
        <v>0.89950581762517601</v>
      </c>
      <c r="AE7" s="2">
        <f t="shared" si="56"/>
        <v>218.28951838563188</v>
      </c>
      <c r="AF7" s="2">
        <f t="shared" si="57"/>
        <v>55.755823055457363</v>
      </c>
      <c r="AG7" s="2">
        <f t="shared" si="58"/>
        <v>112.52643307277849</v>
      </c>
      <c r="AH7" s="2"/>
      <c r="AI7" s="112" t="str">
        <f t="shared" si="59"/>
        <v>+</v>
      </c>
      <c r="AJ7" s="113">
        <f t="shared" si="60"/>
        <v>0.90000000000000002</v>
      </c>
      <c r="AK7" s="55">
        <f t="shared" si="61"/>
        <v>8.3191188241251517</v>
      </c>
      <c r="AL7" s="55">
        <f t="shared" si="62"/>
        <v>27.527433666917499</v>
      </c>
      <c r="AM7" s="12">
        <f t="shared" si="63"/>
        <v>218.28951838563188</v>
      </c>
      <c r="AN7" s="55">
        <f t="shared" si="64"/>
        <v>3.4847389409660852</v>
      </c>
      <c r="AO7" s="32">
        <f t="shared" si="65"/>
        <v>112.52643307277849</v>
      </c>
      <c r="AQ7" s="98" t="s">
        <v>148</v>
      </c>
      <c r="AR7" s="99">
        <f>$Q$4+$N$12*COS($N$17)</f>
        <v>0</v>
      </c>
      <c r="AS7" s="100">
        <f>$Q$5+$N$12*SIN($N$17)</f>
        <v>0</v>
      </c>
      <c r="AT7" s="101">
        <f>$Q$4+$N$12*COS($N$17+$N$13)</f>
        <v>0</v>
      </c>
      <c r="AU7" s="101">
        <f>$Q$5+$N$12*SIN($N$17+$N$13)</f>
        <v>0</v>
      </c>
      <c r="AV7" s="99">
        <f>$Q$4+$N$12*COS($N$17+$N$14)</f>
        <v>0</v>
      </c>
      <c r="AW7" s="100">
        <f>$Q$5+$N$12*SIN($N$17+$N$14)</f>
        <v>0</v>
      </c>
      <c r="AX7" s="101">
        <f>$Q$4+$N$12*COS($N$17+$Z$5-$Q$17)</f>
        <v>0</v>
      </c>
      <c r="AY7" s="100">
        <f>$Q$5+$N$12*SIN($N$17+$Z$5-$Q$17)</f>
        <v>0</v>
      </c>
    </row>
    <row r="8" ht="13.5" customHeight="1">
      <c r="B8" s="79" t="s">
        <v>149</v>
      </c>
      <c r="C8" s="80">
        <v>50</v>
      </c>
      <c r="D8" s="81" t="s">
        <v>135</v>
      </c>
      <c r="E8" s="82"/>
      <c r="F8" s="72"/>
      <c r="G8" s="72"/>
      <c r="H8" s="72"/>
      <c r="I8" s="72"/>
      <c r="M8" s="73" t="s">
        <v>150</v>
      </c>
      <c r="N8" s="94">
        <v>20</v>
      </c>
      <c r="S8" s="103">
        <v>0.80000000000000004</v>
      </c>
      <c r="T8" s="70">
        <f t="shared" si="45"/>
        <v>-2.1847137814463577</v>
      </c>
      <c r="U8" s="70">
        <f t="shared" si="46"/>
        <v>8.1481820093630333</v>
      </c>
      <c r="V8" s="70">
        <f t="shared" si="47"/>
        <v>-2.6275643723600113</v>
      </c>
      <c r="W8" s="70">
        <f t="shared" si="48"/>
        <v>-1.0412611167372816</v>
      </c>
      <c r="X8" s="70">
        <f t="shared" si="49"/>
        <v>1.3807773130919434</v>
      </c>
      <c r="Y8" s="70">
        <f t="shared" si="50"/>
        <v>-2.0046655894917165</v>
      </c>
      <c r="Z8" s="70">
        <f t="shared" si="51"/>
        <v>-2.0046655894917165</v>
      </c>
      <c r="AA8" s="70">
        <f t="shared" si="52"/>
        <v>7.5669246071737515</v>
      </c>
      <c r="AB8" s="70">
        <f t="shared" si="53"/>
        <v>0.43386926269681991</v>
      </c>
      <c r="AC8" s="70">
        <f t="shared" si="54"/>
        <v>2.3688617666766616</v>
      </c>
      <c r="AD8" s="70">
        <f t="shared" si="55"/>
        <v>0.95277907886777191</v>
      </c>
      <c r="AE8" s="2">
        <f t="shared" si="56"/>
        <v>198.55231822993565</v>
      </c>
      <c r="AF8" s="2">
        <f t="shared" si="57"/>
        <v>48.722767270403935</v>
      </c>
      <c r="AG8" s="2">
        <f t="shared" si="58"/>
        <v>109.3365508594359</v>
      </c>
      <c r="AH8" s="2"/>
      <c r="AI8" s="112" t="str">
        <f t="shared" si="59"/>
        <v>+</v>
      </c>
      <c r="AJ8" s="113">
        <f t="shared" si="60"/>
        <v>0.80000000000000004</v>
      </c>
      <c r="AK8" s="55">
        <f t="shared" si="61"/>
        <v>7.5669246071737515</v>
      </c>
      <c r="AL8" s="55">
        <f t="shared" si="62"/>
        <v>24.858877612980589</v>
      </c>
      <c r="AM8" s="12">
        <f t="shared" si="63"/>
        <v>198.55231822993565</v>
      </c>
      <c r="AN8" s="55">
        <f t="shared" si="64"/>
        <v>3.0451729544002459</v>
      </c>
      <c r="AO8" s="32">
        <f t="shared" si="65"/>
        <v>109.3365508594359</v>
      </c>
      <c r="AQ8" s="98" t="s">
        <v>151</v>
      </c>
      <c r="AR8" s="99">
        <f>$Q$4-1*$N$23</f>
        <v>18</v>
      </c>
      <c r="AS8" s="100">
        <f t="shared" ref="AS8:AS9" si="66">$Q$5</f>
        <v>0</v>
      </c>
      <c r="AT8" s="101">
        <f>$Q$4-1*$N$23</f>
        <v>18</v>
      </c>
      <c r="AU8" s="101">
        <f t="shared" ref="AU8:AU9" si="67">$Q$5</f>
        <v>0</v>
      </c>
      <c r="AV8" s="99">
        <f>$Q$4-1*$N$23</f>
        <v>18</v>
      </c>
      <c r="AW8" s="100">
        <f t="shared" ref="AW8:AW9" si="68">$Q$5</f>
        <v>0</v>
      </c>
      <c r="AX8" s="101">
        <f>$Q$4-1*$N$23</f>
        <v>18</v>
      </c>
      <c r="AY8" s="100">
        <f t="shared" ref="AY8:AY9" si="69">$Q$5</f>
        <v>0</v>
      </c>
    </row>
    <row r="9" ht="13.5" customHeight="1">
      <c r="B9" s="91" t="s">
        <v>152</v>
      </c>
      <c r="C9" s="114">
        <v>50</v>
      </c>
      <c r="D9" s="92" t="s">
        <v>135</v>
      </c>
      <c r="E9" s="93"/>
      <c r="F9" s="72"/>
      <c r="G9" s="72"/>
      <c r="H9" s="72"/>
      <c r="I9" s="72"/>
      <c r="M9" s="73" t="s">
        <v>153</v>
      </c>
      <c r="N9" s="94">
        <v>70</v>
      </c>
      <c r="P9" s="73" t="s">
        <v>154</v>
      </c>
      <c r="Q9" s="70">
        <f>(AR$4-AR$6)^2-(AR$4-AT$6)^2+(AS$4-AS$6)^2-(AS$4-AU$6)^2</f>
        <v>-50</v>
      </c>
      <c r="S9" s="103">
        <v>0.69999999999999996</v>
      </c>
      <c r="T9" s="70">
        <f t="shared" si="45"/>
        <v>-2.0974473188466409</v>
      </c>
      <c r="U9" s="70">
        <f t="shared" si="46"/>
        <v>8.3842360603868666</v>
      </c>
      <c r="V9" s="70">
        <f t="shared" si="47"/>
        <v>-2.7789622690472493</v>
      </c>
      <c r="W9" s="70">
        <f t="shared" si="48"/>
        <v>-0.56915301468961554</v>
      </c>
      <c r="X9" s="70">
        <f t="shared" si="49"/>
        <v>1.3152220618339323</v>
      </c>
      <c r="Y9" s="70">
        <f t="shared" si="50"/>
        <v>-1.9553328107148231</v>
      </c>
      <c r="Z9" s="70">
        <f t="shared" si="51"/>
        <v>-1.9553328107148231</v>
      </c>
      <c r="AA9" s="70">
        <f t="shared" si="52"/>
        <v>6.7523311879640513</v>
      </c>
      <c r="AB9" s="70">
        <f t="shared" si="53"/>
        <v>0.38453648391992656</v>
      </c>
      <c r="AC9" s="70">
        <f t="shared" si="54"/>
        <v>2.2764011952804237</v>
      </c>
      <c r="AD9" s="70">
        <f t="shared" si="55"/>
        <v>1.0073059664411856</v>
      </c>
      <c r="AE9" s="2">
        <f t="shared" si="56"/>
        <v>177.17779420658272</v>
      </c>
      <c r="AF9" s="2">
        <f t="shared" si="57"/>
        <v>41.915932987245881</v>
      </c>
      <c r="AG9" s="2">
        <f t="shared" si="58"/>
        <v>102.56732719955022</v>
      </c>
      <c r="AH9" s="2"/>
      <c r="AI9" s="112" t="str">
        <f t="shared" si="59"/>
        <v>+</v>
      </c>
      <c r="AJ9" s="113">
        <f t="shared" si="60"/>
        <v>0.69999999999999996</v>
      </c>
      <c r="AK9" s="55">
        <f t="shared" si="61"/>
        <v>6.7523311879640513</v>
      </c>
      <c r="AL9" s="55">
        <f t="shared" si="62"/>
        <v>22.032317597412039</v>
      </c>
      <c r="AM9" s="12">
        <f t="shared" si="63"/>
        <v>177.17779420658272</v>
      </c>
      <c r="AN9" s="55">
        <f t="shared" si="64"/>
        <v>2.6197458117028676</v>
      </c>
      <c r="AO9" s="32">
        <f t="shared" si="65"/>
        <v>102.56732719955022</v>
      </c>
      <c r="AQ9" s="98" t="s">
        <v>86</v>
      </c>
      <c r="AR9" s="99">
        <f>$Q$4</f>
        <v>0</v>
      </c>
      <c r="AS9" s="100">
        <f t="shared" si="66"/>
        <v>0</v>
      </c>
      <c r="AT9" s="101">
        <f>$Q$4</f>
        <v>0</v>
      </c>
      <c r="AU9" s="101">
        <f t="shared" si="67"/>
        <v>0</v>
      </c>
      <c r="AV9" s="99">
        <f>$Q$4</f>
        <v>0</v>
      </c>
      <c r="AW9" s="100">
        <f t="shared" si="68"/>
        <v>0</v>
      </c>
      <c r="AX9" s="101">
        <f>$Q$4</f>
        <v>0</v>
      </c>
      <c r="AY9" s="100">
        <f t="shared" si="69"/>
        <v>0</v>
      </c>
    </row>
    <row r="10" ht="13.5" customHeight="1">
      <c r="B10" s="91" t="s">
        <v>155</v>
      </c>
      <c r="C10" s="114">
        <v>30</v>
      </c>
      <c r="D10" s="92" t="s">
        <v>135</v>
      </c>
      <c r="E10" s="93"/>
      <c r="F10" s="72"/>
      <c r="G10" s="72"/>
      <c r="H10" s="72"/>
      <c r="I10" s="72"/>
      <c r="K10" s="73" t="s">
        <v>156</v>
      </c>
      <c r="P10" s="73" t="s">
        <v>157</v>
      </c>
      <c r="Q10" s="70">
        <f>(AR$4-AR$6)^2-(AR$4-AV$6)^2+(AS$4-AS$6)^2-(AS$4-AW$6)^2</f>
        <v>50</v>
      </c>
      <c r="S10" s="103">
        <v>0.59999999999999998</v>
      </c>
      <c r="T10" s="70">
        <f t="shared" si="45"/>
        <v>-2.0101808562469246</v>
      </c>
      <c r="U10" s="70">
        <f t="shared" si="46"/>
        <v>8.6325870506160953</v>
      </c>
      <c r="V10" s="70">
        <f t="shared" si="47"/>
        <v>-2.9092105848837417</v>
      </c>
      <c r="W10" s="70">
        <f t="shared" si="48"/>
        <v>-7.2451034231157507e-002</v>
      </c>
      <c r="X10" s="70">
        <f t="shared" si="49"/>
        <v>1.2536997532983338</v>
      </c>
      <c r="Y10" s="70">
        <f t="shared" si="50"/>
        <v>-1.9037995674346551</v>
      </c>
      <c r="Z10" s="70">
        <f t="shared" si="51"/>
        <v>-1.9037995674346551</v>
      </c>
      <c r="AA10" s="70">
        <f t="shared" si="52"/>
        <v>5.8838896006620214</v>
      </c>
      <c r="AB10" s="70">
        <f t="shared" si="53"/>
        <v>0.3330032406397585</v>
      </c>
      <c r="AC10" s="70">
        <f t="shared" si="54"/>
        <v>2.1852582727036163</v>
      </c>
      <c r="AD10" s="70">
        <f t="shared" si="55"/>
        <v>1.0627156696984463</v>
      </c>
      <c r="AE10" s="2">
        <f t="shared" si="56"/>
        <v>154.39032117657112</v>
      </c>
      <c r="AF10" s="2">
        <f t="shared" si="57"/>
        <v>35.34253789661178</v>
      </c>
      <c r="AG10" s="2">
        <f t="shared" si="58"/>
        <v>92.82914380660965</v>
      </c>
      <c r="AH10" s="2"/>
      <c r="AI10" s="112" t="str">
        <f t="shared" si="59"/>
        <v>+</v>
      </c>
      <c r="AJ10" s="113">
        <f t="shared" si="60"/>
        <v>0.59999999999999998</v>
      </c>
      <c r="AK10" s="55">
        <f t="shared" si="61"/>
        <v>5.8838896006620214</v>
      </c>
      <c r="AL10" s="55">
        <f t="shared" si="62"/>
        <v>19.079680252837498</v>
      </c>
      <c r="AM10" s="12">
        <f t="shared" si="63"/>
        <v>154.39032117657112</v>
      </c>
      <c r="AN10" s="55">
        <f t="shared" si="64"/>
        <v>2.2089086185382363</v>
      </c>
      <c r="AO10" s="32">
        <f t="shared" si="65"/>
        <v>92.82914380660965</v>
      </c>
      <c r="AQ10" s="98" t="s">
        <v>87</v>
      </c>
      <c r="AR10" s="99">
        <f>$Q$4+$N$23*COS($N$17)</f>
        <v>-18</v>
      </c>
      <c r="AS10" s="100">
        <f>$Q$5+$N$23*SIN($N$17)</f>
        <v>0</v>
      </c>
      <c r="AT10" s="101">
        <f>$Q$4+$N$23*COS($N$17+$N$13)</f>
        <v>-15.588457268119896</v>
      </c>
      <c r="AU10" s="101">
        <f>$Q$5+$N$23*SIN($N$17+$N$13)</f>
        <v>8.9999999999999982</v>
      </c>
      <c r="AV10" s="99">
        <f>$Q$4+$N$23*COS($N$17+$N$14)</f>
        <v>-15.588457268119896</v>
      </c>
      <c r="AW10" s="100">
        <f>$Q$5+$N$23*SIN($N$17+$N$14)</f>
        <v>-8.9999999999999982</v>
      </c>
      <c r="AX10" s="101">
        <f>$Q$4+$N$23*COS($N$17+$Z$5-$Q$17)</f>
        <v>-17.744571622098931</v>
      </c>
      <c r="AY10" s="100">
        <f>$Q$5+$N$23*SIN($N$17+$Z$5-$Q$17)</f>
        <v>-3.0216184319336739</v>
      </c>
    </row>
    <row r="11" ht="13.5" customHeight="1">
      <c r="B11" s="109" t="s">
        <v>158</v>
      </c>
      <c r="C11" s="115">
        <v>30</v>
      </c>
      <c r="D11" s="110" t="s">
        <v>135</v>
      </c>
      <c r="E11" s="111"/>
      <c r="F11" s="72"/>
      <c r="G11" s="72"/>
      <c r="H11" s="72"/>
      <c r="I11" s="72"/>
      <c r="K11" s="72">
        <f>IF($K$5&gt;0,0.25,0.5)</f>
        <v>0.25</v>
      </c>
      <c r="M11" s="73" t="s">
        <v>106</v>
      </c>
      <c r="N11" s="72">
        <f>$N$20*C3</f>
        <v>-10</v>
      </c>
      <c r="P11" s="73" t="s">
        <v>127</v>
      </c>
      <c r="Q11" s="70">
        <f>Q$9*((AS$4-AW$6)*COS(N$16)-(AR$4-AV$6)*SIN(N$16)-(AS$4-AS$6))+Q$10*((AR$4-AT$6)*SIN(N$15)-(AS$4-AU$6)*COS(N$15)+(AS$4-AS$6))</f>
        <v>30.153689607045692</v>
      </c>
      <c r="S11" s="103">
        <v>0.5</v>
      </c>
      <c r="T11" s="70">
        <f t="shared" si="45"/>
        <v>-1.9229143936472082</v>
      </c>
      <c r="U11" s="70">
        <f t="shared" si="46"/>
        <v>8.8913448790566481</v>
      </c>
      <c r="V11" s="70">
        <f t="shared" si="47"/>
        <v>-3.0173180515398892</v>
      </c>
      <c r="W11" s="70">
        <f t="shared" si="48"/>
        <v>0.44506462264994867</v>
      </c>
      <c r="X11" s="70">
        <f t="shared" si="49"/>
        <v>1.1962178458084849</v>
      </c>
      <c r="Y11" s="70">
        <f t="shared" si="50"/>
        <v>-1.8505374384056883</v>
      </c>
      <c r="Z11" s="70">
        <f t="shared" si="51"/>
        <v>-1.8505374384056883</v>
      </c>
      <c r="AA11" s="70">
        <f t="shared" si="52"/>
        <v>4.9699229978053667</v>
      </c>
      <c r="AB11" s="70">
        <f t="shared" si="53"/>
        <v>0.27974111161079174</v>
      </c>
      <c r="AC11" s="70">
        <f t="shared" si="54"/>
        <v>2.0952850227773108</v>
      </c>
      <c r="AD11" s="70">
        <f t="shared" si="55"/>
        <v>1.1186845860540024</v>
      </c>
      <c r="AE11" s="2">
        <f t="shared" si="56"/>
        <v>130.40829450091391</v>
      </c>
      <c r="AF11" s="2">
        <f t="shared" si="57"/>
        <v>28.994873565042873</v>
      </c>
      <c r="AG11" s="2">
        <f t="shared" si="58"/>
        <v>80.676772317375452</v>
      </c>
      <c r="AH11" s="2"/>
      <c r="AI11" s="112" t="str">
        <f t="shared" si="59"/>
        <v>+</v>
      </c>
      <c r="AJ11" s="113">
        <f t="shared" si="60"/>
        <v>0.5</v>
      </c>
      <c r="AK11" s="55">
        <f t="shared" si="61"/>
        <v>4.9699229978053667</v>
      </c>
      <c r="AL11" s="55">
        <f t="shared" si="62"/>
        <v>16.027985051596477</v>
      </c>
      <c r="AM11" s="12">
        <f t="shared" si="63"/>
        <v>130.40829450091391</v>
      </c>
      <c r="AN11" s="55">
        <f t="shared" si="64"/>
        <v>1.8121795978151796</v>
      </c>
      <c r="AO11" s="32">
        <f t="shared" si="65"/>
        <v>80.676772317375452</v>
      </c>
      <c r="AQ11" s="116" t="s">
        <v>159</v>
      </c>
      <c r="AR11" s="117">
        <f>IF($AV$12&gt;1,AX11*$AV$12,AX11)+SIGN(AX11)*AW12</f>
        <v>20</v>
      </c>
      <c r="AS11" s="118">
        <f t="shared" ref="AS11:AS12" si="70">IF($AV$12&lt;1,AY11/$AV$12,AY11)+SIGN(AY11)</f>
        <v>9.9999999999999982</v>
      </c>
      <c r="AT11" s="117" t="s">
        <v>160</v>
      </c>
      <c r="AU11" s="117"/>
      <c r="AV11" s="117">
        <f>AX11-AX12</f>
        <v>36</v>
      </c>
      <c r="AW11" s="117">
        <f>AY11-AY12</f>
        <v>17.999999999999996</v>
      </c>
      <c r="AX11" s="117">
        <f>MAX(AR4:AR10,AT4:AT10,AV4:AV10,AX4:AX10)</f>
        <v>18</v>
      </c>
      <c r="AY11" s="118">
        <f>MAX(AS4:AS10,AU4:AU10,AW4:AW10,AY4:AY10)</f>
        <v>8.9999999999999982</v>
      </c>
    </row>
    <row r="12" ht="13.5" customHeight="1">
      <c r="F12" s="72"/>
      <c r="G12" s="72"/>
      <c r="H12" s="72"/>
      <c r="I12" s="72"/>
      <c r="M12" s="73" t="s">
        <v>138</v>
      </c>
      <c r="N12" s="72">
        <f>$N$20*C5</f>
        <v>0</v>
      </c>
      <c r="P12" s="73" t="s">
        <v>128</v>
      </c>
      <c r="Q12" s="70">
        <f>Q$9*(-(AS$4-AW$6)*SIN(N$16)-(AR$4-AV$6)*COS(N$16)+(AR$4-AR$6))+Q$10*((AR$4-AT$6)*COS(N$15)+(AS$4-AU$6)*SIN(N$15)-(AR$4-AR$6))</f>
        <v>-357.21239031346067</v>
      </c>
      <c r="S12" s="103">
        <v>0.40000000000000002</v>
      </c>
      <c r="T12" s="70">
        <f t="shared" si="45"/>
        <v>-1.8356479310474916</v>
      </c>
      <c r="U12" s="70">
        <f t="shared" si="46"/>
        <v>9.1585402423918474</v>
      </c>
      <c r="V12" s="70">
        <f t="shared" si="47"/>
        <v>-3.1024619059173668</v>
      </c>
      <c r="W12" s="70">
        <f t="shared" si="48"/>
        <v>0.97945534932034517</v>
      </c>
      <c r="X12" s="70">
        <f t="shared" si="49"/>
        <v>1.1427134609107139</v>
      </c>
      <c r="Y12" s="70">
        <f t="shared" si="50"/>
        <v>-1.7959499282971352</v>
      </c>
      <c r="Z12" s="70">
        <f t="shared" si="51"/>
        <v>-1.7959499282971352</v>
      </c>
      <c r="AA12" s="70">
        <f t="shared" si="52"/>
        <v>4.0186096080921834</v>
      </c>
      <c r="AB12" s="70">
        <f t="shared" si="53"/>
        <v>0.22515360150223865</v>
      </c>
      <c r="AC12" s="70">
        <f t="shared" si="54"/>
        <v>2.0063657909147752</v>
      </c>
      <c r="AD12" s="70">
        <f t="shared" si="55"/>
        <v>1.1749248654253743</v>
      </c>
      <c r="AE12" s="2">
        <f t="shared" si="56"/>
        <v>105.44630681153485</v>
      </c>
      <c r="AF12" s="2">
        <f t="shared" si="57"/>
        <v>22.857002050702892</v>
      </c>
      <c r="AG12" s="2">
        <f t="shared" si="58"/>
        <v>66.614587818322875</v>
      </c>
      <c r="AH12" s="2"/>
      <c r="AI12" s="112" t="str">
        <f t="shared" si="59"/>
        <v>+</v>
      </c>
      <c r="AJ12" s="113">
        <f t="shared" si="60"/>
        <v>0.40000000000000002</v>
      </c>
      <c r="AK12" s="55">
        <f t="shared" si="61"/>
        <v>4.0186096080921834</v>
      </c>
      <c r="AL12" s="55">
        <f t="shared" si="62"/>
        <v>12.900351108248666</v>
      </c>
      <c r="AM12" s="12">
        <f t="shared" si="63"/>
        <v>105.44630681153485</v>
      </c>
      <c r="AN12" s="55">
        <f t="shared" si="64"/>
        <v>1.4285626281689308</v>
      </c>
      <c r="AO12" s="32">
        <f t="shared" si="65"/>
        <v>66.614587818322875</v>
      </c>
      <c r="AQ12" s="119" t="s">
        <v>161</v>
      </c>
      <c r="AR12" s="120">
        <f>IF($AV$12&gt;1,AX12*$AV$12,AX12)+SIGN(AX12)*AW12</f>
        <v>-20</v>
      </c>
      <c r="AS12" s="121">
        <f t="shared" si="70"/>
        <v>-9.9999999999999982</v>
      </c>
      <c r="AT12" s="120"/>
      <c r="AU12" s="120"/>
      <c r="AV12" s="120">
        <f>$AW$12/($AV$11/$AW$11)</f>
        <v>0.99999999999999978</v>
      </c>
      <c r="AW12" s="120">
        <v>2</v>
      </c>
      <c r="AX12" s="120">
        <f>MIN(AR5:AR10,AT5:AT10,AV5:AV10,AX5:AX10)</f>
        <v>-18</v>
      </c>
      <c r="AY12" s="121">
        <f>MIN(AS5:AS10,AU5:AU10,AW5:AW10,AY5:AY10)</f>
        <v>-8.9999999999999982</v>
      </c>
    </row>
    <row r="13" ht="13.5" customHeight="1">
      <c r="B13" s="122" t="s">
        <v>162</v>
      </c>
      <c r="C13" s="123">
        <f>N7-90</f>
        <v>0</v>
      </c>
      <c r="D13" s="123" t="s">
        <v>135</v>
      </c>
      <c r="E13" s="124"/>
      <c r="F13" s="72"/>
      <c r="G13" s="72"/>
      <c r="H13" s="72"/>
      <c r="I13" s="72"/>
      <c r="K13" s="73" t="s">
        <v>163</v>
      </c>
      <c r="M13" s="73" t="s">
        <v>155</v>
      </c>
      <c r="N13" s="125">
        <f>$N$20*RADIANS(C10)</f>
        <v>-0.52359877559829882</v>
      </c>
      <c r="P13" s="73" t="s">
        <v>164</v>
      </c>
      <c r="Q13" s="125">
        <f>IF(AS$6-AS$4&gt;=0,ACOS((AR$6-AR$4)/SQRT((AR$6-AR$4)^2+(AS$6-AS$4)^2)),-ACOS((AR$6-AR$4)/SQRT((AR$6-AR$4)^2+(AS$6-AS$4)^2)))</f>
        <v>-2.677945044588987</v>
      </c>
      <c r="S13" s="103">
        <v>0.29999999999999999</v>
      </c>
      <c r="T13" s="70">
        <f t="shared" si="45"/>
        <v>-1.748381468447775</v>
      </c>
      <c r="U13" s="70">
        <f t="shared" si="46"/>
        <v>9.4321396225697356</v>
      </c>
      <c r="V13" s="70">
        <f t="shared" si="47"/>
        <v>-3.1639941518730956</v>
      </c>
      <c r="W13" s="70">
        <f t="shared" si="48"/>
        <v>1.526654109676123</v>
      </c>
      <c r="X13" s="70">
        <f t="shared" si="49"/>
        <v>1.0930818694340436</v>
      </c>
      <c r="Y13" s="70">
        <f t="shared" si="50"/>
        <v>-1.740387299603372</v>
      </c>
      <c r="Z13" s="70">
        <f t="shared" si="51"/>
        <v>-1.740387299603372</v>
      </c>
      <c r="AA13" s="70">
        <f t="shared" si="52"/>
        <v>3.0380256712195344</v>
      </c>
      <c r="AB13" s="70">
        <f t="shared" si="53"/>
        <v>0.16959097280847549</v>
      </c>
      <c r="AC13" s="70">
        <f t="shared" si="54"/>
        <v>1.9184120622629086</v>
      </c>
      <c r="AD13" s="70">
        <f t="shared" si="55"/>
        <v>1.2311747601712875</v>
      </c>
      <c r="AE13" s="2">
        <f t="shared" si="56"/>
        <v>79.71627459996499</v>
      </c>
      <c r="AF13" s="2">
        <f t="shared" si="57"/>
        <v>16.909088517606889</v>
      </c>
      <c r="AG13" s="2">
        <f t="shared" si="58"/>
        <v>51.103982890117706</v>
      </c>
      <c r="AH13" s="2"/>
      <c r="AI13" s="112" t="str">
        <f t="shared" si="59"/>
        <v>+</v>
      </c>
      <c r="AJ13" s="113">
        <f t="shared" si="60"/>
        <v>0.29999999999999999</v>
      </c>
      <c r="AK13" s="55">
        <f t="shared" si="61"/>
        <v>3.0380256712195344</v>
      </c>
      <c r="AL13" s="55">
        <f t="shared" si="62"/>
        <v>9.7168469854435511</v>
      </c>
      <c r="AM13" s="12">
        <f t="shared" si="63"/>
        <v>79.71627459996499</v>
      </c>
      <c r="AN13" s="55">
        <f t="shared" si="64"/>
        <v>1.0568180323504306</v>
      </c>
      <c r="AO13" s="32">
        <f t="shared" si="65"/>
        <v>51.103982890117706</v>
      </c>
      <c r="AQ13" s="76" t="s">
        <v>165</v>
      </c>
    </row>
    <row r="14" ht="13.5" customHeight="1">
      <c r="B14" s="91" t="s">
        <v>166</v>
      </c>
      <c r="C14" s="92">
        <f>N8-20</f>
        <v>0</v>
      </c>
      <c r="D14" s="92" t="s">
        <v>135</v>
      </c>
      <c r="E14" s="93"/>
      <c r="F14" s="72"/>
      <c r="G14" s="72"/>
      <c r="H14" s="72"/>
      <c r="I14" s="72"/>
      <c r="K14" s="72">
        <f>IF($K$5&gt;0,0,-1)</f>
        <v>0</v>
      </c>
      <c r="M14" s="73" t="s">
        <v>158</v>
      </c>
      <c r="N14" s="125">
        <f>-$N$20*RADIANS(C11)</f>
        <v>0.52359877559829882</v>
      </c>
      <c r="P14" s="73" t="s">
        <v>167</v>
      </c>
      <c r="Q14" s="125">
        <f>IF(AS$9-AS$4&gt;=0,ACOS((AR$9-AR$4)/SQRT((AR$9-AR$4)^2+(AS$9-AS$4)^2)),-ACOS((AR$9-AR$4)/SQRT((AR$9-AR$4)^2+(AS$9-AS$4)^2)))</f>
        <v>3.1415926535897931</v>
      </c>
      <c r="S14" s="103">
        <v>0.20000000000000001</v>
      </c>
      <c r="T14" s="70">
        <f t="shared" si="45"/>
        <v>-1.6611150058480586</v>
      </c>
      <c r="U14" s="70">
        <f t="shared" si="46"/>
        <v>9.7100607631033391</v>
      </c>
      <c r="V14" s="70">
        <f t="shared" si="47"/>
        <v>-3.2014464918611671</v>
      </c>
      <c r="W14" s="70">
        <f t="shared" si="48"/>
        <v>2.0824963907433314</v>
      </c>
      <c r="X14" s="70">
        <f t="shared" si="49"/>
        <v>1.0471975511965972</v>
      </c>
      <c r="Y14" s="70">
        <f t="shared" si="50"/>
        <v>-1.6841588774482852</v>
      </c>
      <c r="Z14" s="70">
        <f t="shared" si="51"/>
        <v>-1.6841588774482852</v>
      </c>
      <c r="AA14" s="70">
        <f t="shared" si="52"/>
        <v>2.0361582296706366</v>
      </c>
      <c r="AB14" s="70">
        <f t="shared" si="53"/>
        <v>0.11336255065338863</v>
      </c>
      <c r="AC14" s="70">
        <f t="shared" si="54"/>
        <v>1.8313582301512072</v>
      </c>
      <c r="AD14" s="70">
        <f t="shared" si="55"/>
        <v>1.2871905518383593</v>
      </c>
      <c r="AE14" s="2">
        <f t="shared" si="56"/>
        <v>53.427773867442674</v>
      </c>
      <c r="AF14" s="2">
        <f t="shared" si="57"/>
        <v>11.13017503010057</v>
      </c>
      <c r="AG14" s="2">
        <f t="shared" si="58"/>
        <v>34.570801801803846</v>
      </c>
      <c r="AH14" s="2"/>
      <c r="AI14" s="112" t="str">
        <f t="shared" si="59"/>
        <v>+</v>
      </c>
      <c r="AJ14" s="113">
        <f t="shared" si="60"/>
        <v>0.20000000000000001</v>
      </c>
      <c r="AK14" s="55">
        <f t="shared" si="61"/>
        <v>2.0361582296706366</v>
      </c>
      <c r="AL14" s="55">
        <f t="shared" si="62"/>
        <v>6.4951957072771815</v>
      </c>
      <c r="AM14" s="12">
        <f t="shared" si="63"/>
        <v>53.427773867442674</v>
      </c>
      <c r="AN14" s="55">
        <f t="shared" si="64"/>
        <v>0.69563593938128565</v>
      </c>
      <c r="AO14" s="32">
        <f t="shared" si="65"/>
        <v>34.570801801803846</v>
      </c>
      <c r="AQ14" s="83" t="s">
        <v>108</v>
      </c>
      <c r="AR14" s="126" t="s">
        <v>168</v>
      </c>
      <c r="AS14" s="127" t="s">
        <v>169</v>
      </c>
    </row>
    <row r="15" ht="13.5" customHeight="1">
      <c r="B15" s="109" t="s">
        <v>170</v>
      </c>
      <c r="C15" s="110"/>
      <c r="D15" s="110"/>
      <c r="E15" s="111"/>
      <c r="F15" s="72"/>
      <c r="G15" s="72"/>
      <c r="H15" s="72"/>
      <c r="I15" s="72"/>
      <c r="M15" s="73" t="s">
        <v>149</v>
      </c>
      <c r="N15" s="125">
        <f>$N$20*$N$22*RADIANS(C8)</f>
        <v>-0.87266462599716477</v>
      </c>
      <c r="P15" s="73" t="s">
        <v>171</v>
      </c>
      <c r="Q15" s="125">
        <f>IF(Q$11=0,PI()/2,ATAN(Q$12/Q$11))</f>
        <v>-1.4865820806486256</v>
      </c>
      <c r="S15" s="103">
        <v>0.10000000000000001</v>
      </c>
      <c r="T15" s="70">
        <f t="shared" si="45"/>
        <v>-1.5738485432483422</v>
      </c>
      <c r="U15" s="70">
        <f t="shared" si="46"/>
        <v>9.9901885162998241</v>
      </c>
      <c r="V15" s="70">
        <f t="shared" si="47"/>
        <v>-3.214533890959931</v>
      </c>
      <c r="W15" s="70">
        <f t="shared" si="48"/>
        <v>2.6427518971363</v>
      </c>
      <c r="X15" s="70">
        <f t="shared" si="49"/>
        <v>1.0049294224352918</v>
      </c>
      <c r="Y15" s="70">
        <f t="shared" si="50"/>
        <v>-1.6275431903191431</v>
      </c>
      <c r="Z15" s="70">
        <f t="shared" si="51"/>
        <v>-1.6275431903191431</v>
      </c>
      <c r="AA15" s="70">
        <f t="shared" si="52"/>
        <v>1.0208954218374147</v>
      </c>
      <c r="AB15" s="70">
        <f t="shared" si="53"/>
        <v>5.6746863524246516e-002</v>
      </c>
      <c r="AC15" s="70">
        <f t="shared" si="54"/>
        <v>1.7451582225784044</v>
      </c>
      <c r="AD15" s="70">
        <f t="shared" si="55"/>
        <v>1.3427397839405877</v>
      </c>
      <c r="AE15" s="2">
        <f t="shared" si="56"/>
        <v>26.787785421302839</v>
      </c>
      <c r="AF15" s="2">
        <f t="shared" si="57"/>
        <v>5.4999642457889708</v>
      </c>
      <c r="AG15" s="2">
        <f t="shared" si="58"/>
        <v>17.411831174613333</v>
      </c>
      <c r="AH15" s="2"/>
      <c r="AI15" s="112" t="str">
        <f t="shared" si="59"/>
        <v>+</v>
      </c>
      <c r="AJ15" s="113">
        <f t="shared" si="60"/>
        <v>0.10000000000000001</v>
      </c>
      <c r="AK15" s="55">
        <f t="shared" si="61"/>
        <v>1.0208954218374147</v>
      </c>
      <c r="AL15" s="55">
        <f t="shared" si="62"/>
        <v>3.2513557805442019</v>
      </c>
      <c r="AM15" s="12">
        <f t="shared" si="63"/>
        <v>26.787785421302839</v>
      </c>
      <c r="AN15" s="55">
        <f t="shared" si="64"/>
        <v>0.34374776536181068</v>
      </c>
      <c r="AO15" s="32">
        <f t="shared" si="65"/>
        <v>17.411831174613333</v>
      </c>
      <c r="AQ15" s="128"/>
      <c r="AR15" s="129" t="s">
        <v>135</v>
      </c>
      <c r="AS15" s="130" t="s">
        <v>172</v>
      </c>
    </row>
    <row r="16" ht="13.5" customHeight="1">
      <c r="B16" s="122" t="s">
        <v>173</v>
      </c>
      <c r="C16" s="131">
        <v>70</v>
      </c>
      <c r="D16" s="123" t="s">
        <v>174</v>
      </c>
      <c r="E16" s="124"/>
      <c r="F16" s="72"/>
      <c r="G16" s="72"/>
      <c r="H16" s="72"/>
      <c r="I16" s="72"/>
      <c r="K16" s="73" t="s">
        <v>175</v>
      </c>
      <c r="M16" s="73" t="s">
        <v>152</v>
      </c>
      <c r="N16" s="125">
        <f>-$N$20*$N$22*RADIANS(C9)</f>
        <v>0.87266462599716477</v>
      </c>
      <c r="P16" s="73" t="s">
        <v>176</v>
      </c>
      <c r="Q16" s="125">
        <f>SQRT(N$12^2+C$6^2)</f>
        <v>5</v>
      </c>
      <c r="S16" s="103">
        <v>0</v>
      </c>
      <c r="T16" s="70">
        <f t="shared" si="45"/>
        <v>-1.4865820806486256</v>
      </c>
      <c r="U16" s="70">
        <f t="shared" si="46"/>
        <v>10.270390940811604</v>
      </c>
      <c r="V16" s="70">
        <f t="shared" si="47"/>
        <v>-3.2031567461598578</v>
      </c>
      <c r="W16" s="70">
        <f t="shared" si="48"/>
        <v>3.2031567461598582</v>
      </c>
      <c r="X16" s="70">
        <f t="shared" si="49"/>
        <v>0.96615163837516083</v>
      </c>
      <c r="Y16" s="70">
        <f t="shared" si="50"/>
        <v>-1.5707963267948966</v>
      </c>
      <c r="Z16" s="70">
        <f t="shared" si="51"/>
        <v>-1.5707963267948966</v>
      </c>
      <c r="AA16" s="70">
        <f t="shared" si="52"/>
        <v>0</v>
      </c>
      <c r="AB16" s="70">
        <f t="shared" si="53"/>
        <v>0</v>
      </c>
      <c r="AC16" s="70">
        <f t="shared" si="54"/>
        <v>1.6597828564017978</v>
      </c>
      <c r="AD16" s="70">
        <f t="shared" si="55"/>
        <v>1.3975955510417246</v>
      </c>
      <c r="AE16" s="2">
        <f t="shared" si="56"/>
        <v>0</v>
      </c>
      <c r="AF16" s="2">
        <f t="shared" si="57"/>
        <v>0</v>
      </c>
      <c r="AG16" s="2">
        <f t="shared" si="58"/>
        <v>0</v>
      </c>
      <c r="AH16" s="2"/>
      <c r="AI16" s="112" t="str">
        <f t="shared" si="59"/>
        <v/>
      </c>
      <c r="AJ16" s="113">
        <f t="shared" si="60"/>
        <v>0</v>
      </c>
      <c r="AK16" s="55">
        <f t="shared" si="61"/>
        <v>0</v>
      </c>
      <c r="AL16" s="55">
        <f t="shared" si="62"/>
        <v>0</v>
      </c>
      <c r="AM16" s="12">
        <f t="shared" si="63"/>
        <v>0</v>
      </c>
      <c r="AN16" s="55">
        <f t="shared" si="64"/>
        <v>0</v>
      </c>
      <c r="AO16" s="32">
        <f t="shared" si="65"/>
        <v>0</v>
      </c>
      <c r="AQ16" s="132">
        <v>0</v>
      </c>
      <c r="AR16" s="133">
        <f t="shared" ref="AR16:AR26" ca="1" si="71">SIGN($AC$6-$AC$26)*(ABS(OFFSET($AL$16,-AQ16*10,0))-ABS(OFFSET($AL$16,AQ16*10,0)))</f>
        <v>0</v>
      </c>
      <c r="AS16" s="134">
        <f t="shared" ref="AS16:AS26" ca="1" si="72">RADIANS(AR16)*$Q$16*10*MAX(ABS(SIN(OFFSET($AC$16,AQ16*10,0))),ABS(SIN(OFFSET($AC$16,-AQ16*10,0))))</f>
        <v>0</v>
      </c>
    </row>
    <row r="17" ht="13.5" customHeight="1">
      <c r="B17" s="91" t="s">
        <v>177</v>
      </c>
      <c r="C17" s="114">
        <v>18</v>
      </c>
      <c r="D17" s="92" t="s">
        <v>107</v>
      </c>
      <c r="E17" s="93"/>
      <c r="F17" s="72"/>
      <c r="G17" s="72"/>
      <c r="H17" s="72" t="s">
        <v>178</v>
      </c>
      <c r="I17" s="72"/>
      <c r="K17" s="72">
        <v>1</v>
      </c>
      <c r="M17" s="73" t="s">
        <v>162</v>
      </c>
      <c r="N17" s="72">
        <f>RADIANS($N$20*C$13)</f>
        <v>0</v>
      </c>
      <c r="P17" s="73" t="s">
        <v>179</v>
      </c>
      <c r="Q17" s="125">
        <f>IF(N$12=0,SIGN(C$6)*PI()/2,IF(SIGN(N$12)&gt;0,ATAN(C$6/N$12),ATAN(C$6/N$12)+PI()))+N$17</f>
        <v>-1.5707963267948966</v>
      </c>
      <c r="S17" s="103">
        <v>-0.10000000000000001</v>
      </c>
      <c r="T17" s="70">
        <f t="shared" si="45"/>
        <v>-1.399315618048909</v>
      </c>
      <c r="U17" s="70">
        <f t="shared" si="46"/>
        <v>10.548535526997295</v>
      </c>
      <c r="V17" s="70">
        <f t="shared" si="47"/>
        <v>-3.1674016444025841</v>
      </c>
      <c r="W17" s="70">
        <f t="shared" si="48"/>
        <v>3.759445918531243</v>
      </c>
      <c r="X17" s="70">
        <f t="shared" si="49"/>
        <v>0.93075111883652262</v>
      </c>
      <c r="Y17" s="70">
        <f t="shared" si="50"/>
        <v>-1.5141588458086768</v>
      </c>
      <c r="Z17" s="70">
        <f t="shared" si="51"/>
        <v>-1.5141588458086768</v>
      </c>
      <c r="AA17" s="70">
        <f t="shared" si="52"/>
        <v>-1.0189296993082313</v>
      </c>
      <c r="AB17" s="70">
        <f t="shared" si="53"/>
        <v>-5.6637480986219783e-002</v>
      </c>
      <c r="AC17" s="70">
        <f t="shared" si="54"/>
        <v>1.5752177831439564</v>
      </c>
      <c r="AD17" s="70">
        <f t="shared" si="55"/>
        <v>1.4515316426860689</v>
      </c>
      <c r="AE17" s="2">
        <f t="shared" si="56"/>
        <v>26.736205844998327</v>
      </c>
      <c r="AF17" s="2">
        <f t="shared" si="57"/>
        <v>5.385497623666013</v>
      </c>
      <c r="AG17" s="2">
        <f t="shared" si="58"/>
        <v>17.311776052431295</v>
      </c>
      <c r="AH17" s="2"/>
      <c r="AI17" s="112" t="str">
        <f t="shared" si="59"/>
        <v>-</v>
      </c>
      <c r="AJ17" s="113">
        <f t="shared" si="60"/>
        <v>0.10000000000000001</v>
      </c>
      <c r="AK17" s="55">
        <f t="shared" si="61"/>
        <v>1.0189296993082313</v>
      </c>
      <c r="AL17" s="55">
        <f t="shared" si="62"/>
        <v>3.2450886227628413</v>
      </c>
      <c r="AM17" s="12">
        <f t="shared" si="63"/>
        <v>26.736205844998327</v>
      </c>
      <c r="AN17" s="55">
        <f t="shared" si="64"/>
        <v>0.33659360147912581</v>
      </c>
      <c r="AO17" s="32">
        <f t="shared" si="65"/>
        <v>17.311776052431295</v>
      </c>
      <c r="AQ17" s="112">
        <v>0.10000000000000001</v>
      </c>
      <c r="AR17" s="135">
        <f t="shared" ca="1" si="71"/>
        <v>6.267157781360666e-003</v>
      </c>
      <c r="AS17" s="136">
        <f t="shared" ca="1" si="72"/>
        <v>5.4690734426871054e-003</v>
      </c>
    </row>
    <row r="18" ht="13.5" customHeight="1">
      <c r="B18" s="137" t="s">
        <v>180</v>
      </c>
      <c r="C18" s="138">
        <v>35</v>
      </c>
      <c r="D18" s="139" t="s">
        <v>107</v>
      </c>
      <c r="E18" s="140"/>
      <c r="F18" s="72"/>
      <c r="G18" s="73" t="s">
        <v>181</v>
      </c>
      <c r="H18" s="73" t="s">
        <v>182</v>
      </c>
      <c r="I18" s="73" t="s">
        <v>183</v>
      </c>
      <c r="M18" s="73" t="s">
        <v>166</v>
      </c>
      <c r="N18" s="72">
        <f>RADIANS($C$14)*$N$20</f>
        <v>0</v>
      </c>
      <c r="P18" s="73" t="s">
        <v>184</v>
      </c>
      <c r="Q18" s="125">
        <f>Q$17+N$13</f>
        <v>-2.0943951023931953</v>
      </c>
      <c r="S18" s="103">
        <v>-0.20000000000000001</v>
      </c>
      <c r="T18" s="70">
        <f t="shared" si="45"/>
        <v>-1.3120491554491927</v>
      </c>
      <c r="U18" s="70">
        <f t="shared" si="46"/>
        <v>10.822505426607727</v>
      </c>
      <c r="V18" s="70">
        <f t="shared" si="47"/>
        <v>-3.1075407036020035</v>
      </c>
      <c r="W18" s="70">
        <f t="shared" si="48"/>
        <v>4.3073857177521049</v>
      </c>
      <c r="X18" s="70">
        <f t="shared" si="49"/>
        <v>0.89863268220217829</v>
      </c>
      <c r="Y18" s="70">
        <f t="shared" si="50"/>
        <v>-1.4578615126202557</v>
      </c>
      <c r="Z18" s="70">
        <f t="shared" si="51"/>
        <v>-1.4578615126202557</v>
      </c>
      <c r="AA18" s="70">
        <f t="shared" si="52"/>
        <v>-2.0285082058971722</v>
      </c>
      <c r="AB18" s="70">
        <f t="shared" si="53"/>
        <v>-0.11293481417464091</v>
      </c>
      <c r="AC18" s="70">
        <f t="shared" si="54"/>
        <v>1.4914618969146545</v>
      </c>
      <c r="AD18" s="70">
        <f t="shared" si="55"/>
        <v>1.5043183995040756</v>
      </c>
      <c r="AE18" s="2">
        <f t="shared" si="56"/>
        <v>53.22704106863884</v>
      </c>
      <c r="AF18" s="2">
        <f t="shared" si="57"/>
        <v>10.668974311103103</v>
      </c>
      <c r="AG18" s="2">
        <f t="shared" si="58"/>
        <v>34.188067358107268</v>
      </c>
      <c r="AH18" s="2"/>
      <c r="AI18" s="112" t="str">
        <f t="shared" si="59"/>
        <v>-</v>
      </c>
      <c r="AJ18" s="113">
        <f t="shared" si="60"/>
        <v>0.20000000000000001</v>
      </c>
      <c r="AK18" s="55">
        <f t="shared" si="61"/>
        <v>2.0285082058971722</v>
      </c>
      <c r="AL18" s="55">
        <f t="shared" si="62"/>
        <v>6.47068821230115</v>
      </c>
      <c r="AM18" s="12">
        <f t="shared" si="63"/>
        <v>53.22704106863884</v>
      </c>
      <c r="AN18" s="55">
        <f t="shared" si="64"/>
        <v>0.66681089444394392</v>
      </c>
      <c r="AO18" s="32">
        <f t="shared" si="65"/>
        <v>34.188067358107268</v>
      </c>
      <c r="AQ18" s="112">
        <v>0.20000000000000001</v>
      </c>
      <c r="AR18" s="135">
        <f t="shared" ca="1" si="71"/>
        <v>2.4507494976031552e-002</v>
      </c>
      <c r="AS18" s="136">
        <f t="shared" ca="1" si="72"/>
        <v>2.1319555411435331e-002</v>
      </c>
    </row>
    <row r="19" ht="13.5" customHeight="1">
      <c r="F19" s="72"/>
      <c r="G19" s="72"/>
      <c r="H19" s="72"/>
      <c r="I19" s="72"/>
      <c r="M19" s="73" t="s">
        <v>185</v>
      </c>
      <c r="N19" s="94" t="b">
        <v>1</v>
      </c>
      <c r="P19" s="73" t="s">
        <v>186</v>
      </c>
      <c r="Q19" s="125">
        <f>Q$17+N$14</f>
        <v>-1.0471975511965979</v>
      </c>
      <c r="S19" s="103">
        <v>-0.29999999999999999</v>
      </c>
      <c r="T19" s="70">
        <f t="shared" si="45"/>
        <v>-1.2247826928494763</v>
      </c>
      <c r="U19" s="70">
        <f t="shared" si="46"/>
        <v>11.090215563279319</v>
      </c>
      <c r="V19" s="70">
        <f t="shared" si="47"/>
        <v>-3.0240295016626324</v>
      </c>
      <c r="W19" s="70">
        <f t="shared" si="48"/>
        <v>4.8428059910952879</v>
      </c>
      <c r="X19" s="70">
        <f t="shared" si="49"/>
        <v>0.86972243713639352</v>
      </c>
      <c r="Y19" s="70">
        <f t="shared" si="50"/>
        <v>-1.4021300612062744</v>
      </c>
      <c r="Z19" s="70">
        <f t="shared" si="51"/>
        <v>-1.4021300612062744</v>
      </c>
      <c r="AA19" s="70">
        <f t="shared" si="52"/>
        <v>-3.0216184319336739</v>
      </c>
      <c r="AB19" s="70">
        <f t="shared" si="53"/>
        <v>-0.16866626558862219</v>
      </c>
      <c r="AC19" s="70">
        <f t="shared" si="54"/>
        <v>1.4085260837170992</v>
      </c>
      <c r="AD19" s="70">
        <f t="shared" si="55"/>
        <v>1.555719201515896</v>
      </c>
      <c r="AE19" s="2">
        <f t="shared" si="56"/>
        <v>79.285756844723636</v>
      </c>
      <c r="AF19" s="2">
        <f t="shared" si="57"/>
        <v>15.858953861169146</v>
      </c>
      <c r="AG19" s="2">
        <f t="shared" si="58"/>
        <v>50.309668456155954</v>
      </c>
      <c r="AH19" s="2"/>
      <c r="AI19" s="112" t="str">
        <f t="shared" si="59"/>
        <v>-</v>
      </c>
      <c r="AJ19" s="113">
        <f t="shared" si="60"/>
        <v>0.29999999999999999</v>
      </c>
      <c r="AK19" s="55">
        <f t="shared" si="61"/>
        <v>3.0216184319336739</v>
      </c>
      <c r="AL19" s="55">
        <f t="shared" si="62"/>
        <v>9.663865164460681</v>
      </c>
      <c r="AM19" s="12">
        <f t="shared" si="63"/>
        <v>79.285756844723636</v>
      </c>
      <c r="AN19" s="55">
        <f t="shared" si="64"/>
        <v>0.99118461632307164</v>
      </c>
      <c r="AO19" s="32">
        <f t="shared" si="65"/>
        <v>50.309668456155954</v>
      </c>
      <c r="AQ19" s="112">
        <v>0.29999999999999999</v>
      </c>
      <c r="AR19" s="135">
        <f t="shared" ca="1" si="71"/>
        <v>5.2981820982870076e-002</v>
      </c>
      <c r="AS19" s="136">
        <f t="shared" ca="1" si="72"/>
        <v>4.5627969299808196e-002</v>
      </c>
    </row>
    <row r="20" ht="13.5" customHeight="1">
      <c r="B20" s="141" t="s">
        <v>108</v>
      </c>
      <c r="C20" s="142">
        <f>N9-100</f>
        <v>-30</v>
      </c>
      <c r="D20" s="143" t="s">
        <v>187</v>
      </c>
      <c r="E20" s="144"/>
      <c r="F20" s="72"/>
      <c r="M20" s="73" t="s">
        <v>185</v>
      </c>
      <c r="N20" s="72">
        <f>IF(N$19,-1,1)</f>
        <v>-1</v>
      </c>
      <c r="P20" s="73" t="s">
        <v>188</v>
      </c>
      <c r="Q20" s="70">
        <f>Q10/(2*(($AR$4-$AV$6)*COS(Q23)-($AR$4-$AR$6)*COS($Q$21)+($AS$4-$AW$6)*SIN(Q23)-($AS$4-$AS$6)*SIN($Q$21)))</f>
        <v>3.2145488643575466</v>
      </c>
      <c r="S20" s="103">
        <v>-0.40000000000000002</v>
      </c>
      <c r="T20" s="70">
        <f t="shared" si="45"/>
        <v>-1.1375162302497597</v>
      </c>
      <c r="U20" s="70">
        <f t="shared" si="46"/>
        <v>11.349628501224201</v>
      </c>
      <c r="V20" s="70">
        <f t="shared" si="47"/>
        <v>-2.9175036092566722</v>
      </c>
      <c r="W20" s="70">
        <f t="shared" si="48"/>
        <v>5.3616318669850518</v>
      </c>
      <c r="X20" s="70">
        <f t="shared" si="49"/>
        <v>0.84396988060172828</v>
      </c>
      <c r="Y20" s="70">
        <f t="shared" si="50"/>
        <v>-1.3471891127768765</v>
      </c>
      <c r="Z20" s="70">
        <f t="shared" si="51"/>
        <v>-1.3471891127768765</v>
      </c>
      <c r="AA20" s="70">
        <f t="shared" si="52"/>
        <v>-3.9914723989140874</v>
      </c>
      <c r="AB20" s="70">
        <f t="shared" si="53"/>
        <v>-0.22360721401802008</v>
      </c>
      <c r="AC20" s="70">
        <f t="shared" si="54"/>
        <v>1.3264321975555173</v>
      </c>
      <c r="AD20" s="70">
        <f t="shared" si="55"/>
        <v>1.6054875735071596</v>
      </c>
      <c r="AE20" s="2">
        <f t="shared" si="56"/>
        <v>104.73424001130618</v>
      </c>
      <c r="AF20" s="2">
        <f t="shared" si="57"/>
        <v>20.959458909469763</v>
      </c>
      <c r="AG20" s="2">
        <f t="shared" si="58"/>
        <v>65.373579352518973</v>
      </c>
      <c r="AH20" s="2"/>
      <c r="AI20" s="112" t="str">
        <f t="shared" si="59"/>
        <v>-</v>
      </c>
      <c r="AJ20" s="113">
        <f t="shared" si="60"/>
        <v>0.40000000000000002</v>
      </c>
      <c r="AK20" s="55">
        <f t="shared" si="61"/>
        <v>3.9914723989140874</v>
      </c>
      <c r="AL20" s="55">
        <f t="shared" si="62"/>
        <v>12.81174963191109</v>
      </c>
      <c r="AM20" s="12">
        <f t="shared" si="63"/>
        <v>104.73424001130618</v>
      </c>
      <c r="AN20" s="55">
        <f t="shared" si="64"/>
        <v>1.3099661818418602</v>
      </c>
      <c r="AO20" s="32">
        <f t="shared" si="65"/>
        <v>65.373579352518973</v>
      </c>
      <c r="AQ20" s="112">
        <v>0.40000000000000002</v>
      </c>
      <c r="AR20" s="135">
        <f t="shared" ca="1" si="71"/>
        <v>8.8601476337576202e-002</v>
      </c>
      <c r="AS20" s="136">
        <f t="shared" ca="1" si="72"/>
        <v>7.5022321013272109e-002</v>
      </c>
    </row>
    <row r="21" ht="13.5" customHeight="1">
      <c r="B21" s="145" t="s">
        <v>110</v>
      </c>
      <c r="C21" s="146">
        <f>DEGREES(ASIN(SIN($N$20*($Z5-$Q$17+$N$17))))</f>
        <v>-9.663865164460681</v>
      </c>
      <c r="D21" s="147" t="s">
        <v>135</v>
      </c>
      <c r="E21" s="148"/>
      <c r="G21" s="72"/>
      <c r="H21" s="72"/>
      <c r="I21" s="72"/>
      <c r="M21" s="73" t="s">
        <v>170</v>
      </c>
      <c r="N21" s="94" t="b">
        <v>0</v>
      </c>
      <c r="P21" s="73" t="s">
        <v>189</v>
      </c>
      <c r="Q21" s="125">
        <f>IF(SIGN(ASIN(SIN($Q$14-$Q$13)))*N$22*SIGN(ASIN(SIN(Q$15-Q$13)))&gt;0,Q$15-SIGN(ASIN(SIN($Q$14-$Q$13)))*N$22*PI(),Q$15)</f>
        <v>-1.4865820806486256</v>
      </c>
      <c r="S21" s="103">
        <v>-0.5</v>
      </c>
      <c r="T21" s="70">
        <f t="shared" si="45"/>
        <v>-1.0502497676500433</v>
      </c>
      <c r="U21" s="70">
        <f t="shared" si="46"/>
        <v>11.598769951346796</v>
      </c>
      <c r="V21" s="70">
        <f t="shared" si="47"/>
        <v>-2.7887737527474243</v>
      </c>
      <c r="W21" s="70">
        <f t="shared" si="48"/>
        <v>5.8599147672302436</v>
      </c>
      <c r="X21" s="70">
        <f t="shared" si="49"/>
        <v>0.82134898352263574</v>
      </c>
      <c r="Y21" s="70">
        <f t="shared" si="50"/>
        <v>-1.293265311589336</v>
      </c>
      <c r="Z21" s="70">
        <f t="shared" si="51"/>
        <v>-1.293265311589336</v>
      </c>
      <c r="AA21" s="70">
        <f t="shared" si="52"/>
        <v>-4.9316755931142637</v>
      </c>
      <c r="AB21" s="70">
        <f t="shared" si="53"/>
        <v>-0.27753101520556062</v>
      </c>
      <c r="AC21" s="70">
        <f t="shared" si="54"/>
        <v>1.2452121503930502</v>
      </c>
      <c r="AD21" s="70">
        <f t="shared" si="55"/>
        <v>1.65336495925745</v>
      </c>
      <c r="AE21" s="2">
        <f t="shared" si="56"/>
        <v>129.40470172552176</v>
      </c>
      <c r="AF21" s="2">
        <f t="shared" si="57"/>
        <v>25.969414330858111</v>
      </c>
      <c r="AG21" s="2">
        <f t="shared" si="58"/>
        <v>79.094251298550134</v>
      </c>
      <c r="AH21" s="2"/>
      <c r="AI21" s="112" t="str">
        <f t="shared" si="59"/>
        <v>-</v>
      </c>
      <c r="AJ21" s="113">
        <f t="shared" si="60"/>
        <v>0.5</v>
      </c>
      <c r="AK21" s="55">
        <f t="shared" si="61"/>
        <v>4.9316755931142637</v>
      </c>
      <c r="AL21" s="55">
        <f t="shared" si="62"/>
        <v>15.901355855259698</v>
      </c>
      <c r="AM21" s="12">
        <f t="shared" si="63"/>
        <v>129.40470172552176</v>
      </c>
      <c r="AN21" s="55">
        <f t="shared" si="64"/>
        <v>1.6230883956786319</v>
      </c>
      <c r="AO21" s="32">
        <f t="shared" si="65"/>
        <v>79.094251298550134</v>
      </c>
      <c r="AQ21" s="112">
        <v>0.5</v>
      </c>
      <c r="AR21" s="135">
        <f t="shared" ca="1" si="71"/>
        <v>0.12662919633677916</v>
      </c>
      <c r="AS21" s="136">
        <f t="shared" ca="1" si="72"/>
        <v>0.10469934256809767</v>
      </c>
    </row>
    <row r="22" ht="13.5" customHeight="1">
      <c r="B22" s="149"/>
      <c r="C22" s="150"/>
      <c r="D22" s="150"/>
      <c r="E22" s="151"/>
      <c r="F22" s="72"/>
      <c r="G22" s="72"/>
      <c r="H22" s="72"/>
      <c r="I22" s="72"/>
      <c r="M22" s="73" t="s">
        <v>170</v>
      </c>
      <c r="N22" s="72">
        <f>IF(N$21,-1,1)</f>
        <v>1</v>
      </c>
      <c r="P22" s="73" t="s">
        <v>190</v>
      </c>
      <c r="Q22" s="125">
        <f t="shared" ref="Q22:Q23" si="73">Q$21+N15</f>
        <v>-2.3592467066457905</v>
      </c>
      <c r="S22" s="103">
        <v>-0.59999999999999998</v>
      </c>
      <c r="T22" s="70">
        <f t="shared" si="45"/>
        <v>-0.96298330505032681</v>
      </c>
      <c r="U22" s="70">
        <f t="shared" si="46"/>
        <v>11.835743796775953</v>
      </c>
      <c r="V22" s="70">
        <f t="shared" si="47"/>
        <v>-2.6388196440721372</v>
      </c>
      <c r="W22" s="70">
        <f t="shared" si="48"/>
        <v>6.333862458088559</v>
      </c>
      <c r="X22" s="70">
        <f t="shared" si="49"/>
        <v>0.80185840721819734</v>
      </c>
      <c r="Y22" s="70">
        <f t="shared" si="50"/>
        <v>-1.2405896738295195</v>
      </c>
      <c r="Z22" s="70">
        <f t="shared" si="51"/>
        <v>-1.2405896738295195</v>
      </c>
      <c r="AA22" s="70">
        <f t="shared" si="52"/>
        <v>-5.8362934307388832</v>
      </c>
      <c r="AB22" s="70">
        <f t="shared" si="53"/>
        <v>-0.3302066529653771</v>
      </c>
      <c r="AC22" s="70">
        <f t="shared" si="54"/>
        <v>1.1649070000227906</v>
      </c>
      <c r="AD22" s="70">
        <f t="shared" si="55"/>
        <v>1.6990792847878091</v>
      </c>
      <c r="AE22" s="2">
        <f t="shared" si="56"/>
        <v>153.14142147587293</v>
      </c>
      <c r="AF22" s="2">
        <f t="shared" si="57"/>
        <v>30.882041436839224</v>
      </c>
      <c r="AG22" s="2">
        <f t="shared" si="58"/>
        <v>91.206155993054423</v>
      </c>
      <c r="AH22" s="2"/>
      <c r="AI22" s="112" t="str">
        <f t="shared" si="59"/>
        <v>-</v>
      </c>
      <c r="AJ22" s="113">
        <f t="shared" si="60"/>
        <v>0.59999999999999998</v>
      </c>
      <c r="AK22" s="55">
        <f t="shared" si="61"/>
        <v>5.8362934307388832</v>
      </c>
      <c r="AL22" s="55">
        <f t="shared" si="62"/>
        <v>18.919447582057138</v>
      </c>
      <c r="AM22" s="12">
        <f t="shared" si="63"/>
        <v>153.14142147587293</v>
      </c>
      <c r="AN22" s="55">
        <f t="shared" si="64"/>
        <v>1.9301275898024515</v>
      </c>
      <c r="AO22" s="32">
        <f t="shared" si="65"/>
        <v>91.206155993054423</v>
      </c>
      <c r="AQ22" s="112">
        <v>0.59999999999999998</v>
      </c>
      <c r="AR22" s="135">
        <f t="shared" ca="1" si="71"/>
        <v>0.16023267078035985</v>
      </c>
      <c r="AS22" s="136">
        <f t="shared" ca="1" si="72"/>
        <v>0.12846847313985446</v>
      </c>
    </row>
    <row r="23" ht="13.5" customHeight="1">
      <c r="F23" s="72"/>
      <c r="G23" s="72"/>
      <c r="H23" s="72"/>
      <c r="I23" s="72"/>
      <c r="M23" s="73" t="s">
        <v>129</v>
      </c>
      <c r="N23" s="72">
        <f>$N$20*$C$17</f>
        <v>-18</v>
      </c>
      <c r="P23" s="73" t="s">
        <v>191</v>
      </c>
      <c r="Q23" s="125">
        <f t="shared" si="73"/>
        <v>-0.61391745465146086</v>
      </c>
      <c r="S23" s="103">
        <v>-0.69999999999999996</v>
      </c>
      <c r="T23" s="70">
        <f t="shared" si="45"/>
        <v>-0.87571684245061032</v>
      </c>
      <c r="U23" s="70">
        <f t="shared" si="46"/>
        <v>12.058746523459233</v>
      </c>
      <c r="V23" s="70">
        <f t="shared" si="47"/>
        <v>-2.4687825245425961</v>
      </c>
      <c r="W23" s="70">
        <f t="shared" si="48"/>
        <v>6.7798679114551179</v>
      </c>
      <c r="X23" s="70">
        <f t="shared" si="49"/>
        <v>0.78552088042849721</v>
      </c>
      <c r="Y23" s="70">
        <f t="shared" si="50"/>
        <v>-1.1893990845545255</v>
      </c>
      <c r="Z23" s="70">
        <f t="shared" si="51"/>
        <v>-1.1893990845545255</v>
      </c>
      <c r="AA23" s="70">
        <f t="shared" si="52"/>
        <v>-6.6999181747573138</v>
      </c>
      <c r="AB23" s="70">
        <f t="shared" si="53"/>
        <v>-0.38139724224037114</v>
      </c>
      <c r="AC23" s="70">
        <f t="shared" si="54"/>
        <v>1.0855659136466065</v>
      </c>
      <c r="AD23" s="70">
        <f t="shared" si="55"/>
        <v>1.742344497839271</v>
      </c>
      <c r="AE23" s="2">
        <f t="shared" si="56"/>
        <v>175.80250294654456</v>
      </c>
      <c r="AF23" s="2">
        <f t="shared" si="57"/>
        <v>35.68428658558328</v>
      </c>
      <c r="AG23" s="2">
        <f t="shared" si="58"/>
        <v>101.46775037538566</v>
      </c>
      <c r="AH23" s="2"/>
      <c r="AI23" s="112" t="str">
        <f t="shared" si="59"/>
        <v>-</v>
      </c>
      <c r="AJ23" s="113">
        <f t="shared" si="60"/>
        <v>0.69999999999999996</v>
      </c>
      <c r="AK23" s="55">
        <f t="shared" si="61"/>
        <v>6.6999181747573138</v>
      </c>
      <c r="AL23" s="55">
        <f t="shared" si="62"/>
        <v>21.852452298301952</v>
      </c>
      <c r="AM23" s="12">
        <f t="shared" si="63"/>
        <v>175.80250294654456</v>
      </c>
      <c r="AN23" s="55">
        <f t="shared" si="64"/>
        <v>2.230267911598955</v>
      </c>
      <c r="AO23" s="32">
        <f t="shared" si="65"/>
        <v>101.46775037538566</v>
      </c>
      <c r="AQ23" s="112">
        <v>0.69999999999999996</v>
      </c>
      <c r="AR23" s="135">
        <f t="shared" ca="1" si="71"/>
        <v>0.17986529911008731</v>
      </c>
      <c r="AS23" s="136">
        <f t="shared" ca="1" si="72"/>
        <v>0.13884355901791795</v>
      </c>
    </row>
    <row r="24" ht="13.5" customHeight="1">
      <c r="B24" s="76" t="s">
        <v>192</v>
      </c>
      <c r="F24" s="72"/>
      <c r="P24" s="73" t="s">
        <v>193</v>
      </c>
      <c r="Q24" s="70">
        <f>SQRT(($AR$5-$AR$6)^2+($AS$5-$AS$6)^2)</f>
        <v>10.426388433008617</v>
      </c>
      <c r="S24" s="103">
        <v>-0.80000000000000004</v>
      </c>
      <c r="T24" s="70">
        <f t="shared" si="45"/>
        <v>-0.78845037985089372</v>
      </c>
      <c r="U24" s="70">
        <f t="shared" si="46"/>
        <v>12.266080945993851</v>
      </c>
      <c r="V24" s="70">
        <f t="shared" si="47"/>
        <v>-2.2799564793096398</v>
      </c>
      <c r="W24" s="70">
        <f t="shared" si="48"/>
        <v>7.1945367565243528</v>
      </c>
      <c r="X24" s="70">
        <f t="shared" si="49"/>
        <v>0.77238167736020436</v>
      </c>
      <c r="Y24" s="70">
        <f t="shared" si="50"/>
        <v>-1.13993682541131</v>
      </c>
      <c r="Z24" s="70">
        <f t="shared" si="51"/>
        <v>-1.13993682541131</v>
      </c>
      <c r="AA24" s="70">
        <f t="shared" si="52"/>
        <v>-7.5177343021030394</v>
      </c>
      <c r="AB24" s="70">
        <f t="shared" si="53"/>
        <v>-0.43085950138358653</v>
      </c>
      <c r="AC24" s="70">
        <f t="shared" si="54"/>
        <v>1.007244878271401</v>
      </c>
      <c r="AD24" s="70">
        <f t="shared" si="55"/>
        <v>1.7828613297579754</v>
      </c>
      <c r="AE24" s="2">
        <f t="shared" si="56"/>
        <v>197.2615892200327</v>
      </c>
      <c r="AF24" s="2">
        <f t="shared" si="57"/>
        <v>40.356366664244227</v>
      </c>
      <c r="AG24" s="2">
        <f t="shared" si="58"/>
        <v>109.66687706505732</v>
      </c>
      <c r="AH24" s="2"/>
      <c r="AI24" s="112" t="str">
        <f t="shared" si="59"/>
        <v>-</v>
      </c>
      <c r="AJ24" s="113">
        <f t="shared" si="60"/>
        <v>0.80000000000000004</v>
      </c>
      <c r="AK24" s="55">
        <f t="shared" si="61"/>
        <v>7.5177343021030394</v>
      </c>
      <c r="AL24" s="55">
        <f t="shared" si="62"/>
        <v>24.686430992390562</v>
      </c>
      <c r="AM24" s="12">
        <f t="shared" si="63"/>
        <v>197.2615892200327</v>
      </c>
      <c r="AN24" s="55">
        <f t="shared" si="64"/>
        <v>2.5222729165152642</v>
      </c>
      <c r="AO24" s="32">
        <f t="shared" si="65"/>
        <v>109.66687706505732</v>
      </c>
      <c r="AQ24" s="112">
        <v>0.80000000000000004</v>
      </c>
      <c r="AR24" s="135">
        <f t="shared" ca="1" si="71"/>
        <v>0.17244662059002636</v>
      </c>
      <c r="AS24" s="136">
        <f t="shared" ca="1" si="72"/>
        <v>0.1272170865075383</v>
      </c>
    </row>
    <row r="25" ht="13.5" customHeight="1">
      <c r="B25" s="152" t="s">
        <v>194</v>
      </c>
      <c r="C25" s="153">
        <f>MAX(AG5:AG26)</f>
        <v>119.21780259048167</v>
      </c>
      <c r="D25" s="154" t="s">
        <v>136</v>
      </c>
      <c r="E25" s="155"/>
      <c r="G25" s="72"/>
      <c r="H25" s="72"/>
      <c r="I25" s="72"/>
      <c r="S25" s="103">
        <v>-0.90000000000000002</v>
      </c>
      <c r="T25" s="70">
        <f t="shared" si="45"/>
        <v>-0.70118391725117735</v>
      </c>
      <c r="U25" s="70">
        <f t="shared" si="46"/>
        <v>12.456169124232368</v>
      </c>
      <c r="V25" s="70">
        <f t="shared" si="47"/>
        <v>-2.0737785885937763</v>
      </c>
      <c r="W25" s="70">
        <f t="shared" si="48"/>
        <v>7.5747131130013869</v>
      </c>
      <c r="X25" s="70">
        <f t="shared" si="49"/>
        <v>0.76250607511411139</v>
      </c>
      <c r="Y25" s="70">
        <f t="shared" si="50"/>
        <v>-1.0924519795300858</v>
      </c>
      <c r="Z25" s="70">
        <f t="shared" si="51"/>
        <v>-1.0924519795300858</v>
      </c>
      <c r="AA25" s="70">
        <f t="shared" si="52"/>
        <v>-8.2855797791626582</v>
      </c>
      <c r="AB25" s="70">
        <f t="shared" si="53"/>
        <v>-0.47834434726481073</v>
      </c>
      <c r="AC25" s="70">
        <f t="shared" si="54"/>
        <v>0.9300050265840859</v>
      </c>
      <c r="AD25" s="70">
        <f t="shared" si="55"/>
        <v>1.8203195647267989</v>
      </c>
      <c r="AE25" s="2">
        <f t="shared" si="56"/>
        <v>217.40947061533851</v>
      </c>
      <c r="AF25" s="2">
        <f t="shared" si="57"/>
        <v>44.871554295027529</v>
      </c>
      <c r="AG25" s="2">
        <f t="shared" si="58"/>
        <v>115.62753977033573</v>
      </c>
      <c r="AH25" s="2"/>
      <c r="AI25" s="112" t="str">
        <f t="shared" si="59"/>
        <v>-</v>
      </c>
      <c r="AJ25" s="113">
        <f t="shared" si="60"/>
        <v>0.90000000000000002</v>
      </c>
      <c r="AK25" s="55">
        <f t="shared" si="61"/>
        <v>8.2855797791626582</v>
      </c>
      <c r="AL25" s="55">
        <f t="shared" si="62"/>
        <v>27.407112252213878</v>
      </c>
      <c r="AM25" s="12">
        <f t="shared" si="63"/>
        <v>217.40947061533851</v>
      </c>
      <c r="AN25" s="55">
        <f t="shared" si="64"/>
        <v>2.8044721434392206</v>
      </c>
      <c r="AO25" s="32">
        <f t="shared" si="65"/>
        <v>115.62753977033573</v>
      </c>
      <c r="AQ25" s="112">
        <v>0.90000000000000002</v>
      </c>
      <c r="AR25" s="135">
        <f t="shared" ca="1" si="71"/>
        <v>0.12032141470362134</v>
      </c>
      <c r="AS25" s="136">
        <f t="shared" ca="1" si="72"/>
        <v>8.4170603606093769e-002</v>
      </c>
    </row>
    <row r="26" ht="13.5" customHeight="1">
      <c r="B26" s="156" t="s">
        <v>195</v>
      </c>
      <c r="C26" s="157">
        <f>MAX(AE5:AE26)</f>
        <v>236.1555000000001</v>
      </c>
      <c r="D26" s="158" t="s">
        <v>136</v>
      </c>
      <c r="E26" s="159"/>
      <c r="F26" s="72"/>
      <c r="G26" s="72"/>
      <c r="H26" s="72"/>
      <c r="I26" s="72"/>
      <c r="S26" s="103">
        <v>-1</v>
      </c>
      <c r="T26" s="70">
        <f t="shared" si="45"/>
        <v>-0.61391745465146086</v>
      </c>
      <c r="U26" s="70">
        <f t="shared" si="46"/>
        <v>12.627564372360013</v>
      </c>
      <c r="V26" s="70">
        <f t="shared" si="47"/>
        <v>-1.8518179906369661</v>
      </c>
      <c r="W26" s="70">
        <f t="shared" si="48"/>
        <v>7.9175036092566771</v>
      </c>
      <c r="X26" s="70">
        <f t="shared" si="49"/>
        <v>0.75597564254148719</v>
      </c>
      <c r="Y26" s="70">
        <f t="shared" si="50"/>
        <v>-1.0471975511965974</v>
      </c>
      <c r="Z26" s="70">
        <f t="shared" si="51"/>
        <v>-1.0471975511965974</v>
      </c>
      <c r="AA26" s="70">
        <f t="shared" si="52"/>
        <v>-9.0000000000000036</v>
      </c>
      <c r="AB26" s="70">
        <f t="shared" si="53"/>
        <v>-0.52359877559829915</v>
      </c>
      <c r="AC26" s="70">
        <f t="shared" si="54"/>
        <v>0.85391045529322218</v>
      </c>
      <c r="AD26" s="70">
        <f t="shared" si="55"/>
        <v>1.8544021017514343</v>
      </c>
      <c r="AE26" s="2">
        <f t="shared" si="56"/>
        <v>236.1555000000001</v>
      </c>
      <c r="AF26" s="2">
        <f t="shared" si="57"/>
        <v>49.196360975889704</v>
      </c>
      <c r="AG26" s="2">
        <f t="shared" si="58"/>
        <v>119.21780259048167</v>
      </c>
      <c r="AI26" s="160" t="str">
        <f t="shared" si="59"/>
        <v>-</v>
      </c>
      <c r="AJ26" s="161">
        <f t="shared" si="60"/>
        <v>1</v>
      </c>
      <c r="AK26" s="63">
        <f t="shared" si="61"/>
        <v>9.0000000000000036</v>
      </c>
      <c r="AL26" s="63">
        <f t="shared" si="62"/>
        <v>30.000000000000018</v>
      </c>
      <c r="AM26" s="37">
        <f t="shared" si="63"/>
        <v>236.1555000000001</v>
      </c>
      <c r="AN26" s="63">
        <f t="shared" si="64"/>
        <v>3.0747725609931065</v>
      </c>
      <c r="AO26" s="39">
        <f t="shared" si="65"/>
        <v>119.21780259048167</v>
      </c>
      <c r="AQ26" s="160">
        <v>1</v>
      </c>
      <c r="AR26" s="162">
        <f t="shared" ca="1" si="71"/>
        <v>-5.6843418860808015e-014</v>
      </c>
      <c r="AS26" s="163">
        <f t="shared" ca="1" si="72"/>
        <v>-3.7395183105600814e-014</v>
      </c>
    </row>
    <row r="27" ht="13.5" customHeight="1">
      <c r="B27" s="164" t="s">
        <v>196</v>
      </c>
      <c r="C27" s="165">
        <f>MAX(AF5:AF26)/16</f>
        <v>3.9364269050652312</v>
      </c>
      <c r="D27" s="166" t="s">
        <v>137</v>
      </c>
      <c r="E27" s="167"/>
      <c r="F27" s="72"/>
      <c r="G27" s="72"/>
      <c r="H27" s="72"/>
      <c r="I27" s="72"/>
      <c r="T27" s="72"/>
      <c r="U27" s="72"/>
    </row>
    <row r="28" ht="13.5" customHeight="1">
      <c r="F28" s="72"/>
      <c r="T28" s="72"/>
      <c r="U28" s="72"/>
      <c r="AP28" s="76" t="s">
        <v>197</v>
      </c>
      <c r="AQ28" s="74"/>
    </row>
    <row r="29" ht="13.5" customHeight="1">
      <c r="B29" s="152" t="s">
        <v>198</v>
      </c>
      <c r="C29" s="168">
        <f>DEGREES(ACOS(($Q$24^2+$Q$20^2-($Q$4+$Q$16*COS($Q17)-$Q$6)^2-($Q$5+$Q$16*SIN($Q17)-$Q$7)^2)/(2*$Q$20*$Q$24)))</f>
        <v>95.098552579991392</v>
      </c>
      <c r="D29" s="154" t="s">
        <v>135</v>
      </c>
      <c r="E29" s="155"/>
      <c r="T29" s="72"/>
      <c r="U29" s="72"/>
      <c r="AI29" s="77"/>
      <c r="AP29" s="76" t="s">
        <v>199</v>
      </c>
      <c r="AQ29" s="74"/>
    </row>
    <row r="30" ht="13.5" customHeight="1">
      <c r="B30" s="156" t="s">
        <v>200</v>
      </c>
      <c r="C30" s="169">
        <f>ABS(DEGREES(ASIN(SIN($Q$21))))</f>
        <v>85.174879120942734</v>
      </c>
      <c r="D30" s="158" t="s">
        <v>135</v>
      </c>
      <c r="E30" s="159"/>
      <c r="T30" s="72"/>
      <c r="U30" s="72"/>
      <c r="AP30" s="74" t="s">
        <v>201</v>
      </c>
    </row>
    <row r="31" ht="13.5" customHeight="1">
      <c r="B31" s="156" t="s">
        <v>188</v>
      </c>
      <c r="C31" s="169">
        <f>$Q$20</f>
        <v>3.2145488643575466</v>
      </c>
      <c r="D31" s="158" t="s">
        <v>107</v>
      </c>
      <c r="E31" s="159"/>
      <c r="T31" s="72"/>
      <c r="U31" s="72"/>
      <c r="AP31" s="74" t="s">
        <v>202</v>
      </c>
    </row>
    <row r="32" ht="13.5" customHeight="1">
      <c r="B32" s="164" t="s">
        <v>193</v>
      </c>
      <c r="C32" s="165">
        <f>$Q$24</f>
        <v>10.426388433008617</v>
      </c>
      <c r="D32" s="166" t="s">
        <v>107</v>
      </c>
      <c r="E32" s="167"/>
      <c r="T32" s="72"/>
      <c r="U32" s="72"/>
      <c r="AP32" s="74" t="s">
        <v>203</v>
      </c>
    </row>
    <row r="33" ht="13.5" customHeight="1">
      <c r="G33" s="76" t="s">
        <v>204</v>
      </c>
      <c r="T33" s="72"/>
      <c r="U33" s="72"/>
    </row>
    <row r="34" ht="13.5" customHeight="1">
      <c r="T34" s="72"/>
      <c r="U34" s="72"/>
    </row>
    <row r="35" ht="13.5" customHeight="1">
      <c r="T35" s="72"/>
      <c r="U35" s="72"/>
    </row>
    <row r="36" ht="13.5" customHeight="1">
      <c r="T36" s="72"/>
      <c r="U36" s="72"/>
    </row>
  </sheetData>
  <sheetProtection password="C099"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" zoomScale="100" workbookViewId="0">
      <selection activeCell="D19" activeCellId="0" sqref="D19"/>
    </sheetView>
  </sheetViews>
  <sheetFormatPr defaultRowHeight="12.75"/>
  <cols>
    <col customWidth="1" min="1" max="1" style="170" width="2.85546875"/>
    <col customWidth="1" min="2" max="2" style="170" width="9.7109375"/>
    <col customWidth="1" min="3" max="3" style="170" width="9"/>
    <col customWidth="1" min="4" max="5" style="170" width="6.140625"/>
    <col customWidth="1" min="6" max="6" style="170" width="14.7109375"/>
    <col customWidth="1" min="7" max="7" style="170" width="16.42578125"/>
    <col customWidth="1" min="8" max="9" style="170" width="11.85546875"/>
    <col customWidth="1" min="10" max="10" style="170" width="15.42578125"/>
    <col customWidth="1" min="11" max="11" style="170" width="3.140625"/>
    <col customWidth="1" min="12" max="12" style="170" width="31.85546875"/>
    <col customWidth="1" min="13" max="13" style="170" width="5"/>
    <col customWidth="1" min="14" max="14" style="170" width="2.28515625"/>
    <col min="15" max="15" style="170" width="9.140625"/>
    <col customWidth="1" min="16" max="16" style="170" width="14.85546875"/>
    <col customWidth="1" min="17" max="25" style="170" width="7.5703125"/>
    <col min="26" max="16384" style="170" width="9.140625"/>
  </cols>
  <sheetData>
    <row r="2">
      <c r="B2" s="171" t="s">
        <v>205</v>
      </c>
    </row>
    <row r="3" ht="12.75" customHeight="1"/>
    <row r="4">
      <c r="B4" s="170" t="s">
        <v>206</v>
      </c>
      <c r="L4" s="172" t="s">
        <v>207</v>
      </c>
      <c r="M4" s="173">
        <v>65</v>
      </c>
      <c r="N4" s="170" t="s">
        <v>208</v>
      </c>
      <c r="P4" s="174" t="s">
        <v>209</v>
      </c>
      <c r="Q4" s="175">
        <v>10</v>
      </c>
      <c r="R4" s="176"/>
      <c r="S4" s="176"/>
      <c r="T4" s="176"/>
      <c r="U4" s="176"/>
      <c r="V4" s="176"/>
      <c r="W4" s="176"/>
      <c r="X4" s="176"/>
      <c r="Y4" s="176"/>
    </row>
    <row r="5">
      <c r="B5" s="170" t="s">
        <v>210</v>
      </c>
      <c r="L5" s="172" t="s">
        <v>207</v>
      </c>
      <c r="M5" s="177">
        <f>IF(N4="F",(M4-32)*5/9+273.15,M4+273.15)</f>
        <v>291.48333333333329</v>
      </c>
      <c r="N5" s="170" t="s">
        <v>211</v>
      </c>
      <c r="P5" s="174" t="s">
        <v>212</v>
      </c>
      <c r="Q5" s="175">
        <v>1.1100000000000001</v>
      </c>
      <c r="R5" s="176"/>
      <c r="S5" s="176"/>
      <c r="T5" s="176"/>
      <c r="U5" s="176"/>
      <c r="V5" s="176"/>
      <c r="W5" s="176"/>
      <c r="X5" s="176"/>
      <c r="Y5" s="176"/>
    </row>
    <row r="6" ht="13.5">
      <c r="L6" s="172" t="s">
        <v>213</v>
      </c>
      <c r="M6" s="178">
        <v>1.3999999999999999</v>
      </c>
      <c r="P6" s="176"/>
      <c r="Q6" s="176"/>
      <c r="R6" s="176"/>
      <c r="S6" s="176"/>
      <c r="T6" s="176"/>
      <c r="U6" s="176"/>
      <c r="V6" s="176"/>
      <c r="W6" s="176"/>
      <c r="X6" s="176"/>
      <c r="Y6" s="176"/>
    </row>
    <row r="7">
      <c r="B7" s="179" t="s">
        <v>214</v>
      </c>
      <c r="C7" s="179" t="s">
        <v>215</v>
      </c>
      <c r="D7" s="179" t="s">
        <v>216</v>
      </c>
      <c r="E7" s="179" t="s">
        <v>217</v>
      </c>
      <c r="F7" s="179" t="s">
        <v>218</v>
      </c>
      <c r="G7" s="179" t="s">
        <v>219</v>
      </c>
      <c r="H7" s="179" t="s">
        <v>220</v>
      </c>
      <c r="I7" s="179" t="s">
        <v>221</v>
      </c>
      <c r="J7" s="179" t="s">
        <v>222</v>
      </c>
      <c r="P7" s="180" t="s">
        <v>223</v>
      </c>
      <c r="Q7" s="181"/>
      <c r="R7" s="181"/>
      <c r="S7" s="181"/>
      <c r="T7" s="181"/>
      <c r="U7" s="181"/>
      <c r="V7" s="181"/>
      <c r="W7" s="181"/>
      <c r="X7" s="181"/>
      <c r="Y7" s="181"/>
      <c r="Z7" s="182"/>
    </row>
    <row r="8">
      <c r="B8" s="183">
        <v>10</v>
      </c>
      <c r="C8" s="183">
        <v>6</v>
      </c>
      <c r="D8" s="183">
        <v>10</v>
      </c>
      <c r="E8" s="183">
        <v>1.1100000000000001</v>
      </c>
      <c r="F8" s="184">
        <f t="shared" ref="F8:F9" si="74">C8*D8*1000*60/(12*5280)</f>
        <v>56.81818181818182</v>
      </c>
      <c r="G8" s="185">
        <f t="shared" ref="G8:G9" si="75">B8*PI()*D8*1000*2.54/(100*60)*SQRT(0.0286/($M$6*8.314*$M$5))</f>
        <v>0.38613526247617014</v>
      </c>
      <c r="H8" s="185">
        <f t="shared" ref="H8:H21" si="76">E8*C8*B8^4*D8^3/746/12^5</f>
        <v>0.35878078145169295</v>
      </c>
      <c r="I8" s="185">
        <f t="shared" ref="I8:I21" si="77">H8*550*60/(D8*1000)</f>
        <v>1.1839765787905867</v>
      </c>
      <c r="J8" s="184">
        <f t="shared" ref="J8:J21" si="78">B8*D8*E8*0.3/1.11+C8+48</f>
        <v>84</v>
      </c>
      <c r="L8" s="170" t="s">
        <v>224</v>
      </c>
      <c r="P8" s="186" t="s">
        <v>225</v>
      </c>
      <c r="Q8" s="187">
        <v>3</v>
      </c>
      <c r="R8" s="187">
        <v>4</v>
      </c>
      <c r="S8" s="187">
        <v>5</v>
      </c>
      <c r="T8" s="187">
        <v>6</v>
      </c>
      <c r="U8" s="187">
        <v>7</v>
      </c>
      <c r="V8" s="187">
        <v>8</v>
      </c>
      <c r="W8" s="187">
        <v>9</v>
      </c>
      <c r="X8" s="187">
        <v>10</v>
      </c>
      <c r="Y8" s="187">
        <v>11</v>
      </c>
      <c r="Z8" s="188">
        <v>12</v>
      </c>
    </row>
    <row r="9">
      <c r="B9" s="183">
        <v>9</v>
      </c>
      <c r="C9" s="183">
        <v>5</v>
      </c>
      <c r="D9" s="183">
        <v>12</v>
      </c>
      <c r="E9" s="183">
        <v>1.1100000000000001</v>
      </c>
      <c r="F9" s="184">
        <f t="shared" si="74"/>
        <v>56.81818181818182</v>
      </c>
      <c r="G9" s="185">
        <f t="shared" si="75"/>
        <v>0.41702608347426373</v>
      </c>
      <c r="H9" s="185">
        <f t="shared" si="76"/>
        <v>0.33897034182305635</v>
      </c>
      <c r="I9" s="185">
        <f t="shared" si="77"/>
        <v>0.93216844001340493</v>
      </c>
      <c r="J9" s="184">
        <f t="shared" si="78"/>
        <v>85.400000000000006</v>
      </c>
      <c r="L9" s="170" t="s">
        <v>226</v>
      </c>
      <c r="P9" s="186">
        <v>7</v>
      </c>
      <c r="Q9" s="189">
        <f t="shared" ref="Q9:Z9" si="79">$P9^4*Q$8*$Q$4^3*$Q$5/12^5/746</f>
        <v>4.3071632813275751e-002</v>
      </c>
      <c r="R9" s="189">
        <f>$P9^4*R$8*$Q$4^3*$Q$5/12^5/746</f>
        <v>5.7428843751034339e-002</v>
      </c>
      <c r="S9" s="189">
        <f t="shared" si="79"/>
        <v>7.1786054688792914e-002</v>
      </c>
      <c r="T9" s="189">
        <f t="shared" si="79"/>
        <v>8.6143265626551502e-002</v>
      </c>
      <c r="U9" s="189">
        <f t="shared" si="79"/>
        <v>0.10050047656431006</v>
      </c>
      <c r="V9" s="189">
        <f t="shared" si="79"/>
        <v>0.11485768750206868</v>
      </c>
      <c r="W9" s="189">
        <f t="shared" si="79"/>
        <v>0.12921489843982725</v>
      </c>
      <c r="X9" s="189">
        <f t="shared" si="79"/>
        <v>0.14357210937758583</v>
      </c>
      <c r="Y9" s="189">
        <f t="shared" si="79"/>
        <v>0.1579293203153444</v>
      </c>
      <c r="Z9" s="190">
        <f t="shared" si="79"/>
        <v>0.172286531253103</v>
      </c>
    </row>
    <row r="10">
      <c r="B10" s="183">
        <v>10</v>
      </c>
      <c r="C10" s="183">
        <v>6</v>
      </c>
      <c r="D10" s="183">
        <v>15</v>
      </c>
      <c r="E10" s="183">
        <v>1.1100000000000001</v>
      </c>
      <c r="F10" s="184">
        <f t="shared" ref="F10:F21" si="80">C10*D10*1000*60/(12*5280)</f>
        <v>85.227272727272734</v>
      </c>
      <c r="G10" s="185">
        <f t="shared" ref="G10:G21" si="81">B10*PI()*D10*1000*2.54/(100*60)*SQRT(0.0286/($M$6*8.314*$M$5))</f>
        <v>0.57920289371425515</v>
      </c>
      <c r="H10" s="185">
        <f t="shared" si="76"/>
        <v>1.2108851373994638</v>
      </c>
      <c r="I10" s="185">
        <f t="shared" si="77"/>
        <v>2.66394730227882</v>
      </c>
      <c r="J10" s="184">
        <f t="shared" si="78"/>
        <v>99</v>
      </c>
      <c r="P10" s="186">
        <v>8</v>
      </c>
      <c r="Q10" s="189">
        <f t="shared" ref="Q10:Z22" si="82">$P10^4*Q$8*$Q$4^3*$Q$5/12^5/746</f>
        <v>7.347830404130673e-002</v>
      </c>
      <c r="R10" s="189">
        <f t="shared" si="82"/>
        <v>9.7971072055075631e-002</v>
      </c>
      <c r="S10" s="189">
        <f t="shared" si="82"/>
        <v>0.12246384006884456</v>
      </c>
      <c r="T10" s="189">
        <f t="shared" si="82"/>
        <v>0.14695660808261346</v>
      </c>
      <c r="U10" s="189">
        <f t="shared" si="82"/>
        <v>0.17144937609638239</v>
      </c>
      <c r="V10" s="189">
        <f t="shared" si="82"/>
        <v>0.19594214411015126</v>
      </c>
      <c r="W10" s="189">
        <f t="shared" si="82"/>
        <v>0.22043491212392019</v>
      </c>
      <c r="X10" s="189">
        <f t="shared" si="82"/>
        <v>0.24492768013768912</v>
      </c>
      <c r="Y10" s="189">
        <f t="shared" si="82"/>
        <v>0.26942044815145799</v>
      </c>
      <c r="Z10" s="190">
        <f t="shared" si="82"/>
        <v>0.29391321616522692</v>
      </c>
    </row>
    <row r="11">
      <c r="B11" s="183">
        <v>11</v>
      </c>
      <c r="C11" s="183">
        <v>4</v>
      </c>
      <c r="D11" s="183">
        <v>14</v>
      </c>
      <c r="E11" s="183">
        <v>1.1100000000000001</v>
      </c>
      <c r="F11" s="184">
        <f t="shared" si="80"/>
        <v>53.030303030303031</v>
      </c>
      <c r="G11" s="185">
        <f t="shared" si="81"/>
        <v>0.59464830421330184</v>
      </c>
      <c r="H11" s="185">
        <f t="shared" si="76"/>
        <v>0.96093223012444984</v>
      </c>
      <c r="I11" s="185">
        <f t="shared" si="77"/>
        <v>2.2650545424362032</v>
      </c>
      <c r="J11" s="184">
        <f t="shared" si="78"/>
        <v>98.199999999999989</v>
      </c>
      <c r="L11" s="170" t="s">
        <v>227</v>
      </c>
      <c r="P11" s="186">
        <v>9</v>
      </c>
      <c r="Q11" s="189">
        <f t="shared" si="82"/>
        <v>0.1176980353552279</v>
      </c>
      <c r="R11" s="189">
        <f t="shared" si="82"/>
        <v>0.15693071380697052</v>
      </c>
      <c r="S11" s="189">
        <f t="shared" si="82"/>
        <v>0.19616339225871313</v>
      </c>
      <c r="T11" s="189">
        <f t="shared" si="82"/>
        <v>0.23539607071045579</v>
      </c>
      <c r="U11" s="189">
        <f t="shared" si="82"/>
        <v>0.27462874916219843</v>
      </c>
      <c r="V11" s="189">
        <f t="shared" si="82"/>
        <v>0.31386142761394104</v>
      </c>
      <c r="W11" s="189">
        <f t="shared" si="82"/>
        <v>0.3530941060656837</v>
      </c>
      <c r="X11" s="189">
        <f t="shared" si="82"/>
        <v>0.39232678451742625</v>
      </c>
      <c r="Y11" s="189">
        <f t="shared" si="82"/>
        <v>0.43155946296916892</v>
      </c>
      <c r="Z11" s="190">
        <f t="shared" si="82"/>
        <v>0.47079214142091158</v>
      </c>
    </row>
    <row r="12" ht="12.75" customHeight="1">
      <c r="B12" s="183">
        <v>11</v>
      </c>
      <c r="C12" s="183">
        <v>11</v>
      </c>
      <c r="D12" s="183">
        <v>10</v>
      </c>
      <c r="E12" s="183">
        <v>1.1100000000000001</v>
      </c>
      <c r="F12" s="184">
        <f t="shared" si="80"/>
        <v>104.16666666666667</v>
      </c>
      <c r="G12" s="185">
        <f t="shared" si="81"/>
        <v>0.42474878872378707</v>
      </c>
      <c r="H12" s="185">
        <f t="shared" si="76"/>
        <v>0.96303339389294351</v>
      </c>
      <c r="I12" s="185">
        <f t="shared" si="77"/>
        <v>3.1780101998467138</v>
      </c>
      <c r="J12" s="184">
        <f t="shared" si="78"/>
        <v>92</v>
      </c>
      <c r="L12" s="170" t="s">
        <v>228</v>
      </c>
      <c r="P12" s="186">
        <v>10</v>
      </c>
      <c r="Q12" s="189">
        <f t="shared" si="82"/>
        <v>0.1793903907258465</v>
      </c>
      <c r="R12" s="189">
        <f t="shared" si="82"/>
        <v>0.23918718763446201</v>
      </c>
      <c r="S12" s="189">
        <f t="shared" si="82"/>
        <v>0.29898398454307751</v>
      </c>
      <c r="T12" s="189">
        <f t="shared" si="82"/>
        <v>0.35878078145169301</v>
      </c>
      <c r="U12" s="189">
        <f t="shared" si="82"/>
        <v>0.41857757836030846</v>
      </c>
      <c r="V12" s="189">
        <f t="shared" si="82"/>
        <v>0.47837437526892401</v>
      </c>
      <c r="W12" s="189">
        <f t="shared" si="82"/>
        <v>0.53817117217753951</v>
      </c>
      <c r="X12" s="189">
        <f t="shared" si="82"/>
        <v>0.59796796908615502</v>
      </c>
      <c r="Y12" s="189">
        <f t="shared" si="82"/>
        <v>0.65776476599477052</v>
      </c>
      <c r="Z12" s="190">
        <f t="shared" si="82"/>
        <v>0.71756156290338602</v>
      </c>
    </row>
    <row r="13">
      <c r="B13" s="183">
        <v>12</v>
      </c>
      <c r="C13" s="183">
        <v>8</v>
      </c>
      <c r="D13" s="183">
        <v>10</v>
      </c>
      <c r="E13" s="183">
        <v>1.1100000000000001</v>
      </c>
      <c r="F13" s="184">
        <f t="shared" si="80"/>
        <v>75.757575757575751</v>
      </c>
      <c r="G13" s="185">
        <f t="shared" si="81"/>
        <v>0.46336231497140401</v>
      </c>
      <c r="H13" s="185">
        <f t="shared" si="76"/>
        <v>0.99195710455764086</v>
      </c>
      <c r="I13" s="185">
        <f t="shared" si="77"/>
        <v>3.2734584450402147</v>
      </c>
      <c r="J13" s="184">
        <f t="shared" si="78"/>
        <v>92</v>
      </c>
      <c r="P13" s="186">
        <v>11</v>
      </c>
      <c r="Q13" s="189">
        <f t="shared" si="82"/>
        <v>0.26264547106171188</v>
      </c>
      <c r="R13" s="189">
        <f t="shared" si="82"/>
        <v>0.35019396141561587</v>
      </c>
      <c r="S13" s="189">
        <f t="shared" si="82"/>
        <v>0.43774245176951976</v>
      </c>
      <c r="T13" s="189">
        <f t="shared" si="82"/>
        <v>0.52529094212342375</v>
      </c>
      <c r="U13" s="189">
        <f t="shared" si="82"/>
        <v>0.61283943247732775</v>
      </c>
      <c r="V13" s="189">
        <f t="shared" si="82"/>
        <v>0.70038792283123175</v>
      </c>
      <c r="W13" s="189">
        <f t="shared" si="82"/>
        <v>0.78793641318513552</v>
      </c>
      <c r="X13" s="189">
        <f t="shared" si="82"/>
        <v>0.87548490353903952</v>
      </c>
      <c r="Y13" s="189">
        <f t="shared" si="82"/>
        <v>0.96303339389294362</v>
      </c>
      <c r="Z13" s="190">
        <f t="shared" si="82"/>
        <v>1.0505818842468475</v>
      </c>
    </row>
    <row r="14">
      <c r="B14" s="183">
        <v>13</v>
      </c>
      <c r="C14" s="183">
        <v>8</v>
      </c>
      <c r="D14" s="183">
        <v>10</v>
      </c>
      <c r="E14" s="183">
        <v>1.1100000000000001</v>
      </c>
      <c r="F14" s="184">
        <f t="shared" si="80"/>
        <v>75.757575757575751</v>
      </c>
      <c r="G14" s="185">
        <f t="shared" si="81"/>
        <v>0.50197584121902117</v>
      </c>
      <c r="H14" s="185">
        <f t="shared" si="76"/>
        <v>1.3662850532055741</v>
      </c>
      <c r="I14" s="185">
        <f t="shared" si="77"/>
        <v>4.5087406755783945</v>
      </c>
      <c r="J14" s="184">
        <f t="shared" si="78"/>
        <v>95</v>
      </c>
      <c r="L14" s="170" t="s">
        <v>229</v>
      </c>
      <c r="P14" s="186">
        <v>12</v>
      </c>
      <c r="Q14" s="189">
        <f t="shared" si="82"/>
        <v>0.37198391420911531</v>
      </c>
      <c r="R14" s="189">
        <f t="shared" si="82"/>
        <v>0.49597855227882043</v>
      </c>
      <c r="S14" s="189">
        <f t="shared" si="82"/>
        <v>0.61997319034852549</v>
      </c>
      <c r="T14" s="189">
        <f t="shared" si="82"/>
        <v>0.74396782841823061</v>
      </c>
      <c r="U14" s="189">
        <f t="shared" si="82"/>
        <v>0.86796246648793562</v>
      </c>
      <c r="V14" s="189">
        <f t="shared" si="82"/>
        <v>0.99195710455764086</v>
      </c>
      <c r="W14" s="189">
        <f t="shared" si="82"/>
        <v>1.115951742627346</v>
      </c>
      <c r="X14" s="189">
        <f t="shared" si="82"/>
        <v>1.239946380697051</v>
      </c>
      <c r="Y14" s="189">
        <f t="shared" si="82"/>
        <v>1.3639410187667562</v>
      </c>
      <c r="Z14" s="190">
        <f t="shared" si="82"/>
        <v>1.4879356568364612</v>
      </c>
    </row>
    <row r="15">
      <c r="B15" s="183">
        <v>12</v>
      </c>
      <c r="C15" s="183">
        <v>10</v>
      </c>
      <c r="D15" s="183">
        <v>10</v>
      </c>
      <c r="E15" s="183">
        <v>1.1100000000000001</v>
      </c>
      <c r="F15" s="184">
        <f t="shared" si="80"/>
        <v>94.696969696969703</v>
      </c>
      <c r="G15" s="185">
        <f t="shared" si="81"/>
        <v>0.46336231497140401</v>
      </c>
      <c r="H15" s="185">
        <f t="shared" si="76"/>
        <v>1.239946380697051</v>
      </c>
      <c r="I15" s="185">
        <f t="shared" si="77"/>
        <v>4.0918230563002682</v>
      </c>
      <c r="J15" s="184">
        <f t="shared" si="78"/>
        <v>94</v>
      </c>
      <c r="L15" s="170" t="s">
        <v>230</v>
      </c>
      <c r="P15" s="186">
        <v>13</v>
      </c>
      <c r="Q15" s="189">
        <f t="shared" si="82"/>
        <v>0.51235689495209025</v>
      </c>
      <c r="R15" s="189">
        <f t="shared" si="82"/>
        <v>0.68314252660278696</v>
      </c>
      <c r="S15" s="189">
        <f t="shared" si="82"/>
        <v>0.85392815825348356</v>
      </c>
      <c r="T15" s="189">
        <f t="shared" si="82"/>
        <v>1.0247137899041805</v>
      </c>
      <c r="U15" s="189">
        <f t="shared" si="82"/>
        <v>1.1954994215548771</v>
      </c>
      <c r="V15" s="189">
        <f t="shared" si="82"/>
        <v>1.3662850532055739</v>
      </c>
      <c r="W15" s="189">
        <f t="shared" si="82"/>
        <v>1.5370706848562705</v>
      </c>
      <c r="X15" s="189">
        <f t="shared" si="82"/>
        <v>1.7078563165069671</v>
      </c>
      <c r="Y15" s="189">
        <f t="shared" si="82"/>
        <v>1.8786419481576642</v>
      </c>
      <c r="Z15" s="190">
        <f t="shared" si="82"/>
        <v>2.049427579808361</v>
      </c>
    </row>
    <row r="16" ht="13.5">
      <c r="B16" s="183">
        <v>14</v>
      </c>
      <c r="C16" s="183">
        <v>6</v>
      </c>
      <c r="D16" s="183">
        <v>10</v>
      </c>
      <c r="E16" s="183">
        <v>1.1100000000000001</v>
      </c>
      <c r="F16" s="184">
        <f t="shared" si="80"/>
        <v>56.81818181818182</v>
      </c>
      <c r="G16" s="185">
        <f t="shared" si="81"/>
        <v>0.5405893674666381</v>
      </c>
      <c r="H16" s="185">
        <f t="shared" si="76"/>
        <v>1.3782922500248238</v>
      </c>
      <c r="I16" s="185">
        <f t="shared" si="77"/>
        <v>4.5483644250819184</v>
      </c>
      <c r="J16" s="184">
        <f t="shared" si="78"/>
        <v>96</v>
      </c>
      <c r="P16" s="186">
        <v>14</v>
      </c>
      <c r="Q16" s="189">
        <f t="shared" si="82"/>
        <v>0.68914612501241201</v>
      </c>
      <c r="R16" s="189">
        <f t="shared" si="82"/>
        <v>0.91886150001654943</v>
      </c>
      <c r="S16" s="189">
        <f t="shared" si="82"/>
        <v>1.1485768750206866</v>
      </c>
      <c r="T16" s="189">
        <f t="shared" si="82"/>
        <v>1.378292250024824</v>
      </c>
      <c r="U16" s="189">
        <f t="shared" si="82"/>
        <v>1.608007625028961</v>
      </c>
      <c r="V16" s="189">
        <f t="shared" si="82"/>
        <v>1.8377230000330989</v>
      </c>
      <c r="W16" s="189">
        <f t="shared" si="82"/>
        <v>2.067438375037236</v>
      </c>
      <c r="X16" s="189">
        <f t="shared" si="82"/>
        <v>2.2971537500413732</v>
      </c>
      <c r="Y16" s="189">
        <f t="shared" si="82"/>
        <v>2.5268691250455104</v>
      </c>
      <c r="Z16" s="190">
        <f t="shared" si="82"/>
        <v>2.7565845000496481</v>
      </c>
    </row>
    <row r="17" ht="13.5">
      <c r="B17" s="183">
        <v>16</v>
      </c>
      <c r="C17" s="183">
        <v>8</v>
      </c>
      <c r="D17" s="183">
        <v>9</v>
      </c>
      <c r="E17" s="183">
        <v>1.1100000000000001</v>
      </c>
      <c r="F17" s="184">
        <f t="shared" si="80"/>
        <v>68.181818181818187</v>
      </c>
      <c r="G17" s="185">
        <f t="shared" si="81"/>
        <v>0.55603477796568501</v>
      </c>
      <c r="H17" s="185">
        <f t="shared" si="76"/>
        <v>2.2854691689008049</v>
      </c>
      <c r="I17" s="185">
        <f t="shared" si="77"/>
        <v>8.3800536193029522</v>
      </c>
      <c r="J17" s="184">
        <f t="shared" si="78"/>
        <v>99.199999999999989</v>
      </c>
      <c r="L17" s="191" t="s">
        <v>231</v>
      </c>
      <c r="M17" s="192"/>
      <c r="P17" s="186">
        <v>15</v>
      </c>
      <c r="Q17" s="189">
        <f t="shared" si="82"/>
        <v>0.9081638530495979</v>
      </c>
      <c r="R17" s="189">
        <f t="shared" si="82"/>
        <v>1.210885137399464</v>
      </c>
      <c r="S17" s="189">
        <f t="shared" si="82"/>
        <v>1.5136064217493297</v>
      </c>
      <c r="T17" s="189">
        <f t="shared" si="82"/>
        <v>1.8163277060991958</v>
      </c>
      <c r="U17" s="189">
        <f t="shared" si="82"/>
        <v>2.1190489904490621</v>
      </c>
      <c r="V17" s="189">
        <f t="shared" si="82"/>
        <v>2.421770274798928</v>
      </c>
      <c r="W17" s="189">
        <f t="shared" si="82"/>
        <v>2.7244915591487939</v>
      </c>
      <c r="X17" s="189">
        <f t="shared" si="82"/>
        <v>3.0272128434986594</v>
      </c>
      <c r="Y17" s="189">
        <f t="shared" si="82"/>
        <v>3.3299341278485253</v>
      </c>
      <c r="Z17" s="190">
        <f t="shared" si="82"/>
        <v>3.6326554121983916</v>
      </c>
    </row>
    <row r="18">
      <c r="B18" s="183">
        <v>15</v>
      </c>
      <c r="C18" s="183">
        <v>6</v>
      </c>
      <c r="D18" s="183">
        <v>9.5</v>
      </c>
      <c r="E18" s="183">
        <v>1.1100000000000001</v>
      </c>
      <c r="F18" s="184">
        <f t="shared" si="80"/>
        <v>53.977272727272727</v>
      </c>
      <c r="G18" s="185">
        <f t="shared" si="81"/>
        <v>0.55024274902854231</v>
      </c>
      <c r="H18" s="185">
        <f t="shared" si="76"/>
        <v>1.5572739670167979</v>
      </c>
      <c r="I18" s="185">
        <f t="shared" si="77"/>
        <v>5.4094779906899291</v>
      </c>
      <c r="J18" s="184">
        <f t="shared" si="78"/>
        <v>96.75</v>
      </c>
      <c r="L18" s="193" t="s">
        <v>232</v>
      </c>
      <c r="M18" s="194" t="s">
        <v>217</v>
      </c>
      <c r="P18" s="186">
        <v>16</v>
      </c>
      <c r="Q18" s="189">
        <f t="shared" si="82"/>
        <v>1.1756528646609077</v>
      </c>
      <c r="R18" s="189">
        <f t="shared" si="82"/>
        <v>1.5675371528812101</v>
      </c>
      <c r="S18" s="189">
        <f t="shared" si="82"/>
        <v>1.959421441101513</v>
      </c>
      <c r="T18" s="189">
        <f t="shared" si="82"/>
        <v>2.3513057293218154</v>
      </c>
      <c r="U18" s="189">
        <f t="shared" si="82"/>
        <v>2.7431900175421182</v>
      </c>
      <c r="V18" s="189">
        <f t="shared" si="82"/>
        <v>3.1350743057624202</v>
      </c>
      <c r="W18" s="189">
        <f t="shared" si="82"/>
        <v>3.526958593982723</v>
      </c>
      <c r="X18" s="189">
        <f t="shared" si="82"/>
        <v>3.9188428822030259</v>
      </c>
      <c r="Y18" s="189">
        <f t="shared" si="82"/>
        <v>4.3107271704233279</v>
      </c>
      <c r="Z18" s="190">
        <f t="shared" si="82"/>
        <v>4.7026114586436307</v>
      </c>
    </row>
    <row r="19">
      <c r="B19" s="183">
        <v>14</v>
      </c>
      <c r="C19" s="183">
        <v>10</v>
      </c>
      <c r="D19" s="183">
        <v>9</v>
      </c>
      <c r="E19" s="183">
        <v>1.1100000000000001</v>
      </c>
      <c r="F19" s="184">
        <f t="shared" si="80"/>
        <v>85.227272727272734</v>
      </c>
      <c r="G19" s="185">
        <f t="shared" si="81"/>
        <v>0.48653043071997437</v>
      </c>
      <c r="H19" s="185">
        <f t="shared" si="76"/>
        <v>1.6746250837801611</v>
      </c>
      <c r="I19" s="185">
        <f t="shared" si="77"/>
        <v>6.1402919738605908</v>
      </c>
      <c r="J19" s="184">
        <f t="shared" si="78"/>
        <v>95.800000000000011</v>
      </c>
      <c r="L19" s="195" t="s">
        <v>233</v>
      </c>
      <c r="M19" s="196">
        <v>1.3100000000000001</v>
      </c>
      <c r="P19" s="186">
        <v>17</v>
      </c>
      <c r="Q19" s="189">
        <f t="shared" si="82"/>
        <v>1.4982864823813424</v>
      </c>
      <c r="R19" s="189">
        <f t="shared" si="82"/>
        <v>1.9977153098417901</v>
      </c>
      <c r="S19" s="189">
        <f t="shared" si="82"/>
        <v>2.4971441373022376</v>
      </c>
      <c r="T19" s="189">
        <f t="shared" si="82"/>
        <v>2.9965729647626849</v>
      </c>
      <c r="U19" s="189">
        <f t="shared" si="82"/>
        <v>3.4960017922231326</v>
      </c>
      <c r="V19" s="189">
        <f t="shared" si="82"/>
        <v>3.9954306196835803</v>
      </c>
      <c r="W19" s="189">
        <f t="shared" si="82"/>
        <v>4.4948594471440275</v>
      </c>
      <c r="X19" s="189">
        <f t="shared" si="82"/>
        <v>4.9942882746044752</v>
      </c>
      <c r="Y19" s="189">
        <f t="shared" si="82"/>
        <v>5.4937171020649229</v>
      </c>
      <c r="Z19" s="190">
        <f t="shared" si="82"/>
        <v>5.9931459295253697</v>
      </c>
    </row>
    <row r="20">
      <c r="B20" s="183">
        <v>10</v>
      </c>
      <c r="C20" s="183">
        <v>5</v>
      </c>
      <c r="D20" s="183">
        <v>14</v>
      </c>
      <c r="E20" s="183">
        <v>1.1100000000000001</v>
      </c>
      <c r="F20" s="184">
        <f t="shared" si="80"/>
        <v>66.287878787878782</v>
      </c>
      <c r="G20" s="185">
        <f t="shared" si="81"/>
        <v>0.5405893674666381</v>
      </c>
      <c r="H20" s="185">
        <f t="shared" si="76"/>
        <v>0.82041205358620473</v>
      </c>
      <c r="I20" s="185">
        <f t="shared" si="77"/>
        <v>1.9338284120246254</v>
      </c>
      <c r="J20" s="184">
        <f t="shared" si="78"/>
        <v>95</v>
      </c>
      <c r="L20" s="195" t="s">
        <v>234</v>
      </c>
      <c r="M20" s="196">
        <v>1.1100000000000001</v>
      </c>
      <c r="P20" s="186">
        <v>18</v>
      </c>
      <c r="Q20" s="189">
        <f t="shared" si="82"/>
        <v>1.8831685656836463</v>
      </c>
      <c r="R20" s="189">
        <f t="shared" si="82"/>
        <v>2.5108914209115283</v>
      </c>
      <c r="S20" s="189">
        <f t="shared" si="82"/>
        <v>3.13861427613941</v>
      </c>
      <c r="T20" s="189">
        <f t="shared" si="82"/>
        <v>3.7663371313672926</v>
      </c>
      <c r="U20" s="189">
        <f t="shared" si="82"/>
        <v>4.3940599865951748</v>
      </c>
      <c r="V20" s="189">
        <f t="shared" si="82"/>
        <v>5.0217828418230566</v>
      </c>
      <c r="W20" s="189">
        <f t="shared" si="82"/>
        <v>5.6495056970509392</v>
      </c>
      <c r="X20" s="189">
        <f t="shared" si="82"/>
        <v>6.27722855227882</v>
      </c>
      <c r="Y20" s="189">
        <f t="shared" si="82"/>
        <v>6.9049514075067027</v>
      </c>
      <c r="Z20" s="190">
        <f t="shared" si="82"/>
        <v>7.5326742627345853</v>
      </c>
    </row>
    <row r="21" ht="13.5">
      <c r="B21" s="183">
        <v>18</v>
      </c>
      <c r="C21" s="183">
        <v>6</v>
      </c>
      <c r="D21" s="183">
        <v>8.5</v>
      </c>
      <c r="E21" s="183">
        <v>1.1100000000000001</v>
      </c>
      <c r="F21" s="184">
        <f t="shared" si="80"/>
        <v>48.295454545454547</v>
      </c>
      <c r="G21" s="185">
        <f t="shared" si="81"/>
        <v>0.59078695158854022</v>
      </c>
      <c r="H21" s="185">
        <f t="shared" si="76"/>
        <v>2.3130017908009384</v>
      </c>
      <c r="I21" s="185">
        <f t="shared" si="77"/>
        <v>8.979889305462466</v>
      </c>
      <c r="J21" s="184">
        <f t="shared" si="78"/>
        <v>99.900000000000006</v>
      </c>
      <c r="L21" s="197" t="s">
        <v>235</v>
      </c>
      <c r="M21" s="198">
        <v>1.1799999999999999</v>
      </c>
      <c r="P21" s="186">
        <v>19</v>
      </c>
      <c r="Q21" s="189">
        <f t="shared" si="82"/>
        <v>2.3378335109783044</v>
      </c>
      <c r="R21" s="189">
        <f t="shared" si="82"/>
        <v>3.1171113479710724</v>
      </c>
      <c r="S21" s="189">
        <f t="shared" si="82"/>
        <v>3.8963891849638408</v>
      </c>
      <c r="T21" s="189">
        <f t="shared" si="82"/>
        <v>4.6756670219566088</v>
      </c>
      <c r="U21" s="189">
        <f t="shared" si="82"/>
        <v>5.4549448589493768</v>
      </c>
      <c r="V21" s="189">
        <f t="shared" si="82"/>
        <v>6.2342226959421447</v>
      </c>
      <c r="W21" s="189">
        <f t="shared" si="82"/>
        <v>7.0135005329349118</v>
      </c>
      <c r="X21" s="189">
        <f t="shared" si="82"/>
        <v>7.7927783699276816</v>
      </c>
      <c r="Y21" s="189">
        <f t="shared" si="82"/>
        <v>8.5720562069204504</v>
      </c>
      <c r="Z21" s="190">
        <f t="shared" si="82"/>
        <v>9.3513340439132175</v>
      </c>
    </row>
    <row r="22" ht="13.5">
      <c r="P22" s="199">
        <v>20</v>
      </c>
      <c r="Q22" s="200">
        <f t="shared" si="82"/>
        <v>2.8702462516135441</v>
      </c>
      <c r="R22" s="200">
        <f t="shared" si="82"/>
        <v>3.8269950021513921</v>
      </c>
      <c r="S22" s="200">
        <f t="shared" si="82"/>
        <v>4.7837437526892401</v>
      </c>
      <c r="T22" s="200">
        <f t="shared" si="82"/>
        <v>5.7404925032270882</v>
      </c>
      <c r="U22" s="200">
        <f t="shared" si="82"/>
        <v>6.6972412537649353</v>
      </c>
      <c r="V22" s="200">
        <f t="shared" si="82"/>
        <v>7.6539900043027842</v>
      </c>
      <c r="W22" s="200">
        <f t="shared" si="82"/>
        <v>8.6107387548406322</v>
      </c>
      <c r="X22" s="200">
        <f t="shared" si="82"/>
        <v>9.5674875053784803</v>
      </c>
      <c r="Y22" s="200">
        <f t="shared" si="82"/>
        <v>10.524236255916328</v>
      </c>
      <c r="Z22" s="201">
        <f t="shared" si="82"/>
        <v>11.480985006454176</v>
      </c>
    </row>
    <row r="23">
      <c r="L23" s="170" t="s">
        <v>236</v>
      </c>
    </row>
    <row r="24">
      <c r="L24" s="202" t="s">
        <v>237</v>
      </c>
    </row>
    <row r="25">
      <c r="M25" s="202"/>
    </row>
    <row r="26">
      <c r="L26" s="170" t="s">
        <v>238</v>
      </c>
    </row>
    <row r="27">
      <c r="L27" s="170" t="s">
        <v>239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pane ySplit="1" topLeftCell="A2" activePane="bottomLeft" state="frozen"/>
      <selection activeCell="E41" activeCellId="0" sqref="E41"/>
    </sheetView>
  </sheetViews>
  <sheetFormatPr defaultRowHeight="12.75"/>
  <cols>
    <col min="1" max="1" style="203" width="9.140625"/>
    <col customWidth="1" min="2" max="2" style="204" width="20.42578125"/>
    <col customWidth="1" min="3" max="4" style="183" width="7.7109375"/>
    <col customWidth="1" min="5" max="5" style="205" width="11.140625"/>
    <col customWidth="1" min="6" max="6" style="206" width="14.5703125"/>
    <col customWidth="1" min="7" max="7" style="207" width="14.5703125"/>
    <col min="8" max="16384" style="203" width="9.140625"/>
  </cols>
  <sheetData>
    <row r="1" s="208" customFormat="1" ht="28.5" customHeight="1">
      <c r="B1" s="209" t="s">
        <v>240</v>
      </c>
      <c r="C1" s="210" t="s">
        <v>241</v>
      </c>
      <c r="D1" s="210" t="s">
        <v>242</v>
      </c>
      <c r="E1" s="211" t="s">
        <v>243</v>
      </c>
      <c r="F1" s="212" t="s">
        <v>244</v>
      </c>
      <c r="G1" s="211" t="s">
        <v>245</v>
      </c>
    </row>
    <row r="2" ht="13.5">
      <c r="B2" s="213" t="s">
        <v>246</v>
      </c>
      <c r="C2" s="214">
        <v>9</v>
      </c>
      <c r="D2" s="214"/>
      <c r="E2" s="215">
        <v>930</v>
      </c>
      <c r="F2" s="216">
        <f t="shared" ref="F2:F33" si="83">IF($E2=0,"",($C2*16+$D2)*144/$E2)</f>
        <v>22.296774193548387</v>
      </c>
      <c r="G2" s="217">
        <f t="shared" ref="G2:G33" si="84">IF($E2=0,"",($C2*16+$D2)*(144/$E2)^1.5)</f>
        <v>8.7736803424619687</v>
      </c>
    </row>
    <row r="3" ht="13.5">
      <c r="B3" s="204" t="s">
        <v>247</v>
      </c>
      <c r="C3" s="183">
        <v>25</v>
      </c>
      <c r="E3" s="205">
        <v>2000</v>
      </c>
      <c r="F3" s="218">
        <f t="shared" si="83"/>
        <v>28.800000000000001</v>
      </c>
      <c r="G3" s="219">
        <f t="shared" si="84"/>
        <v>7.7278509302392733</v>
      </c>
      <c r="I3" s="220" t="s">
        <v>248</v>
      </c>
    </row>
    <row r="4">
      <c r="B4" s="204" t="s">
        <v>249</v>
      </c>
      <c r="C4" s="183">
        <v>9</v>
      </c>
      <c r="E4" s="205">
        <v>1440</v>
      </c>
      <c r="F4" s="218">
        <f t="shared" si="83"/>
        <v>14.4</v>
      </c>
      <c r="G4" s="219">
        <f t="shared" si="84"/>
        <v>4.5536798306424666</v>
      </c>
      <c r="I4" s="221" t="s">
        <v>250</v>
      </c>
    </row>
    <row r="5">
      <c r="B5" s="204" t="s">
        <v>251</v>
      </c>
      <c r="C5" s="183">
        <v>19</v>
      </c>
      <c r="E5" s="205">
        <v>1440</v>
      </c>
      <c r="F5" s="218">
        <f t="shared" si="83"/>
        <v>30.399999999999999</v>
      </c>
      <c r="G5" s="219">
        <f t="shared" si="84"/>
        <v>9.6133240869118755</v>
      </c>
      <c r="I5" s="222" t="s">
        <v>252</v>
      </c>
    </row>
    <row r="6">
      <c r="B6" s="204" t="s">
        <v>253</v>
      </c>
      <c r="C6" s="183">
        <v>24</v>
      </c>
      <c r="E6" s="205">
        <v>1950</v>
      </c>
      <c r="F6" s="218">
        <f t="shared" si="83"/>
        <v>28.356923076923078</v>
      </c>
      <c r="G6" s="219">
        <f t="shared" si="84"/>
        <v>7.705894262161177</v>
      </c>
      <c r="I6" s="223" t="s">
        <v>254</v>
      </c>
    </row>
    <row r="7" ht="13.5">
      <c r="B7" s="204" t="s">
        <v>255</v>
      </c>
      <c r="C7" s="183">
        <v>8</v>
      </c>
      <c r="E7" s="205">
        <v>850</v>
      </c>
      <c r="F7" s="218">
        <f t="shared" si="83"/>
        <v>21.68470588235294</v>
      </c>
      <c r="G7" s="219">
        <f t="shared" si="84"/>
        <v>8.9253513073319226</v>
      </c>
      <c r="I7" s="224" t="s">
        <v>256</v>
      </c>
    </row>
    <row r="8">
      <c r="B8" s="225" t="s">
        <v>257</v>
      </c>
      <c r="C8" s="183">
        <v>10</v>
      </c>
      <c r="D8" s="183">
        <v>11</v>
      </c>
      <c r="E8" s="205">
        <v>949</v>
      </c>
      <c r="F8" s="218">
        <f t="shared" si="83"/>
        <v>25.94731296101159</v>
      </c>
      <c r="G8" s="219">
        <f t="shared" si="84"/>
        <v>10.107425057400178</v>
      </c>
    </row>
    <row r="9">
      <c r="B9" s="225" t="s">
        <v>258</v>
      </c>
      <c r="C9" s="183">
        <v>8</v>
      </c>
      <c r="E9" s="205">
        <v>980</v>
      </c>
      <c r="F9" s="218">
        <f t="shared" si="83"/>
        <v>18.808163265306124</v>
      </c>
      <c r="G9" s="219">
        <f t="shared" si="84"/>
        <v>7.209656844538098</v>
      </c>
    </row>
    <row r="10">
      <c r="B10" s="204" t="s">
        <v>259</v>
      </c>
      <c r="C10" s="183">
        <v>10</v>
      </c>
      <c r="D10" s="183">
        <v>1</v>
      </c>
      <c r="E10" s="205">
        <v>1050</v>
      </c>
      <c r="F10" s="218">
        <f t="shared" si="83"/>
        <v>22.079999999999998</v>
      </c>
      <c r="G10" s="219">
        <f t="shared" si="84"/>
        <v>8.1768431211911725</v>
      </c>
    </row>
    <row r="11">
      <c r="B11" s="204" t="s">
        <v>260</v>
      </c>
      <c r="C11" s="183">
        <v>5</v>
      </c>
      <c r="E11" s="205">
        <v>594</v>
      </c>
      <c r="F11" s="218">
        <f t="shared" si="83"/>
        <v>19.393939393939394</v>
      </c>
      <c r="G11" s="219">
        <f t="shared" si="84"/>
        <v>9.5489156638512682</v>
      </c>
    </row>
    <row r="12">
      <c r="B12" s="204" t="s">
        <v>261</v>
      </c>
      <c r="C12" s="183">
        <v>7</v>
      </c>
      <c r="E12" s="205">
        <v>944</v>
      </c>
      <c r="F12" s="218">
        <f t="shared" si="83"/>
        <v>17.084745762711865</v>
      </c>
      <c r="G12" s="219">
        <f t="shared" si="84"/>
        <v>6.6727333356951091</v>
      </c>
    </row>
    <row r="13">
      <c r="B13" s="204" t="s">
        <v>262</v>
      </c>
      <c r="C13" s="183">
        <v>4</v>
      </c>
      <c r="D13" s="183">
        <v>8</v>
      </c>
      <c r="E13" s="205">
        <v>550</v>
      </c>
      <c r="F13" s="218">
        <f t="shared" si="83"/>
        <v>18.850909090909092</v>
      </c>
      <c r="G13" s="219">
        <f t="shared" si="84"/>
        <v>9.6456655731271361</v>
      </c>
    </row>
    <row r="14">
      <c r="B14" s="204" t="s">
        <v>263</v>
      </c>
      <c r="D14" s="183">
        <v>31</v>
      </c>
      <c r="E14" s="205">
        <v>345</v>
      </c>
      <c r="F14" s="218">
        <f t="shared" si="83"/>
        <v>12.939130434782609</v>
      </c>
      <c r="G14" s="219">
        <f t="shared" si="84"/>
        <v>8.3594323853483505</v>
      </c>
    </row>
    <row r="15">
      <c r="B15" s="204" t="s">
        <v>264</v>
      </c>
      <c r="C15" s="183">
        <v>19</v>
      </c>
      <c r="E15" s="205">
        <v>1810</v>
      </c>
      <c r="F15" s="218">
        <f t="shared" si="83"/>
        <v>24.185635359116024</v>
      </c>
      <c r="G15" s="219">
        <f t="shared" si="84"/>
        <v>6.821807488495697</v>
      </c>
    </row>
    <row r="16">
      <c r="B16" s="204" t="s">
        <v>265</v>
      </c>
      <c r="C16" s="183">
        <v>5.5</v>
      </c>
      <c r="E16" s="205">
        <v>550</v>
      </c>
      <c r="F16" s="218">
        <f t="shared" si="83"/>
        <v>23.039999999999999</v>
      </c>
      <c r="G16" s="219">
        <f t="shared" si="84"/>
        <v>11.789146811599835</v>
      </c>
    </row>
    <row r="17">
      <c r="B17" s="225" t="s">
        <v>266</v>
      </c>
      <c r="C17" s="183">
        <v>6</v>
      </c>
      <c r="D17" s="183">
        <v>11</v>
      </c>
      <c r="E17" s="205">
        <v>664</v>
      </c>
      <c r="F17" s="218">
        <f t="shared" si="83"/>
        <v>23.204819277108435</v>
      </c>
      <c r="G17" s="219">
        <f t="shared" si="84"/>
        <v>10.80625960850889</v>
      </c>
    </row>
    <row r="18">
      <c r="B18" s="204" t="s">
        <v>267</v>
      </c>
      <c r="C18" s="183">
        <v>20</v>
      </c>
      <c r="E18" s="205">
        <v>1596</v>
      </c>
      <c r="F18" s="218">
        <f t="shared" si="83"/>
        <v>28.872180451127818</v>
      </c>
      <c r="G18" s="219">
        <f t="shared" si="84"/>
        <v>8.6725015461453605</v>
      </c>
    </row>
    <row r="19">
      <c r="B19" s="204" t="s">
        <v>268</v>
      </c>
      <c r="C19" s="183">
        <v>15</v>
      </c>
      <c r="E19" s="205">
        <v>1275</v>
      </c>
      <c r="F19" s="218">
        <f t="shared" si="83"/>
        <v>27.105882352941176</v>
      </c>
      <c r="G19" s="219">
        <f t="shared" si="84"/>
        <v>9.1093985325191529</v>
      </c>
    </row>
    <row r="20">
      <c r="B20" s="204" t="s">
        <v>269</v>
      </c>
      <c r="C20" s="183">
        <v>14</v>
      </c>
      <c r="E20" s="205">
        <v>1162</v>
      </c>
      <c r="F20" s="218">
        <f t="shared" si="83"/>
        <v>27.759036144578314</v>
      </c>
      <c r="G20" s="219">
        <f t="shared" si="84"/>
        <v>9.7719798863694027</v>
      </c>
    </row>
    <row r="21">
      <c r="B21" s="225" t="s">
        <v>270</v>
      </c>
      <c r="C21" s="183">
        <v>4.5</v>
      </c>
      <c r="E21" s="205">
        <v>759</v>
      </c>
      <c r="F21" s="218">
        <f t="shared" si="83"/>
        <v>13.660079051383399</v>
      </c>
      <c r="G21" s="219">
        <f t="shared" si="84"/>
        <v>5.9499534874197844</v>
      </c>
    </row>
    <row r="22">
      <c r="B22" s="204" t="s">
        <v>271</v>
      </c>
      <c r="C22" s="183">
        <v>16</v>
      </c>
      <c r="E22" s="205">
        <v>1300</v>
      </c>
      <c r="F22" s="218">
        <f t="shared" si="83"/>
        <v>28.356923076923078</v>
      </c>
      <c r="G22" s="219">
        <f t="shared" si="84"/>
        <v>9.4377544770677773</v>
      </c>
    </row>
    <row r="23">
      <c r="B23" s="204" t="s">
        <v>272</v>
      </c>
      <c r="C23" s="183">
        <v>9</v>
      </c>
      <c r="E23" s="205">
        <v>875</v>
      </c>
      <c r="F23" s="218">
        <f t="shared" si="83"/>
        <v>23.698285714285714</v>
      </c>
      <c r="G23" s="219">
        <f t="shared" si="84"/>
        <v>9.6137793605762862</v>
      </c>
    </row>
    <row r="24">
      <c r="B24" s="204" t="s">
        <v>273</v>
      </c>
      <c r="C24" s="183">
        <v>10</v>
      </c>
      <c r="E24" s="205">
        <v>1025</v>
      </c>
      <c r="F24" s="218">
        <f t="shared" si="83"/>
        <v>22.478048780487804</v>
      </c>
      <c r="G24" s="219">
        <f t="shared" si="84"/>
        <v>8.4251554511145024</v>
      </c>
    </row>
    <row r="25">
      <c r="B25" s="204" t="s">
        <v>274</v>
      </c>
      <c r="C25" s="183">
        <v>17</v>
      </c>
      <c r="E25" s="205">
        <v>1260</v>
      </c>
      <c r="F25" s="218">
        <f t="shared" si="83"/>
        <v>31.085714285714285</v>
      </c>
      <c r="G25" s="219">
        <f t="shared" si="84"/>
        <v>10.508889475938581</v>
      </c>
    </row>
    <row r="26">
      <c r="B26" s="204" t="s">
        <v>275</v>
      </c>
      <c r="C26" s="183">
        <v>18</v>
      </c>
      <c r="E26" s="205">
        <v>1300</v>
      </c>
      <c r="F26" s="218">
        <f t="shared" si="83"/>
        <v>31.901538461538461</v>
      </c>
      <c r="G26" s="219">
        <f t="shared" si="84"/>
        <v>10.61747378670125</v>
      </c>
    </row>
    <row r="27">
      <c r="B27" s="225" t="s">
        <v>276</v>
      </c>
      <c r="C27" s="183">
        <v>4</v>
      </c>
      <c r="D27" s="183">
        <v>4</v>
      </c>
      <c r="E27" s="205">
        <v>420</v>
      </c>
      <c r="F27" s="218">
        <f t="shared" si="83"/>
        <v>23.314285714285713</v>
      </c>
      <c r="G27" s="219">
        <f t="shared" si="84"/>
        <v>13.651447877588623</v>
      </c>
    </row>
    <row r="28">
      <c r="B28" s="225" t="s">
        <v>277</v>
      </c>
      <c r="C28" s="183">
        <v>4</v>
      </c>
      <c r="E28" s="205">
        <v>697</v>
      </c>
      <c r="F28" s="218">
        <f t="shared" si="83"/>
        <v>13.222381635581062</v>
      </c>
      <c r="G28" s="219">
        <f t="shared" si="84"/>
        <v>6.0100010098950687</v>
      </c>
    </row>
    <row r="29">
      <c r="B29" s="204" t="s">
        <v>278</v>
      </c>
      <c r="C29" s="183">
        <v>6</v>
      </c>
      <c r="E29" s="205">
        <v>912</v>
      </c>
      <c r="F29" s="218">
        <f t="shared" si="83"/>
        <v>15.157894736842104</v>
      </c>
      <c r="G29" s="219">
        <f t="shared" si="84"/>
        <v>6.0231366131799877</v>
      </c>
    </row>
    <row r="30">
      <c r="B30" s="204" t="s">
        <v>279</v>
      </c>
      <c r="C30" s="183">
        <v>6</v>
      </c>
      <c r="E30" s="205">
        <v>900</v>
      </c>
      <c r="F30" s="218">
        <f t="shared" si="83"/>
        <v>15.359999999999999</v>
      </c>
      <c r="G30" s="219">
        <f t="shared" si="84"/>
        <v>6.1439999999999984</v>
      </c>
    </row>
    <row r="31">
      <c r="B31" s="204" t="s">
        <v>280</v>
      </c>
      <c r="C31" s="183">
        <v>4.5</v>
      </c>
      <c r="E31" s="205">
        <v>798</v>
      </c>
      <c r="F31" s="218">
        <f t="shared" si="83"/>
        <v>12.992481203007518</v>
      </c>
      <c r="G31" s="219">
        <f t="shared" si="84"/>
        <v>5.5191461878171806</v>
      </c>
    </row>
    <row r="32">
      <c r="B32" s="225" t="s">
        <v>281</v>
      </c>
      <c r="D32" s="183">
        <v>32</v>
      </c>
      <c r="E32" s="205">
        <v>330</v>
      </c>
      <c r="F32" s="218">
        <f t="shared" si="83"/>
        <v>13.963636363636363</v>
      </c>
      <c r="G32" s="219">
        <f t="shared" si="84"/>
        <v>9.2240745994586728</v>
      </c>
    </row>
    <row r="33">
      <c r="B33" s="204" t="s">
        <v>282</v>
      </c>
      <c r="C33" s="183">
        <v>9.5</v>
      </c>
      <c r="E33" s="205">
        <v>713</v>
      </c>
      <c r="F33" s="218">
        <f t="shared" si="83"/>
        <v>30.698457223001402</v>
      </c>
      <c r="G33" s="219">
        <f t="shared" si="84"/>
        <v>13.795995095719313</v>
      </c>
    </row>
    <row r="34">
      <c r="B34" s="204" t="s">
        <v>283</v>
      </c>
      <c r="C34" s="183">
        <v>4</v>
      </c>
      <c r="E34" s="205">
        <v>578</v>
      </c>
      <c r="F34" s="218">
        <f t="shared" ref="F34:F97" si="85">IF($E34=0,"",($C34*16+$D34)*144/$E34)</f>
        <v>15.944636678200691</v>
      </c>
      <c r="G34" s="219">
        <f t="shared" ref="G34:G97" si="86">IF($E34=0,"",($C34*16+$D34)*(144/$E34)^1.5)</f>
        <v>7.958513448502206</v>
      </c>
    </row>
    <row r="35">
      <c r="B35" s="204" t="s">
        <v>284</v>
      </c>
      <c r="C35" s="183">
        <v>10</v>
      </c>
      <c r="E35" s="205">
        <v>1060</v>
      </c>
      <c r="F35" s="218">
        <f t="shared" si="85"/>
        <v>21.735849056603772</v>
      </c>
      <c r="G35" s="219">
        <f t="shared" si="86"/>
        <v>8.0113355614269235</v>
      </c>
    </row>
    <row r="36">
      <c r="B36" s="204" t="s">
        <v>285</v>
      </c>
      <c r="C36" s="183">
        <v>13</v>
      </c>
      <c r="E36" s="205">
        <v>1128</v>
      </c>
      <c r="F36" s="218">
        <f t="shared" si="85"/>
        <v>26.553191489361701</v>
      </c>
      <c r="G36" s="219">
        <f t="shared" si="86"/>
        <v>9.4873172559691419</v>
      </c>
    </row>
    <row r="37">
      <c r="B37" s="204" t="s">
        <v>286</v>
      </c>
      <c r="C37" s="183">
        <v>4</v>
      </c>
      <c r="D37" s="183">
        <v>4</v>
      </c>
      <c r="E37" s="205">
        <v>724</v>
      </c>
      <c r="F37" s="218">
        <f t="shared" si="85"/>
        <v>13.524861878453038</v>
      </c>
      <c r="G37" s="219">
        <f t="shared" si="86"/>
        <v>6.0317703978333608</v>
      </c>
    </row>
    <row r="38">
      <c r="B38" s="204" t="s">
        <v>287</v>
      </c>
      <c r="C38" s="183">
        <v>7</v>
      </c>
      <c r="E38" s="205">
        <v>820</v>
      </c>
      <c r="F38" s="218">
        <f t="shared" si="85"/>
        <v>19.668292682926829</v>
      </c>
      <c r="G38" s="219">
        <f t="shared" si="86"/>
        <v>8.2421588854915289</v>
      </c>
    </row>
    <row r="39">
      <c r="B39" s="204" t="s">
        <v>287</v>
      </c>
      <c r="C39" s="183">
        <v>6.5</v>
      </c>
      <c r="E39" s="205">
        <v>653</v>
      </c>
      <c r="F39" s="218">
        <f t="shared" si="85"/>
        <v>22.934150076569679</v>
      </c>
      <c r="G39" s="219">
        <f t="shared" si="86"/>
        <v>10.769791747073022</v>
      </c>
    </row>
    <row r="40">
      <c r="B40" s="204" t="s">
        <v>288</v>
      </c>
      <c r="C40" s="183">
        <v>4.75</v>
      </c>
      <c r="E40" s="205">
        <v>614</v>
      </c>
      <c r="F40" s="218">
        <f t="shared" si="85"/>
        <v>17.824104234527688</v>
      </c>
      <c r="G40" s="219">
        <f t="shared" si="86"/>
        <v>8.6318676679120738</v>
      </c>
    </row>
    <row r="41">
      <c r="F41" s="218" t="str">
        <f t="shared" si="85"/>
        <v/>
      </c>
      <c r="G41" s="219" t="str">
        <f t="shared" si="86"/>
        <v/>
      </c>
    </row>
    <row r="42">
      <c r="F42" s="218" t="str">
        <f t="shared" si="85"/>
        <v/>
      </c>
      <c r="G42" s="219" t="str">
        <f t="shared" si="86"/>
        <v/>
      </c>
    </row>
    <row r="43">
      <c r="F43" s="218" t="str">
        <f t="shared" si="85"/>
        <v/>
      </c>
      <c r="G43" s="219" t="str">
        <f t="shared" si="86"/>
        <v/>
      </c>
    </row>
    <row r="44">
      <c r="F44" s="218" t="str">
        <f t="shared" si="85"/>
        <v/>
      </c>
      <c r="G44" s="219" t="str">
        <f t="shared" si="86"/>
        <v/>
      </c>
    </row>
    <row r="45">
      <c r="F45" s="218" t="str">
        <f t="shared" si="85"/>
        <v/>
      </c>
      <c r="G45" s="219" t="str">
        <f t="shared" si="86"/>
        <v/>
      </c>
    </row>
    <row r="46">
      <c r="F46" s="218" t="str">
        <f t="shared" si="85"/>
        <v/>
      </c>
      <c r="G46" s="219" t="str">
        <f t="shared" si="86"/>
        <v/>
      </c>
    </row>
    <row r="47">
      <c r="F47" s="218" t="str">
        <f t="shared" si="85"/>
        <v/>
      </c>
      <c r="G47" s="219" t="str">
        <f t="shared" si="86"/>
        <v/>
      </c>
    </row>
    <row r="48">
      <c r="F48" s="218" t="str">
        <f t="shared" si="85"/>
        <v/>
      </c>
      <c r="G48" s="219" t="str">
        <f t="shared" si="86"/>
        <v/>
      </c>
    </row>
    <row r="49">
      <c r="F49" s="218" t="str">
        <f t="shared" si="85"/>
        <v/>
      </c>
      <c r="G49" s="219" t="str">
        <f t="shared" si="86"/>
        <v/>
      </c>
    </row>
    <row r="50">
      <c r="F50" s="218" t="str">
        <f t="shared" si="85"/>
        <v/>
      </c>
      <c r="G50" s="219" t="str">
        <f t="shared" si="86"/>
        <v/>
      </c>
    </row>
    <row r="51">
      <c r="F51" s="218" t="str">
        <f t="shared" si="85"/>
        <v/>
      </c>
      <c r="G51" s="219" t="str">
        <f t="shared" si="86"/>
        <v/>
      </c>
    </row>
    <row r="52">
      <c r="F52" s="218" t="str">
        <f t="shared" si="85"/>
        <v/>
      </c>
      <c r="G52" s="219" t="str">
        <f t="shared" si="86"/>
        <v/>
      </c>
    </row>
    <row r="53">
      <c r="F53" s="218" t="str">
        <f t="shared" si="85"/>
        <v/>
      </c>
      <c r="G53" s="219" t="str">
        <f t="shared" si="86"/>
        <v/>
      </c>
    </row>
    <row r="54">
      <c r="F54" s="218" t="str">
        <f t="shared" si="85"/>
        <v/>
      </c>
      <c r="G54" s="219" t="str">
        <f t="shared" si="86"/>
        <v/>
      </c>
    </row>
    <row r="55">
      <c r="F55" s="218" t="str">
        <f t="shared" si="85"/>
        <v/>
      </c>
      <c r="G55" s="219" t="str">
        <f t="shared" si="86"/>
        <v/>
      </c>
    </row>
    <row r="56">
      <c r="F56" s="218" t="str">
        <f t="shared" si="85"/>
        <v/>
      </c>
      <c r="G56" s="219" t="str">
        <f t="shared" si="86"/>
        <v/>
      </c>
    </row>
    <row r="57">
      <c r="F57" s="218" t="str">
        <f t="shared" si="85"/>
        <v/>
      </c>
      <c r="G57" s="219" t="str">
        <f t="shared" si="86"/>
        <v/>
      </c>
    </row>
    <row r="58">
      <c r="F58" s="218" t="str">
        <f t="shared" si="85"/>
        <v/>
      </c>
      <c r="G58" s="219" t="str">
        <f t="shared" si="86"/>
        <v/>
      </c>
    </row>
    <row r="59">
      <c r="F59" s="218" t="str">
        <f t="shared" si="85"/>
        <v/>
      </c>
      <c r="G59" s="219" t="str">
        <f t="shared" si="86"/>
        <v/>
      </c>
    </row>
    <row r="60">
      <c r="F60" s="218" t="str">
        <f t="shared" si="85"/>
        <v/>
      </c>
      <c r="G60" s="219" t="str">
        <f t="shared" si="86"/>
        <v/>
      </c>
    </row>
    <row r="61">
      <c r="F61" s="218" t="str">
        <f t="shared" si="85"/>
        <v/>
      </c>
      <c r="G61" s="219" t="str">
        <f t="shared" si="86"/>
        <v/>
      </c>
    </row>
    <row r="62">
      <c r="F62" s="218" t="str">
        <f t="shared" si="85"/>
        <v/>
      </c>
      <c r="G62" s="219" t="str">
        <f t="shared" si="86"/>
        <v/>
      </c>
    </row>
    <row r="63">
      <c r="F63" s="218" t="str">
        <f t="shared" si="85"/>
        <v/>
      </c>
      <c r="G63" s="219" t="str">
        <f t="shared" si="86"/>
        <v/>
      </c>
    </row>
    <row r="64">
      <c r="F64" s="218" t="str">
        <f t="shared" si="85"/>
        <v/>
      </c>
      <c r="G64" s="219" t="str">
        <f t="shared" si="86"/>
        <v/>
      </c>
    </row>
    <row r="65">
      <c r="F65" s="218" t="str">
        <f t="shared" si="85"/>
        <v/>
      </c>
      <c r="G65" s="219" t="str">
        <f t="shared" si="86"/>
        <v/>
      </c>
    </row>
    <row r="66">
      <c r="F66" s="218" t="str">
        <f t="shared" si="85"/>
        <v/>
      </c>
      <c r="G66" s="219" t="str">
        <f t="shared" si="86"/>
        <v/>
      </c>
    </row>
    <row r="67">
      <c r="F67" s="218" t="str">
        <f t="shared" si="85"/>
        <v/>
      </c>
      <c r="G67" s="219" t="str">
        <f t="shared" si="86"/>
        <v/>
      </c>
    </row>
    <row r="68">
      <c r="F68" s="218" t="str">
        <f t="shared" si="85"/>
        <v/>
      </c>
      <c r="G68" s="219" t="str">
        <f t="shared" si="86"/>
        <v/>
      </c>
    </row>
    <row r="69">
      <c r="F69" s="218" t="str">
        <f t="shared" si="85"/>
        <v/>
      </c>
      <c r="G69" s="219" t="str">
        <f t="shared" si="86"/>
        <v/>
      </c>
    </row>
    <row r="70">
      <c r="F70" s="218" t="str">
        <f t="shared" si="85"/>
        <v/>
      </c>
      <c r="G70" s="219" t="str">
        <f t="shared" si="86"/>
        <v/>
      </c>
    </row>
    <row r="71">
      <c r="F71" s="218" t="str">
        <f t="shared" si="85"/>
        <v/>
      </c>
      <c r="G71" s="219" t="str">
        <f t="shared" si="86"/>
        <v/>
      </c>
    </row>
    <row r="72">
      <c r="F72" s="218" t="str">
        <f t="shared" si="85"/>
        <v/>
      </c>
      <c r="G72" s="219" t="str">
        <f t="shared" si="86"/>
        <v/>
      </c>
    </row>
    <row r="73">
      <c r="F73" s="218" t="str">
        <f t="shared" si="85"/>
        <v/>
      </c>
      <c r="G73" s="219" t="str">
        <f t="shared" si="86"/>
        <v/>
      </c>
    </row>
    <row r="74">
      <c r="F74" s="218" t="str">
        <f t="shared" si="85"/>
        <v/>
      </c>
      <c r="G74" s="219" t="str">
        <f t="shared" si="86"/>
        <v/>
      </c>
    </row>
    <row r="75">
      <c r="F75" s="218" t="str">
        <f t="shared" si="85"/>
        <v/>
      </c>
      <c r="G75" s="219" t="str">
        <f t="shared" si="86"/>
        <v/>
      </c>
    </row>
    <row r="76">
      <c r="F76" s="218" t="str">
        <f t="shared" si="85"/>
        <v/>
      </c>
      <c r="G76" s="219" t="str">
        <f t="shared" si="86"/>
        <v/>
      </c>
    </row>
    <row r="77">
      <c r="F77" s="218" t="str">
        <f t="shared" si="85"/>
        <v/>
      </c>
      <c r="G77" s="219" t="str">
        <f t="shared" si="86"/>
        <v/>
      </c>
    </row>
    <row r="78">
      <c r="F78" s="218" t="str">
        <f t="shared" si="85"/>
        <v/>
      </c>
      <c r="G78" s="219" t="str">
        <f t="shared" si="86"/>
        <v/>
      </c>
    </row>
    <row r="79">
      <c r="F79" s="218" t="str">
        <f t="shared" si="85"/>
        <v/>
      </c>
      <c r="G79" s="219" t="str">
        <f t="shared" si="86"/>
        <v/>
      </c>
    </row>
    <row r="80">
      <c r="F80" s="218" t="str">
        <f t="shared" si="85"/>
        <v/>
      </c>
      <c r="G80" s="219" t="str">
        <f t="shared" si="86"/>
        <v/>
      </c>
    </row>
    <row r="81">
      <c r="F81" s="218" t="str">
        <f t="shared" si="85"/>
        <v/>
      </c>
      <c r="G81" s="219" t="str">
        <f t="shared" si="86"/>
        <v/>
      </c>
    </row>
    <row r="82">
      <c r="F82" s="218" t="str">
        <f t="shared" si="85"/>
        <v/>
      </c>
      <c r="G82" s="219" t="str">
        <f t="shared" si="86"/>
        <v/>
      </c>
    </row>
    <row r="83">
      <c r="F83" s="218" t="str">
        <f t="shared" si="85"/>
        <v/>
      </c>
      <c r="G83" s="219" t="str">
        <f t="shared" si="86"/>
        <v/>
      </c>
    </row>
    <row r="84">
      <c r="F84" s="218" t="str">
        <f t="shared" si="85"/>
        <v/>
      </c>
      <c r="G84" s="219" t="str">
        <f t="shared" si="86"/>
        <v/>
      </c>
    </row>
    <row r="85">
      <c r="F85" s="218" t="str">
        <f t="shared" si="85"/>
        <v/>
      </c>
      <c r="G85" s="219" t="str">
        <f t="shared" si="86"/>
        <v/>
      </c>
    </row>
    <row r="86">
      <c r="F86" s="218" t="str">
        <f t="shared" si="85"/>
        <v/>
      </c>
      <c r="G86" s="219" t="str">
        <f t="shared" si="86"/>
        <v/>
      </c>
    </row>
    <row r="87">
      <c r="F87" s="218" t="str">
        <f t="shared" si="85"/>
        <v/>
      </c>
      <c r="G87" s="219" t="str">
        <f t="shared" si="86"/>
        <v/>
      </c>
    </row>
    <row r="88">
      <c r="F88" s="218" t="str">
        <f t="shared" si="85"/>
        <v/>
      </c>
      <c r="G88" s="219" t="str">
        <f t="shared" si="86"/>
        <v/>
      </c>
    </row>
    <row r="89">
      <c r="F89" s="218" t="str">
        <f t="shared" si="85"/>
        <v/>
      </c>
      <c r="G89" s="219" t="str">
        <f t="shared" si="86"/>
        <v/>
      </c>
    </row>
    <row r="90">
      <c r="F90" s="218" t="str">
        <f t="shared" si="85"/>
        <v/>
      </c>
      <c r="G90" s="219" t="str">
        <f t="shared" si="86"/>
        <v/>
      </c>
    </row>
    <row r="91">
      <c r="F91" s="218" t="str">
        <f t="shared" si="85"/>
        <v/>
      </c>
      <c r="G91" s="219" t="str">
        <f t="shared" si="86"/>
        <v/>
      </c>
    </row>
    <row r="92">
      <c r="F92" s="218" t="str">
        <f t="shared" si="85"/>
        <v/>
      </c>
      <c r="G92" s="219" t="str">
        <f t="shared" si="86"/>
        <v/>
      </c>
    </row>
    <row r="93">
      <c r="F93" s="218" t="str">
        <f t="shared" si="85"/>
        <v/>
      </c>
      <c r="G93" s="219" t="str">
        <f t="shared" si="86"/>
        <v/>
      </c>
    </row>
    <row r="94">
      <c r="F94" s="218" t="str">
        <f t="shared" si="85"/>
        <v/>
      </c>
      <c r="G94" s="219" t="str">
        <f t="shared" si="86"/>
        <v/>
      </c>
    </row>
    <row r="95">
      <c r="F95" s="218" t="str">
        <f t="shared" si="85"/>
        <v/>
      </c>
      <c r="G95" s="219" t="str">
        <f t="shared" si="86"/>
        <v/>
      </c>
    </row>
    <row r="96">
      <c r="F96" s="218" t="str">
        <f t="shared" si="85"/>
        <v/>
      </c>
      <c r="G96" s="219" t="str">
        <f t="shared" si="86"/>
        <v/>
      </c>
    </row>
    <row r="97">
      <c r="F97" s="218" t="str">
        <f t="shared" si="85"/>
        <v/>
      </c>
      <c r="G97" s="219" t="str">
        <f t="shared" si="86"/>
        <v/>
      </c>
    </row>
    <row r="98">
      <c r="F98" s="218" t="str">
        <f t="shared" ref="F98:F161" si="87">IF($E98=0,"",($C98*16+$D98)*144/$E98)</f>
        <v/>
      </c>
      <c r="G98" s="219" t="str">
        <f t="shared" ref="G98:G161" si="88">IF($E98=0,"",($C98*16+$D98)*(144/$E98)^1.5)</f>
        <v/>
      </c>
    </row>
    <row r="99">
      <c r="F99" s="218" t="str">
        <f t="shared" si="87"/>
        <v/>
      </c>
      <c r="G99" s="219" t="str">
        <f t="shared" si="88"/>
        <v/>
      </c>
    </row>
    <row r="100">
      <c r="F100" s="218" t="str">
        <f t="shared" si="87"/>
        <v/>
      </c>
      <c r="G100" s="219" t="str">
        <f t="shared" si="88"/>
        <v/>
      </c>
    </row>
    <row r="101">
      <c r="F101" s="218" t="str">
        <f t="shared" si="87"/>
        <v/>
      </c>
      <c r="G101" s="219" t="str">
        <f t="shared" si="88"/>
        <v/>
      </c>
    </row>
    <row r="102">
      <c r="F102" s="218" t="str">
        <f t="shared" si="87"/>
        <v/>
      </c>
      <c r="G102" s="219" t="str">
        <f t="shared" si="88"/>
        <v/>
      </c>
    </row>
    <row r="103">
      <c r="F103" s="218" t="str">
        <f t="shared" si="87"/>
        <v/>
      </c>
      <c r="G103" s="219" t="str">
        <f t="shared" si="88"/>
        <v/>
      </c>
    </row>
    <row r="104">
      <c r="F104" s="218" t="str">
        <f t="shared" si="87"/>
        <v/>
      </c>
      <c r="G104" s="219" t="str">
        <f t="shared" si="88"/>
        <v/>
      </c>
    </row>
    <row r="105">
      <c r="F105" s="218" t="str">
        <f t="shared" si="87"/>
        <v/>
      </c>
      <c r="G105" s="219" t="str">
        <f t="shared" si="88"/>
        <v/>
      </c>
    </row>
    <row r="106">
      <c r="F106" s="218" t="str">
        <f t="shared" si="87"/>
        <v/>
      </c>
      <c r="G106" s="219" t="str">
        <f t="shared" si="88"/>
        <v/>
      </c>
    </row>
    <row r="107">
      <c r="F107" s="218" t="str">
        <f t="shared" si="87"/>
        <v/>
      </c>
      <c r="G107" s="219" t="str">
        <f t="shared" si="88"/>
        <v/>
      </c>
    </row>
    <row r="108">
      <c r="F108" s="218" t="str">
        <f t="shared" si="87"/>
        <v/>
      </c>
      <c r="G108" s="219" t="str">
        <f t="shared" si="88"/>
        <v/>
      </c>
    </row>
    <row r="109">
      <c r="F109" s="218" t="str">
        <f t="shared" si="87"/>
        <v/>
      </c>
      <c r="G109" s="219" t="str">
        <f t="shared" si="88"/>
        <v/>
      </c>
    </row>
    <row r="110">
      <c r="F110" s="218" t="str">
        <f t="shared" si="87"/>
        <v/>
      </c>
      <c r="G110" s="219" t="str">
        <f t="shared" si="88"/>
        <v/>
      </c>
    </row>
    <row r="111">
      <c r="F111" s="218" t="str">
        <f t="shared" si="87"/>
        <v/>
      </c>
      <c r="G111" s="219" t="str">
        <f t="shared" si="88"/>
        <v/>
      </c>
    </row>
    <row r="112">
      <c r="F112" s="218" t="str">
        <f t="shared" si="87"/>
        <v/>
      </c>
      <c r="G112" s="219" t="str">
        <f t="shared" si="88"/>
        <v/>
      </c>
    </row>
    <row r="113">
      <c r="F113" s="218" t="str">
        <f t="shared" si="87"/>
        <v/>
      </c>
      <c r="G113" s="219" t="str">
        <f t="shared" si="88"/>
        <v/>
      </c>
    </row>
    <row r="114">
      <c r="F114" s="218" t="str">
        <f t="shared" si="87"/>
        <v/>
      </c>
      <c r="G114" s="219" t="str">
        <f t="shared" si="88"/>
        <v/>
      </c>
    </row>
    <row r="115">
      <c r="F115" s="218" t="str">
        <f t="shared" si="87"/>
        <v/>
      </c>
      <c r="G115" s="219" t="str">
        <f t="shared" si="88"/>
        <v/>
      </c>
    </row>
    <row r="116">
      <c r="F116" s="218" t="str">
        <f t="shared" si="87"/>
        <v/>
      </c>
      <c r="G116" s="219" t="str">
        <f t="shared" si="88"/>
        <v/>
      </c>
    </row>
    <row r="117">
      <c r="F117" s="218" t="str">
        <f t="shared" si="87"/>
        <v/>
      </c>
      <c r="G117" s="219" t="str">
        <f t="shared" si="88"/>
        <v/>
      </c>
    </row>
    <row r="118">
      <c r="F118" s="218" t="str">
        <f t="shared" si="87"/>
        <v/>
      </c>
      <c r="G118" s="219" t="str">
        <f t="shared" si="88"/>
        <v/>
      </c>
    </row>
    <row r="119">
      <c r="F119" s="218" t="str">
        <f t="shared" si="87"/>
        <v/>
      </c>
      <c r="G119" s="219" t="str">
        <f t="shared" si="88"/>
        <v/>
      </c>
    </row>
    <row r="120">
      <c r="F120" s="218" t="str">
        <f t="shared" si="87"/>
        <v/>
      </c>
      <c r="G120" s="219" t="str">
        <f t="shared" si="88"/>
        <v/>
      </c>
    </row>
    <row r="121">
      <c r="F121" s="218" t="str">
        <f t="shared" si="87"/>
        <v/>
      </c>
      <c r="G121" s="219" t="str">
        <f t="shared" si="88"/>
        <v/>
      </c>
    </row>
    <row r="122">
      <c r="F122" s="218" t="str">
        <f t="shared" si="87"/>
        <v/>
      </c>
      <c r="G122" s="219" t="str">
        <f t="shared" si="88"/>
        <v/>
      </c>
    </row>
    <row r="123">
      <c r="F123" s="218" t="str">
        <f t="shared" si="87"/>
        <v/>
      </c>
      <c r="G123" s="219" t="str">
        <f t="shared" si="88"/>
        <v/>
      </c>
    </row>
    <row r="124">
      <c r="F124" s="218" t="str">
        <f t="shared" si="87"/>
        <v/>
      </c>
      <c r="G124" s="219" t="str">
        <f t="shared" si="88"/>
        <v/>
      </c>
    </row>
    <row r="125">
      <c r="F125" s="218" t="str">
        <f t="shared" si="87"/>
        <v/>
      </c>
      <c r="G125" s="219" t="str">
        <f t="shared" si="88"/>
        <v/>
      </c>
    </row>
    <row r="126">
      <c r="F126" s="218" t="str">
        <f t="shared" si="87"/>
        <v/>
      </c>
      <c r="G126" s="219" t="str">
        <f t="shared" si="88"/>
        <v/>
      </c>
    </row>
    <row r="127">
      <c r="F127" s="218" t="str">
        <f t="shared" si="87"/>
        <v/>
      </c>
      <c r="G127" s="219" t="str">
        <f t="shared" si="88"/>
        <v/>
      </c>
    </row>
    <row r="128">
      <c r="F128" s="218" t="str">
        <f t="shared" si="87"/>
        <v/>
      </c>
      <c r="G128" s="219" t="str">
        <f t="shared" si="88"/>
        <v/>
      </c>
    </row>
    <row r="129">
      <c r="F129" s="218" t="str">
        <f t="shared" si="87"/>
        <v/>
      </c>
      <c r="G129" s="219" t="str">
        <f t="shared" si="88"/>
        <v/>
      </c>
    </row>
    <row r="130">
      <c r="F130" s="218" t="str">
        <f t="shared" si="87"/>
        <v/>
      </c>
      <c r="G130" s="219" t="str">
        <f t="shared" si="88"/>
        <v/>
      </c>
    </row>
    <row r="131">
      <c r="F131" s="218" t="str">
        <f t="shared" si="87"/>
        <v/>
      </c>
      <c r="G131" s="219" t="str">
        <f t="shared" si="88"/>
        <v/>
      </c>
    </row>
    <row r="132">
      <c r="F132" s="218" t="str">
        <f t="shared" si="87"/>
        <v/>
      </c>
      <c r="G132" s="219" t="str">
        <f t="shared" si="88"/>
        <v/>
      </c>
    </row>
    <row r="133">
      <c r="F133" s="218" t="str">
        <f t="shared" si="87"/>
        <v/>
      </c>
      <c r="G133" s="219" t="str">
        <f t="shared" si="88"/>
        <v/>
      </c>
    </row>
    <row r="134">
      <c r="F134" s="218" t="str">
        <f t="shared" si="87"/>
        <v/>
      </c>
      <c r="G134" s="219" t="str">
        <f t="shared" si="88"/>
        <v/>
      </c>
    </row>
    <row r="135">
      <c r="F135" s="218" t="str">
        <f t="shared" si="87"/>
        <v/>
      </c>
      <c r="G135" s="219" t="str">
        <f t="shared" si="88"/>
        <v/>
      </c>
    </row>
    <row r="136">
      <c r="F136" s="218" t="str">
        <f t="shared" si="87"/>
        <v/>
      </c>
      <c r="G136" s="219" t="str">
        <f t="shared" si="88"/>
        <v/>
      </c>
    </row>
    <row r="137">
      <c r="F137" s="218" t="str">
        <f t="shared" si="87"/>
        <v/>
      </c>
      <c r="G137" s="219" t="str">
        <f t="shared" si="88"/>
        <v/>
      </c>
    </row>
    <row r="138">
      <c r="F138" s="218" t="str">
        <f t="shared" si="87"/>
        <v/>
      </c>
      <c r="G138" s="219" t="str">
        <f t="shared" si="88"/>
        <v/>
      </c>
    </row>
    <row r="139">
      <c r="F139" s="218" t="str">
        <f t="shared" si="87"/>
        <v/>
      </c>
      <c r="G139" s="219" t="str">
        <f t="shared" si="88"/>
        <v/>
      </c>
    </row>
    <row r="140">
      <c r="F140" s="218" t="str">
        <f t="shared" si="87"/>
        <v/>
      </c>
      <c r="G140" s="219" t="str">
        <f t="shared" si="88"/>
        <v/>
      </c>
    </row>
    <row r="141">
      <c r="F141" s="218" t="str">
        <f t="shared" si="87"/>
        <v/>
      </c>
      <c r="G141" s="219" t="str">
        <f t="shared" si="88"/>
        <v/>
      </c>
    </row>
    <row r="142">
      <c r="F142" s="218" t="str">
        <f t="shared" si="87"/>
        <v/>
      </c>
      <c r="G142" s="219" t="str">
        <f t="shared" si="88"/>
        <v/>
      </c>
    </row>
    <row r="143">
      <c r="F143" s="218" t="str">
        <f t="shared" si="87"/>
        <v/>
      </c>
      <c r="G143" s="219" t="str">
        <f t="shared" si="88"/>
        <v/>
      </c>
    </row>
    <row r="144">
      <c r="F144" s="218" t="str">
        <f t="shared" si="87"/>
        <v/>
      </c>
      <c r="G144" s="219" t="str">
        <f t="shared" si="88"/>
        <v/>
      </c>
    </row>
    <row r="145">
      <c r="F145" s="218" t="str">
        <f t="shared" si="87"/>
        <v/>
      </c>
      <c r="G145" s="219" t="str">
        <f t="shared" si="88"/>
        <v/>
      </c>
    </row>
    <row r="146">
      <c r="F146" s="218" t="str">
        <f t="shared" si="87"/>
        <v/>
      </c>
      <c r="G146" s="219" t="str">
        <f t="shared" si="88"/>
        <v/>
      </c>
    </row>
    <row r="147">
      <c r="F147" s="218" t="str">
        <f t="shared" si="87"/>
        <v/>
      </c>
      <c r="G147" s="219" t="str">
        <f t="shared" si="88"/>
        <v/>
      </c>
    </row>
    <row r="148">
      <c r="F148" s="218" t="str">
        <f t="shared" si="87"/>
        <v/>
      </c>
      <c r="G148" s="219" t="str">
        <f t="shared" si="88"/>
        <v/>
      </c>
    </row>
    <row r="149">
      <c r="F149" s="218" t="str">
        <f t="shared" si="87"/>
        <v/>
      </c>
      <c r="G149" s="219" t="str">
        <f t="shared" si="88"/>
        <v/>
      </c>
    </row>
    <row r="150">
      <c r="F150" s="218" t="str">
        <f t="shared" si="87"/>
        <v/>
      </c>
      <c r="G150" s="219" t="str">
        <f t="shared" si="88"/>
        <v/>
      </c>
    </row>
    <row r="151">
      <c r="F151" s="218" t="str">
        <f t="shared" si="87"/>
        <v/>
      </c>
      <c r="G151" s="219" t="str">
        <f t="shared" si="88"/>
        <v/>
      </c>
    </row>
    <row r="152">
      <c r="F152" s="218" t="str">
        <f t="shared" si="87"/>
        <v/>
      </c>
      <c r="G152" s="219" t="str">
        <f t="shared" si="88"/>
        <v/>
      </c>
    </row>
    <row r="153">
      <c r="F153" s="218" t="str">
        <f t="shared" si="87"/>
        <v/>
      </c>
      <c r="G153" s="219" t="str">
        <f t="shared" si="88"/>
        <v/>
      </c>
    </row>
    <row r="154">
      <c r="F154" s="218" t="str">
        <f t="shared" si="87"/>
        <v/>
      </c>
      <c r="G154" s="219" t="str">
        <f t="shared" si="88"/>
        <v/>
      </c>
    </row>
    <row r="155">
      <c r="F155" s="218" t="str">
        <f t="shared" si="87"/>
        <v/>
      </c>
      <c r="G155" s="219" t="str">
        <f t="shared" si="88"/>
        <v/>
      </c>
    </row>
    <row r="156">
      <c r="F156" s="218" t="str">
        <f t="shared" si="87"/>
        <v/>
      </c>
      <c r="G156" s="219" t="str">
        <f t="shared" si="88"/>
        <v/>
      </c>
    </row>
    <row r="157">
      <c r="F157" s="218" t="str">
        <f t="shared" si="87"/>
        <v/>
      </c>
      <c r="G157" s="219" t="str">
        <f t="shared" si="88"/>
        <v/>
      </c>
    </row>
    <row r="158">
      <c r="F158" s="218" t="str">
        <f t="shared" si="87"/>
        <v/>
      </c>
      <c r="G158" s="219" t="str">
        <f t="shared" si="88"/>
        <v/>
      </c>
    </row>
    <row r="159">
      <c r="F159" s="218" t="str">
        <f t="shared" si="87"/>
        <v/>
      </c>
      <c r="G159" s="219" t="str">
        <f t="shared" si="88"/>
        <v/>
      </c>
    </row>
    <row r="160">
      <c r="F160" s="218" t="str">
        <f t="shared" si="87"/>
        <v/>
      </c>
      <c r="G160" s="219" t="str">
        <f t="shared" si="88"/>
        <v/>
      </c>
    </row>
    <row r="161">
      <c r="F161" s="218" t="str">
        <f t="shared" si="87"/>
        <v/>
      </c>
      <c r="G161" s="219" t="str">
        <f t="shared" si="88"/>
        <v/>
      </c>
    </row>
    <row r="162">
      <c r="F162" s="218" t="str">
        <f t="shared" ref="F162:F216" si="89">IF($E162=0,"",($C162*16+$D162)*144/$E162)</f>
        <v/>
      </c>
      <c r="G162" s="219" t="str">
        <f t="shared" ref="G162:G216" si="90">IF($E162=0,"",($C162*16+$D162)*(144/$E162)^1.5)</f>
        <v/>
      </c>
    </row>
    <row r="163">
      <c r="F163" s="218" t="str">
        <f t="shared" si="89"/>
        <v/>
      </c>
      <c r="G163" s="219" t="str">
        <f t="shared" si="90"/>
        <v/>
      </c>
    </row>
    <row r="164">
      <c r="F164" s="218" t="str">
        <f t="shared" si="89"/>
        <v/>
      </c>
      <c r="G164" s="219" t="str">
        <f t="shared" si="90"/>
        <v/>
      </c>
    </row>
    <row r="165">
      <c r="F165" s="218" t="str">
        <f t="shared" si="89"/>
        <v/>
      </c>
      <c r="G165" s="219" t="str">
        <f t="shared" si="90"/>
        <v/>
      </c>
    </row>
    <row r="166">
      <c r="F166" s="218" t="str">
        <f t="shared" si="89"/>
        <v/>
      </c>
      <c r="G166" s="219" t="str">
        <f t="shared" si="90"/>
        <v/>
      </c>
    </row>
    <row r="167">
      <c r="F167" s="218" t="str">
        <f t="shared" si="89"/>
        <v/>
      </c>
      <c r="G167" s="219" t="str">
        <f t="shared" si="90"/>
        <v/>
      </c>
    </row>
    <row r="168">
      <c r="F168" s="218" t="str">
        <f t="shared" si="89"/>
        <v/>
      </c>
      <c r="G168" s="219" t="str">
        <f t="shared" si="90"/>
        <v/>
      </c>
    </row>
    <row r="169">
      <c r="F169" s="218" t="str">
        <f t="shared" si="89"/>
        <v/>
      </c>
      <c r="G169" s="219" t="str">
        <f t="shared" si="90"/>
        <v/>
      </c>
    </row>
    <row r="170">
      <c r="F170" s="218" t="str">
        <f t="shared" si="89"/>
        <v/>
      </c>
      <c r="G170" s="219" t="str">
        <f t="shared" si="90"/>
        <v/>
      </c>
    </row>
    <row r="171">
      <c r="F171" s="218" t="str">
        <f t="shared" si="89"/>
        <v/>
      </c>
      <c r="G171" s="219" t="str">
        <f t="shared" si="90"/>
        <v/>
      </c>
    </row>
    <row r="172">
      <c r="F172" s="218" t="str">
        <f t="shared" si="89"/>
        <v/>
      </c>
      <c r="G172" s="219" t="str">
        <f t="shared" si="90"/>
        <v/>
      </c>
    </row>
    <row r="173">
      <c r="F173" s="218" t="str">
        <f t="shared" si="89"/>
        <v/>
      </c>
      <c r="G173" s="219" t="str">
        <f t="shared" si="90"/>
        <v/>
      </c>
    </row>
    <row r="174">
      <c r="F174" s="218" t="str">
        <f t="shared" si="89"/>
        <v/>
      </c>
      <c r="G174" s="219" t="str">
        <f t="shared" si="90"/>
        <v/>
      </c>
    </row>
    <row r="175">
      <c r="F175" s="218" t="str">
        <f t="shared" si="89"/>
        <v/>
      </c>
      <c r="G175" s="219" t="str">
        <f t="shared" si="90"/>
        <v/>
      </c>
    </row>
    <row r="176">
      <c r="F176" s="218" t="str">
        <f t="shared" si="89"/>
        <v/>
      </c>
      <c r="G176" s="219" t="str">
        <f t="shared" si="90"/>
        <v/>
      </c>
    </row>
    <row r="177">
      <c r="F177" s="218" t="str">
        <f t="shared" si="89"/>
        <v/>
      </c>
      <c r="G177" s="219" t="str">
        <f t="shared" si="90"/>
        <v/>
      </c>
    </row>
    <row r="178">
      <c r="F178" s="218" t="str">
        <f t="shared" si="89"/>
        <v/>
      </c>
      <c r="G178" s="219" t="str">
        <f t="shared" si="90"/>
        <v/>
      </c>
    </row>
    <row r="179">
      <c r="F179" s="218" t="str">
        <f t="shared" si="89"/>
        <v/>
      </c>
      <c r="G179" s="219" t="str">
        <f t="shared" si="90"/>
        <v/>
      </c>
    </row>
    <row r="180">
      <c r="F180" s="218" t="str">
        <f t="shared" si="89"/>
        <v/>
      </c>
      <c r="G180" s="219" t="str">
        <f t="shared" si="90"/>
        <v/>
      </c>
    </row>
    <row r="181">
      <c r="F181" s="218" t="str">
        <f t="shared" si="89"/>
        <v/>
      </c>
      <c r="G181" s="219" t="str">
        <f t="shared" si="90"/>
        <v/>
      </c>
    </row>
    <row r="182">
      <c r="F182" s="218" t="str">
        <f t="shared" si="89"/>
        <v/>
      </c>
      <c r="G182" s="219" t="str">
        <f t="shared" si="90"/>
        <v/>
      </c>
    </row>
    <row r="183">
      <c r="F183" s="218" t="str">
        <f t="shared" si="89"/>
        <v/>
      </c>
      <c r="G183" s="219" t="str">
        <f t="shared" si="90"/>
        <v/>
      </c>
    </row>
    <row r="184">
      <c r="F184" s="218" t="str">
        <f t="shared" si="89"/>
        <v/>
      </c>
      <c r="G184" s="219" t="str">
        <f t="shared" si="90"/>
        <v/>
      </c>
    </row>
    <row r="185">
      <c r="F185" s="218" t="str">
        <f t="shared" si="89"/>
        <v/>
      </c>
      <c r="G185" s="219" t="str">
        <f t="shared" si="90"/>
        <v/>
      </c>
    </row>
    <row r="186">
      <c r="F186" s="218" t="str">
        <f t="shared" si="89"/>
        <v/>
      </c>
      <c r="G186" s="219" t="str">
        <f t="shared" si="90"/>
        <v/>
      </c>
    </row>
    <row r="187">
      <c r="F187" s="218" t="str">
        <f t="shared" si="89"/>
        <v/>
      </c>
      <c r="G187" s="219" t="str">
        <f t="shared" si="90"/>
        <v/>
      </c>
    </row>
    <row r="188">
      <c r="F188" s="218" t="str">
        <f t="shared" si="89"/>
        <v/>
      </c>
      <c r="G188" s="219" t="str">
        <f t="shared" si="90"/>
        <v/>
      </c>
    </row>
    <row r="189">
      <c r="F189" s="218" t="str">
        <f t="shared" si="89"/>
        <v/>
      </c>
      <c r="G189" s="219" t="str">
        <f t="shared" si="90"/>
        <v/>
      </c>
    </row>
    <row r="190">
      <c r="F190" s="218" t="str">
        <f t="shared" si="89"/>
        <v/>
      </c>
      <c r="G190" s="219" t="str">
        <f t="shared" si="90"/>
        <v/>
      </c>
    </row>
    <row r="191">
      <c r="F191" s="218" t="str">
        <f t="shared" si="89"/>
        <v/>
      </c>
      <c r="G191" s="219" t="str">
        <f t="shared" si="90"/>
        <v/>
      </c>
    </row>
    <row r="192">
      <c r="F192" s="218" t="str">
        <f t="shared" si="89"/>
        <v/>
      </c>
      <c r="G192" s="219" t="str">
        <f t="shared" si="90"/>
        <v/>
      </c>
    </row>
    <row r="193">
      <c r="F193" s="218" t="str">
        <f t="shared" si="89"/>
        <v/>
      </c>
      <c r="G193" s="219" t="str">
        <f t="shared" si="90"/>
        <v/>
      </c>
    </row>
    <row r="194">
      <c r="F194" s="218" t="str">
        <f t="shared" si="89"/>
        <v/>
      </c>
      <c r="G194" s="219" t="str">
        <f t="shared" si="90"/>
        <v/>
      </c>
    </row>
    <row r="195">
      <c r="F195" s="218" t="str">
        <f t="shared" si="89"/>
        <v/>
      </c>
      <c r="G195" s="219" t="str">
        <f t="shared" si="90"/>
        <v/>
      </c>
    </row>
    <row r="196">
      <c r="F196" s="218" t="str">
        <f t="shared" si="89"/>
        <v/>
      </c>
      <c r="G196" s="219" t="str">
        <f t="shared" si="90"/>
        <v/>
      </c>
    </row>
    <row r="197">
      <c r="F197" s="218" t="str">
        <f t="shared" si="89"/>
        <v/>
      </c>
      <c r="G197" s="219" t="str">
        <f t="shared" si="90"/>
        <v/>
      </c>
    </row>
    <row r="198">
      <c r="F198" s="218" t="str">
        <f t="shared" si="89"/>
        <v/>
      </c>
      <c r="G198" s="219" t="str">
        <f t="shared" si="90"/>
        <v/>
      </c>
    </row>
    <row r="199">
      <c r="F199" s="218" t="str">
        <f t="shared" si="89"/>
        <v/>
      </c>
      <c r="G199" s="219" t="str">
        <f t="shared" si="90"/>
        <v/>
      </c>
    </row>
    <row r="200">
      <c r="F200" s="218" t="str">
        <f t="shared" si="89"/>
        <v/>
      </c>
      <c r="G200" s="219" t="str">
        <f t="shared" si="90"/>
        <v/>
      </c>
    </row>
    <row r="201">
      <c r="F201" s="218" t="str">
        <f t="shared" si="89"/>
        <v/>
      </c>
      <c r="G201" s="219" t="str">
        <f t="shared" si="90"/>
        <v/>
      </c>
    </row>
    <row r="202">
      <c r="F202" s="218" t="str">
        <f t="shared" si="89"/>
        <v/>
      </c>
      <c r="G202" s="219" t="str">
        <f t="shared" si="90"/>
        <v/>
      </c>
    </row>
    <row r="203">
      <c r="F203" s="218" t="str">
        <f t="shared" si="89"/>
        <v/>
      </c>
      <c r="G203" s="219" t="str">
        <f t="shared" si="90"/>
        <v/>
      </c>
    </row>
    <row r="204">
      <c r="F204" s="218" t="str">
        <f t="shared" si="89"/>
        <v/>
      </c>
      <c r="G204" s="219" t="str">
        <f t="shared" si="90"/>
        <v/>
      </c>
    </row>
    <row r="205">
      <c r="F205" s="218" t="str">
        <f t="shared" si="89"/>
        <v/>
      </c>
      <c r="G205" s="219" t="str">
        <f t="shared" si="90"/>
        <v/>
      </c>
    </row>
    <row r="206">
      <c r="F206" s="218" t="str">
        <f t="shared" si="89"/>
        <v/>
      </c>
      <c r="G206" s="219" t="str">
        <f t="shared" si="90"/>
        <v/>
      </c>
    </row>
    <row r="207">
      <c r="F207" s="218" t="str">
        <f t="shared" si="89"/>
        <v/>
      </c>
      <c r="G207" s="219" t="str">
        <f t="shared" si="90"/>
        <v/>
      </c>
    </row>
    <row r="208">
      <c r="F208" s="218" t="str">
        <f t="shared" si="89"/>
        <v/>
      </c>
      <c r="G208" s="219" t="str">
        <f t="shared" si="90"/>
        <v/>
      </c>
    </row>
    <row r="209">
      <c r="F209" s="218" t="str">
        <f t="shared" si="89"/>
        <v/>
      </c>
      <c r="G209" s="219" t="str">
        <f t="shared" si="90"/>
        <v/>
      </c>
    </row>
    <row r="210">
      <c r="F210" s="218" t="str">
        <f t="shared" si="89"/>
        <v/>
      </c>
      <c r="G210" s="219" t="str">
        <f t="shared" si="90"/>
        <v/>
      </c>
    </row>
    <row r="211">
      <c r="F211" s="218" t="str">
        <f t="shared" si="89"/>
        <v/>
      </c>
      <c r="G211" s="219" t="str">
        <f t="shared" si="90"/>
        <v/>
      </c>
    </row>
    <row r="212">
      <c r="F212" s="218" t="str">
        <f t="shared" si="89"/>
        <v/>
      </c>
      <c r="G212" s="219" t="str">
        <f t="shared" si="90"/>
        <v/>
      </c>
    </row>
    <row r="213">
      <c r="F213" s="218" t="str">
        <f t="shared" si="89"/>
        <v/>
      </c>
      <c r="G213" s="219" t="str">
        <f t="shared" si="90"/>
        <v/>
      </c>
    </row>
    <row r="214">
      <c r="F214" s="218" t="str">
        <f t="shared" si="89"/>
        <v/>
      </c>
      <c r="G214" s="219" t="str">
        <f t="shared" si="90"/>
        <v/>
      </c>
    </row>
    <row r="215">
      <c r="F215" s="218" t="str">
        <f t="shared" si="89"/>
        <v/>
      </c>
      <c r="G215" s="219" t="str">
        <f t="shared" si="90"/>
        <v/>
      </c>
    </row>
    <row r="216">
      <c r="F216" s="218" t="str">
        <f t="shared" si="89"/>
        <v/>
      </c>
      <c r="G216" s="219" t="str">
        <f t="shared" si="90"/>
        <v/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12" activeCellId="0" sqref="C12"/>
    </sheetView>
  </sheetViews>
  <sheetFormatPr defaultRowHeight="12.75"/>
  <cols>
    <col min="1" max="1" style="170" width="9.140625"/>
    <col customWidth="1" min="2" max="2" style="202" width="47.28515625"/>
    <col customWidth="1" min="3" max="3" style="179" width="6.5703125"/>
    <col customWidth="1" min="4" max="4" style="226" width="10"/>
    <col min="5" max="16384" style="170" width="9.140625"/>
  </cols>
  <sheetData>
    <row r="1" ht="16.5">
      <c r="B1" s="227" t="s">
        <v>289</v>
      </c>
    </row>
    <row r="2">
      <c r="B2" s="228" t="s">
        <v>290</v>
      </c>
      <c r="C2" s="229">
        <v>5</v>
      </c>
      <c r="D2" s="230" t="s">
        <v>107</v>
      </c>
    </row>
    <row r="3" ht="13.5">
      <c r="B3" s="231" t="s">
        <v>291</v>
      </c>
      <c r="C3" s="232">
        <v>3</v>
      </c>
      <c r="D3" s="233" t="s">
        <v>107</v>
      </c>
    </row>
    <row r="4" ht="13.5">
      <c r="B4" s="172"/>
    </row>
    <row r="5">
      <c r="B5" s="228" t="s">
        <v>292</v>
      </c>
      <c r="C5" s="229">
        <v>50</v>
      </c>
      <c r="D5" s="230" t="s">
        <v>293</v>
      </c>
    </row>
    <row r="6" ht="13.5">
      <c r="B6" s="231" t="s">
        <v>294</v>
      </c>
      <c r="C6" s="232">
        <v>5</v>
      </c>
      <c r="D6" s="233" t="s">
        <v>295</v>
      </c>
    </row>
    <row r="7" ht="13.5">
      <c r="B7" s="172"/>
    </row>
    <row r="8">
      <c r="B8" s="228" t="s">
        <v>296</v>
      </c>
      <c r="C8" s="229">
        <v>125</v>
      </c>
      <c r="D8" s="230" t="s">
        <v>297</v>
      </c>
    </row>
    <row r="9" ht="13.5">
      <c r="B9" s="231" t="s">
        <v>298</v>
      </c>
      <c r="C9" s="232">
        <v>6</v>
      </c>
      <c r="D9" s="233" t="s">
        <v>107</v>
      </c>
    </row>
    <row r="10">
      <c r="B10" s="228" t="s">
        <v>299</v>
      </c>
      <c r="C10" s="229">
        <v>0</v>
      </c>
      <c r="D10" s="230" t="s">
        <v>297</v>
      </c>
    </row>
    <row r="11" ht="13.5">
      <c r="B11" s="231" t="s">
        <v>300</v>
      </c>
      <c r="C11" s="232">
        <v>0</v>
      </c>
      <c r="D11" s="233" t="s">
        <v>107</v>
      </c>
    </row>
    <row r="12" ht="13.5">
      <c r="B12" s="231" t="s">
        <v>301</v>
      </c>
      <c r="C12" s="232">
        <v>0</v>
      </c>
      <c r="D12" s="233" t="s">
        <v>297</v>
      </c>
    </row>
    <row r="14">
      <c r="B14" s="172"/>
    </row>
    <row r="15" ht="16.5">
      <c r="B15" s="227" t="s">
        <v>302</v>
      </c>
    </row>
    <row r="16">
      <c r="B16" s="234" t="s">
        <v>303</v>
      </c>
      <c r="C16" s="235">
        <f>C2/C3</f>
        <v>1.6666666666666667</v>
      </c>
      <c r="D16" s="236"/>
    </row>
    <row r="17">
      <c r="B17" s="237" t="s">
        <v>304</v>
      </c>
      <c r="C17" s="238">
        <f>(C5/C6)*(180*1.35582)/(3.14*16*12)</f>
        <v>4.0480294585987266</v>
      </c>
      <c r="D17" s="239" t="s">
        <v>305</v>
      </c>
    </row>
    <row r="18">
      <c r="B18" s="237" t="s">
        <v>306</v>
      </c>
      <c r="C18" s="238">
        <f>C17*C16^2</f>
        <v>11.244526273885354</v>
      </c>
      <c r="D18" s="239" t="s">
        <v>305</v>
      </c>
    </row>
    <row r="19" ht="13.5">
      <c r="B19" s="240" t="s">
        <v>307</v>
      </c>
      <c r="C19" s="241">
        <f>(C5/16)/(C3/2.54)</f>
        <v>2.6458333333333335</v>
      </c>
      <c r="D19" s="242" t="s">
        <v>137</v>
      </c>
    </row>
    <row r="20" ht="13.5">
      <c r="B20" s="172"/>
    </row>
    <row r="21">
      <c r="B21" s="234" t="s">
        <v>308</v>
      </c>
      <c r="C21" s="243">
        <f>C8*C9^2+C10*C11^2+C12*C2^2</f>
        <v>4500</v>
      </c>
      <c r="D21" s="236" t="s">
        <v>309</v>
      </c>
    </row>
    <row r="22" ht="13.5">
      <c r="B22" s="240" t="s">
        <v>310</v>
      </c>
      <c r="C22" s="244">
        <f>C8*C9-C10*C11</f>
        <v>750</v>
      </c>
      <c r="D22" s="242" t="s">
        <v>311</v>
      </c>
    </row>
    <row r="23" ht="13.5">
      <c r="B23" s="172"/>
    </row>
    <row r="24">
      <c r="B24" s="234" t="s">
        <v>312</v>
      </c>
      <c r="C24" s="243">
        <f>SQRT(2*10^7*C18/C21)/(2*PI())</f>
        <v>35.579468354772473</v>
      </c>
      <c r="D24" s="236" t="s">
        <v>313</v>
      </c>
    </row>
    <row r="25" ht="13.5">
      <c r="B25" s="245" t="s">
        <v>312</v>
      </c>
      <c r="C25" s="246">
        <f>C24*60</f>
        <v>2134.7681012863486</v>
      </c>
      <c r="D25" s="247" t="s">
        <v>314</v>
      </c>
    </row>
    <row r="26">
      <c r="B26" s="172"/>
    </row>
    <row r="27" ht="16.5">
      <c r="B27" s="227" t="s">
        <v>315</v>
      </c>
    </row>
    <row r="28">
      <c r="B28" s="202" t="s">
        <v>316</v>
      </c>
    </row>
    <row r="29">
      <c r="B29" s="202" t="s">
        <v>317</v>
      </c>
    </row>
    <row r="30">
      <c r="B30" s="202" t="s">
        <v>318</v>
      </c>
    </row>
    <row r="31">
      <c r="B31" s="202" t="s">
        <v>319</v>
      </c>
    </row>
    <row r="32">
      <c r="B32" s="202" t="s">
        <v>320</v>
      </c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0"/>
  <headerFooter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I1" zoomScale="100" workbookViewId="0">
      <selection activeCell="X3" activeCellId="0" sqref="X3"/>
    </sheetView>
  </sheetViews>
  <sheetFormatPr defaultRowHeight="12.75"/>
  <cols>
    <col customWidth="1" min="1" max="21" style="170" width="9.7109375"/>
    <col min="22" max="16384" style="170" width="9.140625"/>
  </cols>
  <sheetData>
    <row r="1" s="203" customFormat="1">
      <c r="A1" s="203" t="s">
        <v>321</v>
      </c>
      <c r="B1" s="203" t="s">
        <v>322</v>
      </c>
      <c r="C1" s="203" t="s">
        <v>323</v>
      </c>
      <c r="D1" s="203" t="s">
        <v>324</v>
      </c>
      <c r="E1" s="203" t="s">
        <v>325</v>
      </c>
      <c r="F1" s="203" t="s">
        <v>326</v>
      </c>
      <c r="G1" s="203" t="s">
        <v>327</v>
      </c>
      <c r="H1" s="203" t="s">
        <v>328</v>
      </c>
      <c r="I1" s="203" t="s">
        <v>329</v>
      </c>
      <c r="J1" s="203" t="s">
        <v>330</v>
      </c>
      <c r="K1" s="203" t="s">
        <v>331</v>
      </c>
      <c r="L1" s="203" t="s">
        <v>332</v>
      </c>
      <c r="M1" s="203" t="s">
        <v>333</v>
      </c>
      <c r="N1" s="203" t="s">
        <v>334</v>
      </c>
      <c r="O1" s="203" t="s">
        <v>335</v>
      </c>
      <c r="P1" s="203" t="s">
        <v>336</v>
      </c>
      <c r="Q1" s="203" t="s">
        <v>337</v>
      </c>
      <c r="R1" s="203" t="s">
        <v>338</v>
      </c>
      <c r="S1" s="203" t="s">
        <v>339</v>
      </c>
      <c r="T1" s="203" t="s">
        <v>340</v>
      </c>
      <c r="U1" s="203" t="s">
        <v>341</v>
      </c>
    </row>
    <row r="2" s="203" customFormat="1">
      <c r="A2" s="203">
        <v>0</v>
      </c>
      <c r="B2" s="203">
        <v>0</v>
      </c>
      <c r="C2" s="203">
        <v>0</v>
      </c>
      <c r="D2" s="203">
        <v>0</v>
      </c>
      <c r="E2" s="203">
        <v>0</v>
      </c>
      <c r="F2" s="203">
        <v>0</v>
      </c>
      <c r="G2" s="203">
        <v>0</v>
      </c>
      <c r="H2" s="203">
        <v>0</v>
      </c>
      <c r="I2" s="203">
        <v>0</v>
      </c>
      <c r="J2" s="203">
        <v>0</v>
      </c>
      <c r="K2" s="203">
        <v>0</v>
      </c>
      <c r="L2" s="203">
        <v>0</v>
      </c>
      <c r="M2" s="203">
        <v>0</v>
      </c>
      <c r="N2" s="203">
        <v>0</v>
      </c>
      <c r="O2" s="203">
        <v>0</v>
      </c>
      <c r="P2" s="203">
        <v>0</v>
      </c>
      <c r="Q2" s="203">
        <v>0</v>
      </c>
      <c r="R2" s="203">
        <v>0</v>
      </c>
      <c r="S2" s="203">
        <v>0</v>
      </c>
      <c r="T2" s="203">
        <v>0</v>
      </c>
      <c r="U2" s="203">
        <v>0</v>
      </c>
    </row>
    <row r="3" s="203" customFormat="1">
      <c r="A3" s="203">
        <v>5</v>
      </c>
      <c r="B3" s="203">
        <v>15</v>
      </c>
      <c r="C3" s="203">
        <v>20</v>
      </c>
      <c r="D3" s="203">
        <v>22</v>
      </c>
      <c r="E3" s="203">
        <v>25</v>
      </c>
      <c r="F3" s="203">
        <v>15</v>
      </c>
      <c r="G3" s="203">
        <v>20</v>
      </c>
      <c r="H3" s="203">
        <v>20</v>
      </c>
      <c r="I3" s="203">
        <v>22</v>
      </c>
      <c r="J3" s="203">
        <v>19</v>
      </c>
      <c r="K3" s="203">
        <v>21</v>
      </c>
      <c r="L3" s="203">
        <v>24</v>
      </c>
      <c r="M3" s="203">
        <v>27</v>
      </c>
      <c r="N3" s="203">
        <v>20</v>
      </c>
      <c r="O3" s="203">
        <v>22</v>
      </c>
      <c r="P3" s="203">
        <v>25</v>
      </c>
      <c r="Q3" s="203">
        <v>31</v>
      </c>
      <c r="R3" s="177">
        <v>18.5</v>
      </c>
      <c r="S3" s="177">
        <v>19.5</v>
      </c>
      <c r="T3" s="177">
        <v>26.5</v>
      </c>
      <c r="U3" s="177">
        <v>33.5</v>
      </c>
    </row>
    <row r="4" s="203" customFormat="1">
      <c r="A4" s="203">
        <v>10</v>
      </c>
      <c r="B4" s="203">
        <v>22</v>
      </c>
      <c r="C4" s="203">
        <v>28</v>
      </c>
      <c r="D4" s="203">
        <v>32</v>
      </c>
      <c r="E4" s="203">
        <v>35</v>
      </c>
      <c r="F4" s="203">
        <v>23</v>
      </c>
      <c r="G4" s="203">
        <v>26</v>
      </c>
      <c r="H4" s="203">
        <v>25</v>
      </c>
      <c r="I4" s="203">
        <v>29</v>
      </c>
      <c r="J4" s="203">
        <v>27</v>
      </c>
      <c r="K4" s="203">
        <v>35</v>
      </c>
      <c r="L4" s="203">
        <v>34</v>
      </c>
      <c r="M4" s="203">
        <v>38</v>
      </c>
      <c r="N4" s="203">
        <v>32</v>
      </c>
      <c r="O4" s="203">
        <v>35</v>
      </c>
      <c r="P4" s="203">
        <v>41</v>
      </c>
      <c r="Q4" s="203">
        <v>52</v>
      </c>
      <c r="R4" s="177">
        <v>32.5</v>
      </c>
      <c r="S4" s="177">
        <v>35</v>
      </c>
      <c r="T4" s="177">
        <v>39.5</v>
      </c>
      <c r="U4" s="177">
        <v>47.5</v>
      </c>
    </row>
    <row r="5" s="203" customFormat="1">
      <c r="A5" s="203">
        <v>15</v>
      </c>
      <c r="B5" s="203">
        <v>23</v>
      </c>
      <c r="C5" s="203">
        <v>29</v>
      </c>
      <c r="D5" s="203">
        <v>36</v>
      </c>
      <c r="E5" s="203">
        <v>41</v>
      </c>
      <c r="F5" s="203">
        <v>25</v>
      </c>
      <c r="G5" s="203">
        <v>30</v>
      </c>
      <c r="H5" s="203">
        <v>35</v>
      </c>
      <c r="I5" s="203">
        <v>42</v>
      </c>
      <c r="J5" s="203">
        <v>31</v>
      </c>
      <c r="K5" s="203">
        <v>39</v>
      </c>
      <c r="L5" s="203">
        <v>40</v>
      </c>
      <c r="M5" s="203">
        <v>46</v>
      </c>
      <c r="N5" s="203">
        <v>35</v>
      </c>
      <c r="O5" s="203">
        <v>43</v>
      </c>
      <c r="P5" s="203">
        <v>54</v>
      </c>
      <c r="Q5" s="203">
        <v>65</v>
      </c>
      <c r="R5" s="177">
        <v>38</v>
      </c>
      <c r="S5" s="177">
        <v>44.5</v>
      </c>
      <c r="T5" s="177">
        <v>50</v>
      </c>
      <c r="U5" s="177">
        <v>63.5</v>
      </c>
    </row>
    <row r="7">
      <c r="R7" s="248"/>
      <c r="S7" s="248"/>
      <c r="T7" s="248"/>
      <c r="U7" s="248"/>
    </row>
    <row r="8">
      <c r="R8" s="248"/>
      <c r="S8" s="248"/>
      <c r="T8" s="248"/>
      <c r="U8" s="248"/>
    </row>
    <row r="9">
      <c r="R9" s="248"/>
      <c r="S9" s="248"/>
      <c r="T9" s="248"/>
      <c r="U9" s="248"/>
    </row>
    <row r="25">
      <c r="B25" s="170" t="s">
        <v>342</v>
      </c>
    </row>
    <row r="27">
      <c r="B27" s="170" t="s">
        <v>343</v>
      </c>
    </row>
    <row r="28">
      <c r="B28" s="170" t="s">
        <v>344</v>
      </c>
    </row>
    <row r="29">
      <c r="B29" s="170" t="s">
        <v>345</v>
      </c>
    </row>
    <row r="30">
      <c r="B30" s="170" t="s">
        <v>346</v>
      </c>
    </row>
    <row r="31">
      <c r="B31" s="170" t="s">
        <v>347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Tenney</dc:creator>
  <cp:revision>3</cp:revision>
  <dcterms:created xsi:type="dcterms:W3CDTF">1998-03-24T21:02:46Z</dcterms:created>
  <dcterms:modified xsi:type="dcterms:W3CDTF">2024-03-27T20:29:39Z</dcterms:modified>
</cp:coreProperties>
</file>