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1445"/>
  </bookViews>
  <sheets>
    <sheet name="Dashboard" sheetId="11" r:id="rId1"/>
    <sheet name="Aff 30% AMI_50 unit" sheetId="8" r:id="rId2"/>
    <sheet name="Aff 30% AMI_100 unit" sheetId="9" r:id="rId3"/>
    <sheet name="Aff 60% AMI_50 unit" sheetId="1" r:id="rId4"/>
    <sheet name="Aff 60% AMI_100 unit" sheetId="5" r:id="rId5"/>
    <sheet name="Market rate_50 unit" sheetId="7" r:id="rId6"/>
    <sheet name="Market rate_100 unit" sheetId="6" r:id="rId7"/>
  </sheets>
  <definedNames>
    <definedName name="adjustrent">Dashboard!$C$25</definedName>
    <definedName name="caprate">Dashboard!$C$28</definedName>
    <definedName name="DSCR">Dashboard!$C$29</definedName>
    <definedName name="interestrate">Dashboard!$C$26</definedName>
    <definedName name="ltv">Dashboard!$C$30</definedName>
    <definedName name="taxcreditsub">Dashboard!$C$31</definedName>
    <definedName name="vacancy">Dashboard!$C$27</definedName>
  </definedNames>
  <calcPr calcId="145621"/>
</workbook>
</file>

<file path=xl/calcChain.xml><?xml version="1.0" encoding="utf-8"?>
<calcChain xmlns="http://schemas.openxmlformats.org/spreadsheetml/2006/main">
  <c r="Q27" i="5" l="1"/>
  <c r="M27" i="9"/>
  <c r="B22" i="8" l="1"/>
  <c r="B25" i="1" l="1"/>
  <c r="O11" i="11" l="1"/>
  <c r="O8" i="11"/>
  <c r="O7" i="11"/>
  <c r="O5" i="11"/>
  <c r="M11" i="11"/>
  <c r="M8" i="11"/>
  <c r="M7" i="11"/>
  <c r="M5" i="11"/>
  <c r="K11" i="11"/>
  <c r="K8" i="11"/>
  <c r="K7" i="11"/>
  <c r="K5" i="11"/>
  <c r="I11" i="11"/>
  <c r="I8" i="11"/>
  <c r="I7" i="11"/>
  <c r="I5" i="11"/>
  <c r="G11" i="11"/>
  <c r="G8" i="11"/>
  <c r="G7" i="11"/>
  <c r="G5" i="11"/>
  <c r="E11" i="11" l="1"/>
  <c r="E8" i="11"/>
  <c r="E7" i="11"/>
  <c r="B23" i="6"/>
  <c r="B21" i="6"/>
  <c r="B14" i="6"/>
  <c r="B24" i="7"/>
  <c r="B22" i="7"/>
  <c r="B15" i="7"/>
  <c r="B24" i="5"/>
  <c r="B22" i="5"/>
  <c r="B15" i="5"/>
  <c r="B23" i="1"/>
  <c r="B16" i="1"/>
  <c r="B23" i="9"/>
  <c r="B21" i="9"/>
  <c r="B14" i="9"/>
  <c r="B24" i="8"/>
  <c r="B15" i="8"/>
  <c r="B9" i="6"/>
  <c r="B9" i="7"/>
  <c r="B9" i="5"/>
  <c r="B9" i="1"/>
  <c r="B9" i="9"/>
  <c r="B9" i="8"/>
  <c r="B17" i="6"/>
  <c r="B18" i="7"/>
  <c r="B18" i="5"/>
  <c r="B19" i="1"/>
  <c r="B17" i="9"/>
  <c r="B18" i="8"/>
  <c r="H9" i="6"/>
  <c r="H9" i="7"/>
  <c r="L9" i="5"/>
  <c r="H9" i="1"/>
  <c r="H9" i="9"/>
  <c r="H9" i="8"/>
  <c r="O4" i="11"/>
  <c r="M4" i="11"/>
  <c r="M3" i="11"/>
  <c r="O3" i="11"/>
  <c r="K4" i="11"/>
  <c r="K3" i="11"/>
  <c r="I4" i="11"/>
  <c r="I3" i="11"/>
  <c r="G3" i="11"/>
  <c r="G4" i="11"/>
  <c r="E4" i="11"/>
  <c r="B1" i="6"/>
  <c r="B1" i="7"/>
  <c r="B1" i="5"/>
  <c r="B1" i="1"/>
  <c r="B1" i="9"/>
  <c r="E3" i="11"/>
  <c r="B1" i="8"/>
  <c r="H7" i="6" l="1"/>
  <c r="I7" i="6" s="1"/>
  <c r="J7" i="6" s="1"/>
  <c r="H6" i="6"/>
  <c r="I6" i="6" s="1"/>
  <c r="J6" i="6" s="1"/>
  <c r="H5" i="6"/>
  <c r="I5" i="6" s="1"/>
  <c r="H7" i="7"/>
  <c r="I7" i="7" s="1"/>
  <c r="J7" i="7" s="1"/>
  <c r="H6" i="7"/>
  <c r="I6" i="7" s="1"/>
  <c r="J6" i="7" s="1"/>
  <c r="H5" i="7"/>
  <c r="I5" i="7" s="1"/>
  <c r="J5" i="7" s="1"/>
  <c r="E15" i="7"/>
  <c r="L7" i="5"/>
  <c r="M7" i="5" s="1"/>
  <c r="N7" i="5" s="1"/>
  <c r="L6" i="5"/>
  <c r="M6" i="5" s="1"/>
  <c r="N6" i="5" s="1"/>
  <c r="L5" i="5"/>
  <c r="M5" i="5" s="1"/>
  <c r="H7" i="1"/>
  <c r="I7" i="1" s="1"/>
  <c r="J7" i="1" s="1"/>
  <c r="H6" i="1"/>
  <c r="I6" i="1" s="1"/>
  <c r="J6" i="1" s="1"/>
  <c r="H5" i="1"/>
  <c r="I5" i="1" s="1"/>
  <c r="E15" i="1"/>
  <c r="H7" i="9"/>
  <c r="I7" i="9" s="1"/>
  <c r="J7" i="9" s="1"/>
  <c r="H6" i="9"/>
  <c r="I6" i="9" s="1"/>
  <c r="J6" i="9" s="1"/>
  <c r="H5" i="9"/>
  <c r="I5" i="9" s="1"/>
  <c r="J5" i="9" s="1"/>
  <c r="H7" i="8"/>
  <c r="I7" i="8" s="1"/>
  <c r="J7" i="8" s="1"/>
  <c r="H6" i="8"/>
  <c r="I6" i="8" s="1"/>
  <c r="J6" i="8" s="1"/>
  <c r="H5" i="8"/>
  <c r="I5" i="8" s="1"/>
  <c r="M26" i="7"/>
  <c r="M27" i="6"/>
  <c r="J5" i="8" l="1"/>
  <c r="E5" i="11"/>
  <c r="J8" i="7"/>
  <c r="M6" i="11" s="1"/>
  <c r="J8" i="9"/>
  <c r="G6" i="11" s="1"/>
  <c r="I8" i="6"/>
  <c r="J5" i="6"/>
  <c r="J8" i="6" s="1"/>
  <c r="O6" i="11" s="1"/>
  <c r="I8" i="7"/>
  <c r="N5" i="5"/>
  <c r="N8" i="5" s="1"/>
  <c r="K6" i="11" s="1"/>
  <c r="M8" i="5"/>
  <c r="I8" i="1"/>
  <c r="J5" i="1"/>
  <c r="J8" i="1" s="1"/>
  <c r="I6" i="11" s="1"/>
  <c r="I8" i="9"/>
  <c r="J8" i="8"/>
  <c r="E6" i="11" s="1"/>
  <c r="I8" i="8"/>
  <c r="E7" i="5" l="1"/>
  <c r="F7" i="5" s="1"/>
  <c r="E6" i="5"/>
  <c r="F6" i="5" s="1"/>
  <c r="E5" i="5"/>
  <c r="G5" i="5" s="1"/>
  <c r="H5" i="5" s="1"/>
  <c r="F5" i="5" l="1"/>
  <c r="F8" i="5" s="1"/>
  <c r="M22" i="9" l="1"/>
  <c r="N20" i="9" s="1"/>
  <c r="Q22" i="5"/>
  <c r="R20" i="5" s="1"/>
  <c r="M22" i="6"/>
  <c r="N20" i="6" s="1"/>
  <c r="M22" i="1"/>
  <c r="N20" i="1" s="1"/>
  <c r="M22" i="7"/>
  <c r="N20" i="7" s="1"/>
  <c r="M22" i="8"/>
  <c r="N20" i="8" s="1"/>
  <c r="G6" i="5" l="1"/>
  <c r="H6" i="5" s="1"/>
  <c r="H8" i="5" s="1"/>
  <c r="G7" i="5"/>
  <c r="H7" i="5" s="1"/>
  <c r="F5" i="1" l="1"/>
  <c r="E15" i="8" l="1"/>
  <c r="E16" i="8"/>
  <c r="E14" i="8"/>
  <c r="E13" i="9"/>
  <c r="E14" i="9"/>
  <c r="E15" i="9"/>
  <c r="E16" i="1"/>
  <c r="E17" i="1"/>
  <c r="I19" i="5"/>
  <c r="I20" i="5"/>
  <c r="I18" i="5"/>
  <c r="E16" i="7"/>
  <c r="E17" i="7"/>
  <c r="E17" i="6"/>
  <c r="E18" i="6"/>
  <c r="E16" i="6"/>
  <c r="F7" i="7"/>
  <c r="F5" i="7"/>
  <c r="C8" i="6"/>
  <c r="C8" i="5"/>
  <c r="C8" i="9"/>
  <c r="D6" i="8"/>
  <c r="C8" i="8" s="1"/>
  <c r="D8" i="9" l="1"/>
  <c r="M7" i="9" s="1"/>
  <c r="M8" i="9" s="1"/>
  <c r="B8" i="9"/>
  <c r="F7" i="9"/>
  <c r="F6" i="9"/>
  <c r="F5" i="9"/>
  <c r="F7" i="8"/>
  <c r="F6" i="8"/>
  <c r="F5" i="8"/>
  <c r="B8" i="8"/>
  <c r="D6" i="7"/>
  <c r="F7" i="6"/>
  <c r="F6" i="6"/>
  <c r="F5" i="6"/>
  <c r="F8" i="6" s="1"/>
  <c r="D8" i="6"/>
  <c r="M7" i="6" s="1"/>
  <c r="M8" i="6" s="1"/>
  <c r="J5" i="5"/>
  <c r="B8" i="5"/>
  <c r="J7" i="5"/>
  <c r="J6" i="5"/>
  <c r="C8" i="7" l="1"/>
  <c r="F6" i="7"/>
  <c r="F8" i="7" s="1"/>
  <c r="F8" i="9"/>
  <c r="F9" i="6"/>
  <c r="F10" i="6" s="1"/>
  <c r="M9" i="6" s="1"/>
  <c r="F8" i="8"/>
  <c r="F9" i="9"/>
  <c r="F10" i="9" s="1"/>
  <c r="M9" i="9" s="1"/>
  <c r="F9" i="8"/>
  <c r="F10" i="8" s="1"/>
  <c r="M9" i="8" s="1"/>
  <c r="D8" i="8"/>
  <c r="M7" i="8" s="1"/>
  <c r="M8" i="8" s="1"/>
  <c r="D8" i="7"/>
  <c r="M7" i="7" s="1"/>
  <c r="M8" i="7" s="1"/>
  <c r="J8" i="5"/>
  <c r="D8" i="5"/>
  <c r="Q7" i="5" s="1"/>
  <c r="Q8" i="5" s="1"/>
  <c r="B8" i="1"/>
  <c r="F9" i="7" l="1"/>
  <c r="F10" i="7" s="1"/>
  <c r="M9" i="7" s="1"/>
  <c r="J10" i="5"/>
  <c r="J11" i="5" s="1"/>
  <c r="Q9" i="5" s="1"/>
  <c r="B20" i="9"/>
  <c r="B22" i="9" s="1"/>
  <c r="B24" i="9" s="1"/>
  <c r="B13" i="9"/>
  <c r="B15" i="9" s="1"/>
  <c r="B16" i="9" s="1"/>
  <c r="B18" i="9" s="1"/>
  <c r="B20" i="6"/>
  <c r="B22" i="6" s="1"/>
  <c r="B24" i="6" s="1"/>
  <c r="B13" i="6"/>
  <c r="B15" i="6" s="1"/>
  <c r="B16" i="6" s="1"/>
  <c r="B18" i="6" s="1"/>
  <c r="B26" i="6" l="1"/>
  <c r="B26" i="9"/>
  <c r="B21" i="8"/>
  <c r="B23" i="8" s="1"/>
  <c r="B25" i="8" s="1"/>
  <c r="B14" i="8"/>
  <c r="B21" i="7"/>
  <c r="B23" i="7" s="1"/>
  <c r="B25" i="7" s="1"/>
  <c r="B14" i="7"/>
  <c r="B16" i="7" s="1"/>
  <c r="B17" i="7" s="1"/>
  <c r="B21" i="5"/>
  <c r="B23" i="5" s="1"/>
  <c r="B25" i="5" s="1"/>
  <c r="B14" i="5"/>
  <c r="B16" i="5" s="1"/>
  <c r="B17" i="5" s="1"/>
  <c r="M25" i="9" l="1"/>
  <c r="M32" i="9" s="1"/>
  <c r="G9" i="11"/>
  <c r="M26" i="6"/>
  <c r="M32" i="6" s="1"/>
  <c r="O12" i="11" s="1"/>
  <c r="O9" i="11"/>
  <c r="B16" i="8"/>
  <c r="B17" i="8" s="1"/>
  <c r="B19" i="8" s="1"/>
  <c r="B27" i="8" s="1"/>
  <c r="B19" i="5"/>
  <c r="Q25" i="5" s="1"/>
  <c r="B19" i="7"/>
  <c r="B27" i="7" s="1"/>
  <c r="M34" i="6" l="1"/>
  <c r="O13" i="11" s="1"/>
  <c r="M25" i="7"/>
  <c r="M9" i="11"/>
  <c r="M25" i="8"/>
  <c r="E9" i="11"/>
  <c r="M34" i="9"/>
  <c r="G13" i="11" s="1"/>
  <c r="G12" i="11"/>
  <c r="M32" i="7"/>
  <c r="B27" i="5"/>
  <c r="K9" i="11" s="1"/>
  <c r="M31" i="8"/>
  <c r="Q31" i="5"/>
  <c r="D6" i="1"/>
  <c r="Q33" i="5" l="1"/>
  <c r="K13" i="11" s="1"/>
  <c r="K12" i="11"/>
  <c r="M33" i="8"/>
  <c r="E13" i="11" s="1"/>
  <c r="E12" i="11"/>
  <c r="M34" i="7"/>
  <c r="M13" i="11" s="1"/>
  <c r="M12" i="11"/>
  <c r="C8" i="1"/>
  <c r="D8" i="1"/>
  <c r="M7" i="1" s="1"/>
  <c r="M8" i="1" s="1"/>
  <c r="F6" i="1"/>
  <c r="F7" i="1"/>
  <c r="F8" i="1" l="1"/>
  <c r="F9" i="1" s="1"/>
  <c r="F10" i="1" l="1"/>
  <c r="M9" i="1" s="1"/>
  <c r="B15" i="1" l="1"/>
  <c r="B22" i="1"/>
  <c r="B24" i="1" s="1"/>
  <c r="B26" i="1" s="1"/>
  <c r="B17" i="1" l="1"/>
  <c r="B18" i="1" s="1"/>
  <c r="B20" i="1" s="1"/>
  <c r="B28" i="1" s="1"/>
  <c r="M25" i="1" l="1"/>
  <c r="M30" i="1" s="1"/>
  <c r="I9" i="11"/>
  <c r="M32" i="1" l="1"/>
  <c r="I13" i="11" s="1"/>
  <c r="I12" i="11"/>
</calcChain>
</file>

<file path=xl/sharedStrings.xml><?xml version="1.0" encoding="utf-8"?>
<sst xmlns="http://schemas.openxmlformats.org/spreadsheetml/2006/main" count="437" uniqueCount="97">
  <si>
    <t>Bedrooms</t>
  </si>
  <si>
    <t>% AMI</t>
  </si>
  <si>
    <t>1 Bdrm</t>
  </si>
  <si>
    <t>2 Bdrm</t>
  </si>
  <si>
    <t>3 Bdrm</t>
  </si>
  <si>
    <t># of units</t>
  </si>
  <si>
    <t>Monthly rent</t>
  </si>
  <si>
    <t>Total annual rent</t>
  </si>
  <si>
    <t>Total rent income</t>
  </si>
  <si>
    <t>Less vacancy</t>
  </si>
  <si>
    <t>Vacancy rate</t>
  </si>
  <si>
    <t>effective gross income</t>
  </si>
  <si>
    <t>Administrative expenses</t>
  </si>
  <si>
    <t>operating expenses</t>
  </si>
  <si>
    <t>maintenance expenses</t>
  </si>
  <si>
    <t>replacement reserve</t>
  </si>
  <si>
    <t>total annual expenses</t>
  </si>
  <si>
    <t>acquisition costs</t>
  </si>
  <si>
    <t>construction costs</t>
  </si>
  <si>
    <t>design fees</t>
  </si>
  <si>
    <t>interim costs</t>
  </si>
  <si>
    <t>permanent financing fees</t>
  </si>
  <si>
    <t>project management</t>
  </si>
  <si>
    <t>total development cost</t>
  </si>
  <si>
    <t>Total</t>
  </si>
  <si>
    <t>per unit/year</t>
  </si>
  <si>
    <t>net operating income (NOI)</t>
  </si>
  <si>
    <t>Debt sizing</t>
  </si>
  <si>
    <t>NOI available for debt service</t>
  </si>
  <si>
    <t>Debt service coverage</t>
  </si>
  <si>
    <t>NOI</t>
  </si>
  <si>
    <t>Monthly payment</t>
  </si>
  <si>
    <t>Interest rate</t>
  </si>
  <si>
    <t>Capitalization rate</t>
  </si>
  <si>
    <t>Calculated property value</t>
  </si>
  <si>
    <t>Loan to value</t>
  </si>
  <si>
    <t>Maximum loan based on value</t>
  </si>
  <si>
    <t>Maximum loan based on income</t>
  </si>
  <si>
    <t>Maximum debt</t>
  </si>
  <si>
    <t>Sources and uses</t>
  </si>
  <si>
    <t>Uses</t>
  </si>
  <si>
    <t>Sources</t>
  </si>
  <si>
    <t>Debt</t>
  </si>
  <si>
    <t>Gap</t>
  </si>
  <si>
    <t>Other source</t>
  </si>
  <si>
    <t>total sources</t>
  </si>
  <si>
    <t>square footage</t>
  </si>
  <si>
    <t>Rent per square foot</t>
  </si>
  <si>
    <t>N/A</t>
  </si>
  <si>
    <t>Adjust by %</t>
  </si>
  <si>
    <t>Adjusted rent</t>
  </si>
  <si>
    <t>Adjusted annual rent</t>
  </si>
  <si>
    <t>2 Bdrm 2 Bath</t>
  </si>
  <si>
    <t>developer's fee</t>
  </si>
  <si>
    <t>Property Characteristics</t>
  </si>
  <si>
    <t>Expenses and NOI</t>
  </si>
  <si>
    <t xml:space="preserve">Tenant contribution </t>
  </si>
  <si>
    <t>Section 8 voucher</t>
  </si>
  <si>
    <t>ratio of dev. Fee to TDC</t>
  </si>
  <si>
    <t>Deferred developer fee</t>
  </si>
  <si>
    <t>Tax Credit equity</t>
  </si>
  <si>
    <t>operating and debt service reserves</t>
  </si>
  <si>
    <t>Total tenant contribution</t>
  </si>
  <si>
    <t>Government contribution</t>
  </si>
  <si>
    <t>using 1, 2 and 4 person household 30 % AMI for 1, 2 and 3 br to get to rent levels for tenants</t>
  </si>
  <si>
    <t>https://www.chfainfo.com/arh/asset/Documents/2016_income_limits.pdf</t>
  </si>
  <si>
    <t>Tax Credit Equity</t>
  </si>
  <si>
    <t>Developer equity</t>
  </si>
  <si>
    <t>Ratio to TDC</t>
  </si>
  <si>
    <t>ratio to TDC</t>
  </si>
  <si>
    <t>1 Br</t>
  </si>
  <si>
    <t>2 Br</t>
  </si>
  <si>
    <t>3 Br</t>
  </si>
  <si>
    <t>Financing gap for rental housing</t>
  </si>
  <si>
    <t>Summary for data visualization</t>
  </si>
  <si>
    <t>Total rental income</t>
  </si>
  <si>
    <t>Affordable to 30% AMI</t>
  </si>
  <si>
    <t>units</t>
  </si>
  <si>
    <t>Affordable to 60% AMI</t>
  </si>
  <si>
    <t>Market rate</t>
  </si>
  <si>
    <t>Number of apartments</t>
  </si>
  <si>
    <t>1BR monthly rent</t>
  </si>
  <si>
    <t>Parameters</t>
  </si>
  <si>
    <t>Adjust rent by</t>
  </si>
  <si>
    <t>Range</t>
  </si>
  <si>
    <t>to</t>
  </si>
  <si>
    <t>Vacancy</t>
  </si>
  <si>
    <t>Debt service coverage ratio</t>
  </si>
  <si>
    <t xml:space="preserve">to </t>
  </si>
  <si>
    <t>Loan to value ratio</t>
  </si>
  <si>
    <t>Total expenses</t>
  </si>
  <si>
    <t>Net operating income (NOI)</t>
  </si>
  <si>
    <t>Supportable debt</t>
  </si>
  <si>
    <t>Total development cost</t>
  </si>
  <si>
    <t>Total sources</t>
  </si>
  <si>
    <t>Financing gap</t>
  </si>
  <si>
    <t>Tax Credit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</si>
</sst>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8" fontId="0" fillId="0" borderId="0" xfId="0" applyNumberFormat="1"/>
    <xf numFmtId="9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2" borderId="0" xfId="3" applyFont="1" applyFill="1"/>
    <xf numFmtId="165" fontId="0" fillId="2" borderId="0" xfId="1" applyNumberFormat="1" applyFont="1" applyFill="1"/>
    <xf numFmtId="0" fontId="0" fillId="0" borderId="0" xfId="0" applyFill="1" applyBorder="1"/>
    <xf numFmtId="9" fontId="0" fillId="0" borderId="0" xfId="3" applyFont="1"/>
    <xf numFmtId="165" fontId="0" fillId="0" borderId="0" xfId="1" applyNumberFormat="1" applyFont="1" applyFill="1"/>
    <xf numFmtId="43" fontId="0" fillId="2" borderId="0" xfId="0" applyNumberFormat="1" applyFill="1"/>
    <xf numFmtId="0" fontId="6" fillId="0" borderId="0" xfId="0" applyFont="1"/>
    <xf numFmtId="165" fontId="0" fillId="0" borderId="0" xfId="0" applyNumberFormat="1" applyAlignment="1">
      <alignment horizontal="left" indent="2"/>
    </xf>
    <xf numFmtId="6" fontId="0" fillId="0" borderId="0" xfId="0" applyNumberFormat="1"/>
    <xf numFmtId="0" fontId="7" fillId="0" borderId="0" xfId="0" applyFont="1"/>
    <xf numFmtId="165" fontId="7" fillId="0" borderId="0" xfId="1" applyNumberFormat="1" applyFont="1"/>
    <xf numFmtId="165" fontId="7" fillId="0" borderId="0" xfId="0" applyNumberFormat="1" applyFont="1"/>
    <xf numFmtId="0" fontId="3" fillId="0" borderId="4" xfId="0" applyFont="1" applyBorder="1"/>
    <xf numFmtId="165" fontId="3" fillId="0" borderId="5" xfId="0" applyNumberFormat="1" applyFont="1" applyBorder="1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0" fontId="0" fillId="0" borderId="0" xfId="0" applyBorder="1" applyAlignment="1"/>
    <xf numFmtId="165" fontId="0" fillId="0" borderId="0" xfId="2" applyNumberFormat="1" applyFont="1" applyFill="1" applyBorder="1" applyAlignment="1"/>
    <xf numFmtId="164" fontId="0" fillId="0" borderId="0" xfId="0" applyNumberFormat="1" applyFill="1" applyBorder="1" applyAlignment="1"/>
    <xf numFmtId="165" fontId="3" fillId="0" borderId="0" xfId="2" applyNumberFormat="1" applyFont="1" applyFill="1" applyBorder="1" applyAlignment="1"/>
    <xf numFmtId="165" fontId="0" fillId="0" borderId="0" xfId="1" applyNumberFormat="1" applyFont="1" applyBorder="1"/>
    <xf numFmtId="43" fontId="0" fillId="0" borderId="0" xfId="0" applyNumberFormat="1" applyBorder="1"/>
    <xf numFmtId="9" fontId="0" fillId="0" borderId="0" xfId="0" applyNumberFormat="1" applyBorder="1"/>
    <xf numFmtId="8" fontId="0" fillId="0" borderId="0" xfId="0" applyNumberFormat="1" applyBorder="1"/>
    <xf numFmtId="9" fontId="0" fillId="0" borderId="0" xfId="3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5" fontId="0" fillId="2" borderId="0" xfId="0" applyNumberFormat="1" applyFill="1"/>
    <xf numFmtId="9" fontId="8" fillId="3" borderId="0" xfId="0" applyNumberFormat="1" applyFont="1" applyFill="1"/>
    <xf numFmtId="0" fontId="0" fillId="3" borderId="0" xfId="0" applyFill="1"/>
    <xf numFmtId="9" fontId="0" fillId="3" borderId="0" xfId="0" applyNumberFormat="1" applyFill="1"/>
    <xf numFmtId="9" fontId="0" fillId="3" borderId="0" xfId="3" applyFont="1" applyFill="1"/>
    <xf numFmtId="10" fontId="0" fillId="3" borderId="0" xfId="0" applyNumberFormat="1" applyFill="1"/>
    <xf numFmtId="43" fontId="0" fillId="0" borderId="0" xfId="1" applyFont="1"/>
    <xf numFmtId="10" fontId="0" fillId="3" borderId="0" xfId="3" applyNumberFormat="1" applyFont="1" applyFill="1"/>
    <xf numFmtId="0" fontId="4" fillId="0" borderId="0" xfId="0" applyFont="1" applyAlignment="1">
      <alignment horizontal="center" vertical="center"/>
    </xf>
    <xf numFmtId="6" fontId="0" fillId="3" borderId="0" xfId="0" applyNumberFormat="1" applyFill="1"/>
    <xf numFmtId="165" fontId="0" fillId="3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K25" sqref="K25"/>
    </sheetView>
  </sheetViews>
  <sheetFormatPr defaultColWidth="12.7109375" defaultRowHeight="15" x14ac:dyDescent="0.25"/>
  <cols>
    <col min="17" max="17" width="14.28515625" bestFit="1" customWidth="1"/>
  </cols>
  <sheetData>
    <row r="1" spans="1:15" x14ac:dyDescent="0.25">
      <c r="A1" s="8" t="s">
        <v>73</v>
      </c>
    </row>
    <row r="2" spans="1:15" x14ac:dyDescent="0.25">
      <c r="A2" s="8" t="s">
        <v>74</v>
      </c>
    </row>
    <row r="3" spans="1:15" x14ac:dyDescent="0.25">
      <c r="E3" s="10" t="str">
        <f>'Aff 30% AMI_50 unit'!A1</f>
        <v>Affordable to 30% AMI</v>
      </c>
      <c r="F3" s="10"/>
      <c r="G3" s="10" t="str">
        <f>'Aff 30% AMI_100 unit'!$A$1</f>
        <v>Affordable to 30% AMI</v>
      </c>
      <c r="H3" s="10"/>
      <c r="I3" s="10" t="str">
        <f>'Aff 60% AMI_50 unit'!$A$1</f>
        <v>Affordable to 60% AMI</v>
      </c>
      <c r="J3" s="10"/>
      <c r="K3" s="10" t="str">
        <f>'Aff 60% AMI_100 unit'!$A$1</f>
        <v>Affordable to 60% AMI</v>
      </c>
      <c r="L3" s="10"/>
      <c r="M3" s="10" t="str">
        <f>'Market rate_50 unit'!$A$1</f>
        <v>Market rate</v>
      </c>
      <c r="N3" s="10"/>
      <c r="O3" s="10" t="str">
        <f>'Market rate_100 unit'!$A$1</f>
        <v>Market rate</v>
      </c>
    </row>
    <row r="4" spans="1:15" x14ac:dyDescent="0.25">
      <c r="A4" t="s">
        <v>80</v>
      </c>
      <c r="E4">
        <f>'Aff 30% AMI_50 unit'!$B$1</f>
        <v>50</v>
      </c>
      <c r="G4">
        <f>'Aff 30% AMI_100 unit'!$B$1</f>
        <v>100</v>
      </c>
      <c r="I4">
        <f>'Aff 60% AMI_50 unit'!$B$1</f>
        <v>50</v>
      </c>
      <c r="K4">
        <f>'Aff 60% AMI_100 unit'!$B$1</f>
        <v>100</v>
      </c>
      <c r="M4">
        <f>'Market rate_50 unit'!$B$1</f>
        <v>50</v>
      </c>
      <c r="O4">
        <f>'Market rate_100 unit'!$B$1</f>
        <v>100</v>
      </c>
    </row>
    <row r="5" spans="1:15" x14ac:dyDescent="0.25">
      <c r="A5" t="s">
        <v>81</v>
      </c>
      <c r="E5" s="41">
        <f>'Aff 30% AMI_50 unit'!I5</f>
        <v>450</v>
      </c>
      <c r="G5">
        <f>'Aff 30% AMI_100 unit'!E5</f>
        <v>450</v>
      </c>
      <c r="I5">
        <f>'Aff 60% AMI_50 unit'!E5</f>
        <v>901</v>
      </c>
      <c r="K5">
        <f>'Aff 60% AMI_100 unit'!I5</f>
        <v>901</v>
      </c>
      <c r="M5">
        <f>'Market rate_50 unit'!E5</f>
        <v>1198</v>
      </c>
      <c r="O5">
        <f>'Market rate_100 unit'!E5</f>
        <v>1198</v>
      </c>
    </row>
    <row r="6" spans="1:15" x14ac:dyDescent="0.25">
      <c r="A6" t="s">
        <v>75</v>
      </c>
      <c r="E6" s="1">
        <f>'Aff 30% AMI_50 unit'!J8</f>
        <v>292560</v>
      </c>
      <c r="G6" s="1">
        <f>'Aff 30% AMI_100 unit'!J8</f>
        <v>587220</v>
      </c>
      <c r="I6" s="1">
        <f>'Aff 60% AMI_50 unit'!J8</f>
        <v>585696</v>
      </c>
      <c r="K6" s="1">
        <f>'Aff 60% AMI_100 unit'!N8</f>
        <v>1175580</v>
      </c>
      <c r="M6" s="1">
        <f>'Market rate_50 unit'!J8</f>
        <v>826260</v>
      </c>
      <c r="O6" s="1">
        <f>'Market rate_100 unit'!J8</f>
        <v>1660452</v>
      </c>
    </row>
    <row r="7" spans="1:15" x14ac:dyDescent="0.25">
      <c r="A7" t="s">
        <v>90</v>
      </c>
      <c r="E7" s="1">
        <f>'Aff 30% AMI_50 unit'!M8</f>
        <v>266014</v>
      </c>
      <c r="G7" s="1">
        <f>'Aff 30% AMI_100 unit'!M8</f>
        <v>527410</v>
      </c>
      <c r="I7" s="1">
        <f>'Aff 60% AMI_50 unit'!M8</f>
        <v>266014</v>
      </c>
      <c r="K7" s="1">
        <f>'Aff 60% AMI_100 unit'!Q8</f>
        <v>527410</v>
      </c>
      <c r="M7" s="1">
        <f>'Market rate_50 unit'!M8</f>
        <v>266014</v>
      </c>
      <c r="O7" s="1">
        <f>'Market rate_100 unit'!M8</f>
        <v>527410</v>
      </c>
    </row>
    <row r="8" spans="1:15" x14ac:dyDescent="0.25">
      <c r="A8" t="s">
        <v>91</v>
      </c>
      <c r="E8" s="1">
        <f>'Aff 30% AMI_50 unit'!M9</f>
        <v>6066.7999999999884</v>
      </c>
      <c r="G8" s="1">
        <f>'Aff 30% AMI_100 unit'!M9</f>
        <v>18704.599999999977</v>
      </c>
      <c r="I8" s="1">
        <f>'Aff 60% AMI_50 unit'!M9</f>
        <v>278683.28000000003</v>
      </c>
      <c r="K8" s="1">
        <f>'Aff 60% AMI_100 unit'!Q9</f>
        <v>565879.39999999991</v>
      </c>
      <c r="M8" s="1">
        <f>'Market rate_50 unit'!M9</f>
        <v>502407.80000000005</v>
      </c>
      <c r="O8" s="1">
        <f>'Market rate_100 unit'!M9</f>
        <v>1016810.3599999999</v>
      </c>
    </row>
    <row r="9" spans="1:15" x14ac:dyDescent="0.25">
      <c r="A9" t="s">
        <v>92</v>
      </c>
      <c r="E9" s="1">
        <f>'Aff 30% AMI_50 unit'!B27</f>
        <v>81893.718427183398</v>
      </c>
      <c r="G9" s="1">
        <f>'Aff 30% AMI_100 unit'!B26</f>
        <v>252487.18363768299</v>
      </c>
      <c r="I9" s="1">
        <f>'Aff 60% AMI_50 unit'!B28</f>
        <v>3761853.0465292986</v>
      </c>
      <c r="K9" s="1">
        <f>'Aff 60% AMI_100 unit'!B27</f>
        <v>7638618.0931205181</v>
      </c>
      <c r="M9" s="1">
        <f>'Market rate_50 unit'!B27</f>
        <v>6781836.0435189465</v>
      </c>
      <c r="O9" s="1">
        <f>'Market rate_100 unit'!B26</f>
        <v>13725585.36884076</v>
      </c>
    </row>
    <row r="11" spans="1:15" x14ac:dyDescent="0.25">
      <c r="A11" t="s">
        <v>93</v>
      </c>
      <c r="E11" s="1">
        <f>'Aff 30% AMI_50 unit'!M22</f>
        <v>13178094.94047619</v>
      </c>
      <c r="G11" s="1">
        <f>'Aff 30% AMI_100 unit'!M22</f>
        <v>20024636.66610723</v>
      </c>
      <c r="I11" s="1">
        <f>'Aff 60% AMI_50 unit'!M22</f>
        <v>13178094.94047619</v>
      </c>
      <c r="K11" s="1">
        <f>'Aff 60% AMI_100 unit'!Q22</f>
        <v>20024636.66610723</v>
      </c>
      <c r="M11" s="1">
        <f>'Market rate_50 unit'!M22</f>
        <v>13178094.94047619</v>
      </c>
      <c r="O11" s="1">
        <f>'Market rate_100 unit'!M22</f>
        <v>20024636.66610723</v>
      </c>
    </row>
    <row r="12" spans="1:15" x14ac:dyDescent="0.25">
      <c r="A12" t="s">
        <v>94</v>
      </c>
      <c r="E12" s="1">
        <f>'Aff 30% AMI_50 unit'!M31</f>
        <v>454357.7184271834</v>
      </c>
      <c r="G12" s="1">
        <f>'Aff 30% AMI_100 unit'!M32</f>
        <v>9218020.1836376823</v>
      </c>
      <c r="I12" s="1">
        <f>'Aff 60% AMI_50 unit'!M30</f>
        <v>4134317.0465292986</v>
      </c>
      <c r="K12" s="1">
        <f>'Aff 60% AMI_100 unit'!Q31</f>
        <v>16604151.093120519</v>
      </c>
      <c r="M12" s="1">
        <f>'Market rate_50 unit'!M32</f>
        <v>9417455.0316141844</v>
      </c>
      <c r="O12" s="1">
        <f>'Market rate_100 unit'!M32</f>
        <v>17730512.702062204</v>
      </c>
    </row>
    <row r="13" spans="1:15" x14ac:dyDescent="0.25">
      <c r="A13" t="s">
        <v>95</v>
      </c>
      <c r="E13" s="1">
        <f>'Aff 30% AMI_50 unit'!M33</f>
        <v>-12723737.222049007</v>
      </c>
      <c r="G13" s="1">
        <f>'Aff 30% AMI_100 unit'!M34</f>
        <v>-10806616.482469548</v>
      </c>
      <c r="I13" s="1">
        <f>'Aff 60% AMI_50 unit'!M32</f>
        <v>-9043777.8939468917</v>
      </c>
      <c r="K13" s="1">
        <f>'Aff 60% AMI_100 unit'!Q33</f>
        <v>-3420485.5729867108</v>
      </c>
      <c r="M13" s="1">
        <f>'Market rate_50 unit'!M34</f>
        <v>-3760639.9088620059</v>
      </c>
      <c r="O13" s="1">
        <f>'Market rate_100 unit'!M34</f>
        <v>-2294123.9640450254</v>
      </c>
    </row>
    <row r="24" spans="1:7" x14ac:dyDescent="0.25">
      <c r="A24" s="10" t="s">
        <v>82</v>
      </c>
    </row>
    <row r="25" spans="1:7" x14ac:dyDescent="0.25">
      <c r="A25" t="s">
        <v>83</v>
      </c>
      <c r="C25" s="46">
        <v>0</v>
      </c>
    </row>
    <row r="26" spans="1:7" x14ac:dyDescent="0.25">
      <c r="A26" t="s">
        <v>32</v>
      </c>
      <c r="C26" s="46">
        <v>0.05</v>
      </c>
      <c r="D26" t="s">
        <v>84</v>
      </c>
      <c r="E26" s="5">
        <v>0.03</v>
      </c>
      <c r="F26" t="s">
        <v>85</v>
      </c>
      <c r="G26" s="5">
        <v>0.12</v>
      </c>
    </row>
    <row r="27" spans="1:7" x14ac:dyDescent="0.25">
      <c r="A27" t="s">
        <v>86</v>
      </c>
      <c r="C27" s="46">
        <v>7.0000000000000007E-2</v>
      </c>
      <c r="D27" t="s">
        <v>84</v>
      </c>
      <c r="E27" s="5">
        <v>0.03</v>
      </c>
      <c r="F27" t="s">
        <v>85</v>
      </c>
      <c r="G27" s="5">
        <v>0.1</v>
      </c>
    </row>
    <row r="28" spans="1:7" x14ac:dyDescent="0.25">
      <c r="A28" t="s">
        <v>33</v>
      </c>
      <c r="C28" s="48">
        <v>5.7500000000000002E-2</v>
      </c>
      <c r="D28" t="s">
        <v>84</v>
      </c>
      <c r="E28" s="5">
        <v>0.04</v>
      </c>
      <c r="F28" t="s">
        <v>85</v>
      </c>
      <c r="G28" s="5">
        <v>0.1</v>
      </c>
    </row>
    <row r="29" spans="1:7" x14ac:dyDescent="0.25">
      <c r="A29" t="s">
        <v>87</v>
      </c>
      <c r="C29" s="45">
        <v>1.1499999999999999</v>
      </c>
      <c r="D29" t="s">
        <v>84</v>
      </c>
      <c r="E29" s="49">
        <v>1</v>
      </c>
      <c r="F29" t="s">
        <v>88</v>
      </c>
      <c r="G29" s="49">
        <v>1.35</v>
      </c>
    </row>
    <row r="30" spans="1:7" x14ac:dyDescent="0.25">
      <c r="A30" t="s">
        <v>89</v>
      </c>
      <c r="C30" s="46">
        <v>0.87</v>
      </c>
      <c r="D30" t="s">
        <v>84</v>
      </c>
      <c r="E30" s="5">
        <v>0.75</v>
      </c>
      <c r="F30" t="s">
        <v>85</v>
      </c>
      <c r="G30" s="5">
        <v>0.9</v>
      </c>
    </row>
    <row r="31" spans="1:7" x14ac:dyDescent="0.25">
      <c r="A31" t="s">
        <v>96</v>
      </c>
      <c r="C31" s="52">
        <v>8300000</v>
      </c>
      <c r="D31" t="s">
        <v>84</v>
      </c>
      <c r="E31" s="21">
        <v>8300000</v>
      </c>
      <c r="F31" t="s">
        <v>85</v>
      </c>
      <c r="G31" s="21">
        <v>15000000</v>
      </c>
    </row>
    <row r="32" spans="1:7" x14ac:dyDescent="0.25">
      <c r="C32" s="45"/>
    </row>
    <row r="33" spans="3:17" x14ac:dyDescent="0.25">
      <c r="C33" s="45"/>
    </row>
    <row r="34" spans="3:17" x14ac:dyDescent="0.25">
      <c r="C34" s="45"/>
    </row>
    <row r="35" spans="3:17" x14ac:dyDescent="0.25">
      <c r="C35" s="45"/>
      <c r="Q35" s="1"/>
    </row>
    <row r="36" spans="3:17" x14ac:dyDescent="0.25">
      <c r="C36" s="45"/>
      <c r="Q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selection activeCell="B22" sqref="B22"/>
    </sheetView>
  </sheetViews>
  <sheetFormatPr defaultRowHeight="15" x14ac:dyDescent="0.25"/>
  <cols>
    <col min="1" max="1" width="30.28515625" customWidth="1"/>
    <col min="2" max="2" width="14.28515625" bestFit="1" customWidth="1"/>
    <col min="3" max="3" width="14.28515625" customWidth="1"/>
    <col min="5" max="5" width="33.28515625" bestFit="1" customWidth="1"/>
    <col min="6" max="6" width="16.140625" bestFit="1" customWidth="1"/>
    <col min="7" max="7" width="15.85546875" customWidth="1"/>
    <col min="8" max="8" width="12" bestFit="1" customWidth="1"/>
    <col min="9" max="9" width="12.5703125" customWidth="1"/>
    <col min="10" max="10" width="14.140625" customWidth="1"/>
    <col min="12" max="12" width="34.7109375" customWidth="1"/>
    <col min="13" max="13" width="15.7109375" customWidth="1"/>
    <col min="17" max="17" width="24.140625" customWidth="1"/>
  </cols>
  <sheetData>
    <row r="1" spans="1:15" x14ac:dyDescent="0.25">
      <c r="A1" t="s">
        <v>76</v>
      </c>
      <c r="B1">
        <f>D8</f>
        <v>50</v>
      </c>
      <c r="C1" t="s">
        <v>77</v>
      </c>
    </row>
    <row r="2" spans="1:15" x14ac:dyDescent="0.25">
      <c r="A2" s="19" t="s">
        <v>54</v>
      </c>
      <c r="L2" s="19" t="s">
        <v>55</v>
      </c>
    </row>
    <row r="4" spans="1:15" ht="45" x14ac:dyDescent="0.25">
      <c r="A4" s="10" t="s">
        <v>0</v>
      </c>
      <c r="B4" s="10" t="s">
        <v>1</v>
      </c>
      <c r="C4" s="10" t="s">
        <v>46</v>
      </c>
      <c r="D4" s="10" t="s">
        <v>5</v>
      </c>
      <c r="E4" s="10" t="s">
        <v>6</v>
      </c>
      <c r="F4" s="10" t="s">
        <v>7</v>
      </c>
      <c r="H4" s="42" t="s">
        <v>49</v>
      </c>
      <c r="I4" s="42" t="s">
        <v>50</v>
      </c>
      <c r="J4" s="42" t="s">
        <v>51</v>
      </c>
      <c r="L4" t="s">
        <v>12</v>
      </c>
      <c r="M4" s="14">
        <v>118462</v>
      </c>
    </row>
    <row r="5" spans="1:15" x14ac:dyDescent="0.25">
      <c r="A5" s="11" t="s">
        <v>2</v>
      </c>
      <c r="B5" s="13">
        <v>0.3</v>
      </c>
      <c r="C5" s="9">
        <v>699</v>
      </c>
      <c r="D5" s="9">
        <v>31</v>
      </c>
      <c r="E5" s="9">
        <v>450</v>
      </c>
      <c r="F5" s="1">
        <f>E5*D5*12</f>
        <v>167400</v>
      </c>
      <c r="H5" s="44">
        <f>H9</f>
        <v>0</v>
      </c>
      <c r="I5" s="41">
        <f>E5*(1+H5)</f>
        <v>450</v>
      </c>
      <c r="J5" s="1">
        <f>I5*$D5*12</f>
        <v>167400</v>
      </c>
      <c r="L5" t="s">
        <v>13</v>
      </c>
      <c r="M5" s="14">
        <v>71818</v>
      </c>
    </row>
    <row r="6" spans="1:15" x14ac:dyDescent="0.25">
      <c r="A6" s="12" t="s">
        <v>3</v>
      </c>
      <c r="B6" s="13">
        <v>0.3</v>
      </c>
      <c r="C6" s="9">
        <v>832</v>
      </c>
      <c r="D6" s="9">
        <f>0.34*50</f>
        <v>17</v>
      </c>
      <c r="E6" s="9">
        <v>540</v>
      </c>
      <c r="F6" s="1">
        <f>E6*D6*12</f>
        <v>110160</v>
      </c>
      <c r="H6" s="44">
        <f>H9</f>
        <v>0</v>
      </c>
      <c r="I6" s="41">
        <f>E6*(1+H6)</f>
        <v>540</v>
      </c>
      <c r="J6" s="1">
        <f>I6*$D6*12</f>
        <v>110160</v>
      </c>
      <c r="L6" t="s">
        <v>14</v>
      </c>
      <c r="M6" s="14">
        <v>60734</v>
      </c>
    </row>
    <row r="7" spans="1:15" x14ac:dyDescent="0.25">
      <c r="A7" s="12" t="s">
        <v>4</v>
      </c>
      <c r="B7" s="13">
        <v>0.3</v>
      </c>
      <c r="C7" s="9">
        <v>1079</v>
      </c>
      <c r="D7" s="9">
        <v>2</v>
      </c>
      <c r="E7" s="9">
        <v>625</v>
      </c>
      <c r="F7" s="1">
        <f>E7*D7*12</f>
        <v>15000</v>
      </c>
      <c r="H7" s="44">
        <f>H9</f>
        <v>0</v>
      </c>
      <c r="I7" s="41">
        <f>E7*(1+H7)</f>
        <v>625</v>
      </c>
      <c r="J7" s="1">
        <f>I7*$D7*12</f>
        <v>15000</v>
      </c>
      <c r="L7" t="s">
        <v>15</v>
      </c>
      <c r="M7" s="17">
        <f>$D$8*N7</f>
        <v>15000</v>
      </c>
      <c r="N7" s="18">
        <v>300</v>
      </c>
      <c r="O7" t="s">
        <v>25</v>
      </c>
    </row>
    <row r="8" spans="1:15" x14ac:dyDescent="0.25">
      <c r="A8" s="15" t="s">
        <v>24</v>
      </c>
      <c r="B8" s="16">
        <f>AVERAGE(B5:B7)</f>
        <v>0.3</v>
      </c>
      <c r="C8" s="1">
        <f>((C5*D5)+(C6*D6)+(C7*D7))</f>
        <v>37971</v>
      </c>
      <c r="D8">
        <f>SUM(D5:D7)</f>
        <v>50</v>
      </c>
      <c r="E8" t="s">
        <v>8</v>
      </c>
      <c r="F8" s="2">
        <f>SUM(F5:F7)</f>
        <v>292560</v>
      </c>
      <c r="I8" s="2">
        <f>I5*$D5+I6*$D6+I7*$D7</f>
        <v>24380</v>
      </c>
      <c r="J8" s="2">
        <f>SUM(J5:J7)</f>
        <v>292560</v>
      </c>
      <c r="L8" t="s">
        <v>16</v>
      </c>
      <c r="M8" s="1">
        <f>SUM(M4:M7)</f>
        <v>266014</v>
      </c>
    </row>
    <row r="9" spans="1:15" x14ac:dyDescent="0.25">
      <c r="A9" t="s">
        <v>10</v>
      </c>
      <c r="B9" s="47">
        <f>vacancy</f>
        <v>7.0000000000000007E-2</v>
      </c>
      <c r="C9" s="39"/>
      <c r="E9" t="s">
        <v>9</v>
      </c>
      <c r="F9" s="1">
        <f>-F8*$B$9</f>
        <v>-20479.2</v>
      </c>
      <c r="H9" s="44">
        <f>adjustrent</f>
        <v>0</v>
      </c>
      <c r="L9" t="s">
        <v>26</v>
      </c>
      <c r="M9" s="1">
        <f>F10-M8</f>
        <v>6066.7999999999884</v>
      </c>
    </row>
    <row r="10" spans="1:15" x14ac:dyDescent="0.25">
      <c r="E10" t="s">
        <v>11</v>
      </c>
      <c r="F10" s="2">
        <f>SUM(F8:F9)</f>
        <v>272080.8</v>
      </c>
    </row>
    <row r="12" spans="1:15" x14ac:dyDescent="0.25">
      <c r="L12" s="19" t="s">
        <v>39</v>
      </c>
    </row>
    <row r="13" spans="1:15" x14ac:dyDescent="0.25">
      <c r="A13" s="19" t="s">
        <v>27</v>
      </c>
      <c r="E13" t="s">
        <v>47</v>
      </c>
      <c r="L13" s="8" t="s">
        <v>40</v>
      </c>
    </row>
    <row r="14" spans="1:15" x14ac:dyDescent="0.25">
      <c r="A14" t="s">
        <v>30</v>
      </c>
      <c r="B14" s="2">
        <f>M9</f>
        <v>6066.7999999999884</v>
      </c>
      <c r="D14" t="s">
        <v>70</v>
      </c>
      <c r="E14" s="40">
        <f>E5/C5</f>
        <v>0.64377682403433478</v>
      </c>
      <c r="L14" t="s">
        <v>17</v>
      </c>
      <c r="M14" s="14">
        <v>1128000</v>
      </c>
    </row>
    <row r="15" spans="1:15" x14ac:dyDescent="0.25">
      <c r="A15" t="s">
        <v>29</v>
      </c>
      <c r="B15" s="45">
        <f>DSCR</f>
        <v>1.1499999999999999</v>
      </c>
      <c r="D15" t="s">
        <v>71</v>
      </c>
      <c r="E15" s="40">
        <f>E6/C6</f>
        <v>0.64903846153846156</v>
      </c>
      <c r="L15" t="s">
        <v>18</v>
      </c>
      <c r="M15" s="14">
        <v>9102539.2275588401</v>
      </c>
    </row>
    <row r="16" spans="1:15" x14ac:dyDescent="0.25">
      <c r="A16" t="s">
        <v>28</v>
      </c>
      <c r="B16" s="20">
        <f>B14/B15</f>
        <v>5275.4782608695559</v>
      </c>
      <c r="D16" t="s">
        <v>72</v>
      </c>
      <c r="E16" s="40">
        <f>E7/C7</f>
        <v>0.5792400370713624</v>
      </c>
      <c r="L16" t="s">
        <v>19</v>
      </c>
      <c r="M16" s="14">
        <v>562039.29597701144</v>
      </c>
    </row>
    <row r="17" spans="1:15" x14ac:dyDescent="0.25">
      <c r="A17" t="s">
        <v>31</v>
      </c>
      <c r="B17" s="2">
        <f>B16/12</f>
        <v>439.62318840579633</v>
      </c>
      <c r="L17" t="s">
        <v>20</v>
      </c>
      <c r="M17" s="14">
        <v>441837.5957854407</v>
      </c>
    </row>
    <row r="18" spans="1:15" x14ac:dyDescent="0.25">
      <c r="A18" t="s">
        <v>32</v>
      </c>
      <c r="B18" s="46">
        <f>interestrate</f>
        <v>0.05</v>
      </c>
      <c r="L18" t="s">
        <v>21</v>
      </c>
      <c r="M18" s="14">
        <v>318507.06075533666</v>
      </c>
    </row>
    <row r="19" spans="1:15" x14ac:dyDescent="0.25">
      <c r="A19" t="s">
        <v>37</v>
      </c>
      <c r="B19" s="21">
        <f>-PV(B18/12,30*12,B17)</f>
        <v>81893.718427183398</v>
      </c>
      <c r="L19" t="s">
        <v>61</v>
      </c>
      <c r="M19" s="14">
        <v>219620.07617223135</v>
      </c>
    </row>
    <row r="20" spans="1:15" x14ac:dyDescent="0.25">
      <c r="L20" t="s">
        <v>53</v>
      </c>
      <c r="M20" s="14">
        <v>1338421.0465699688</v>
      </c>
      <c r="N20" s="16">
        <f>M20/(M22-M20)</f>
        <v>0.11304543170389539</v>
      </c>
      <c r="O20" t="s">
        <v>58</v>
      </c>
    </row>
    <row r="21" spans="1:15" x14ac:dyDescent="0.25">
      <c r="A21" t="s">
        <v>30</v>
      </c>
      <c r="B21" s="2">
        <f>M9</f>
        <v>6066.7999999999884</v>
      </c>
      <c r="L21" t="s">
        <v>22</v>
      </c>
      <c r="M21" s="14">
        <v>67130.637657361789</v>
      </c>
    </row>
    <row r="22" spans="1:15" x14ac:dyDescent="0.25">
      <c r="A22" t="s">
        <v>33</v>
      </c>
      <c r="B22" s="50">
        <f>caprate</f>
        <v>5.7500000000000002E-2</v>
      </c>
      <c r="L22" s="22" t="s">
        <v>23</v>
      </c>
      <c r="M22" s="23">
        <f>SUM(M14:M21)</f>
        <v>13178094.94047619</v>
      </c>
    </row>
    <row r="23" spans="1:15" x14ac:dyDescent="0.25">
      <c r="A23" t="s">
        <v>34</v>
      </c>
      <c r="B23" s="2">
        <f>B21/B22</f>
        <v>105509.56521739109</v>
      </c>
    </row>
    <row r="24" spans="1:15" x14ac:dyDescent="0.25">
      <c r="A24" t="s">
        <v>35</v>
      </c>
      <c r="B24" s="46">
        <f>ltv</f>
        <v>0.87</v>
      </c>
      <c r="L24" s="8" t="s">
        <v>41</v>
      </c>
    </row>
    <row r="25" spans="1:15" x14ac:dyDescent="0.25">
      <c r="A25" t="s">
        <v>36</v>
      </c>
      <c r="B25" s="2">
        <f>B23*B24</f>
        <v>91793.321739130246</v>
      </c>
      <c r="L25" t="s">
        <v>42</v>
      </c>
      <c r="M25" s="2">
        <f>B27</f>
        <v>81893.718427183398</v>
      </c>
    </row>
    <row r="26" spans="1:15" x14ac:dyDescent="0.25">
      <c r="L26" t="s">
        <v>59</v>
      </c>
      <c r="M26" s="14">
        <v>372464</v>
      </c>
    </row>
    <row r="27" spans="1:15" x14ac:dyDescent="0.25">
      <c r="A27" t="s">
        <v>38</v>
      </c>
      <c r="B27" s="2">
        <f>MIN(B25,B19)</f>
        <v>81893.718427183398</v>
      </c>
      <c r="L27" t="s">
        <v>66</v>
      </c>
      <c r="M27" s="9"/>
    </row>
    <row r="28" spans="1:15" x14ac:dyDescent="0.25">
      <c r="L28" t="s">
        <v>44</v>
      </c>
      <c r="M28" s="9"/>
    </row>
    <row r="29" spans="1:15" x14ac:dyDescent="0.25">
      <c r="L29" t="s">
        <v>44</v>
      </c>
      <c r="M29" s="9"/>
    </row>
    <row r="31" spans="1:15" x14ac:dyDescent="0.25">
      <c r="L31" s="22" t="s">
        <v>45</v>
      </c>
      <c r="M31" s="24">
        <f>SUM(M25:M27)</f>
        <v>454357.7184271834</v>
      </c>
    </row>
    <row r="33" spans="12:18" x14ac:dyDescent="0.25">
      <c r="L33" s="25" t="s">
        <v>43</v>
      </c>
      <c r="M33" s="26">
        <f>M31-M22</f>
        <v>-12723737.222049007</v>
      </c>
    </row>
    <row r="35" spans="12:18" ht="15.75" x14ac:dyDescent="0.25">
      <c r="Q35" s="51"/>
      <c r="R35" s="51"/>
    </row>
    <row r="36" spans="12:18" ht="15.75" x14ac:dyDescent="0.25">
      <c r="Q36" s="6"/>
      <c r="R36" s="6"/>
    </row>
    <row r="37" spans="12:18" x14ac:dyDescent="0.25">
      <c r="Q37" s="7"/>
      <c r="R37" s="7"/>
    </row>
    <row r="54" spans="4:13" x14ac:dyDescent="0.25">
      <c r="D54" s="27"/>
      <c r="G54" s="27"/>
      <c r="H54" s="27"/>
      <c r="I54" s="27"/>
      <c r="J54" s="27"/>
      <c r="K54" s="27"/>
      <c r="L54" s="27"/>
      <c r="M54" s="27"/>
    </row>
    <row r="55" spans="4:13" x14ac:dyDescent="0.25">
      <c r="D55" s="27"/>
      <c r="E55" s="27"/>
      <c r="F55" s="27"/>
      <c r="G55" s="36"/>
      <c r="H55" s="27"/>
      <c r="I55" s="37"/>
      <c r="J55" s="37"/>
      <c r="K55" s="37"/>
      <c r="L55" s="27"/>
      <c r="M55" s="27"/>
    </row>
    <row r="56" spans="4:13" x14ac:dyDescent="0.25">
      <c r="D56" s="27"/>
      <c r="E56" s="27"/>
      <c r="F56" s="35"/>
      <c r="G56" s="27"/>
      <c r="H56" s="27"/>
      <c r="I56" s="27"/>
      <c r="J56" s="27"/>
      <c r="K56" s="27"/>
      <c r="L56" s="27"/>
      <c r="M56" s="27"/>
    </row>
    <row r="57" spans="4:13" x14ac:dyDescent="0.25">
      <c r="D57" s="27"/>
      <c r="E57" s="27"/>
      <c r="F57" s="38"/>
      <c r="G57" s="27"/>
      <c r="H57" s="27"/>
      <c r="I57" s="27"/>
      <c r="J57" s="27"/>
      <c r="K57" s="27"/>
      <c r="L57" s="27"/>
      <c r="M57" s="27"/>
    </row>
    <row r="58" spans="4:13" x14ac:dyDescent="0.25">
      <c r="D58" s="27"/>
      <c r="E58" s="27"/>
      <c r="F58" s="27"/>
      <c r="G58" s="30"/>
      <c r="H58" s="27"/>
      <c r="I58" s="27"/>
      <c r="J58" s="27"/>
      <c r="K58" s="27"/>
      <c r="L58" s="27"/>
      <c r="M58" s="27"/>
    </row>
    <row r="59" spans="4:13" ht="15.75" x14ac:dyDescent="0.25">
      <c r="D59" s="27"/>
      <c r="E59" s="28"/>
      <c r="F59" s="29"/>
      <c r="G59" s="32"/>
      <c r="H59" s="27"/>
      <c r="I59" s="27"/>
      <c r="J59" s="27"/>
      <c r="K59" s="27"/>
      <c r="L59" s="27"/>
      <c r="M59" s="27"/>
    </row>
    <row r="60" spans="4:13" x14ac:dyDescent="0.25">
      <c r="D60" s="27"/>
      <c r="E60" s="29"/>
      <c r="F60" s="31"/>
      <c r="G60" s="33"/>
      <c r="H60" s="27"/>
      <c r="I60" s="27"/>
      <c r="J60" s="27"/>
      <c r="K60" s="27"/>
      <c r="L60" s="27"/>
      <c r="M60" s="27"/>
    </row>
    <row r="61" spans="4:13" x14ac:dyDescent="0.25">
      <c r="D61" s="27"/>
      <c r="E61" s="29"/>
      <c r="F61" s="31"/>
      <c r="G61" s="32"/>
      <c r="H61" s="27"/>
      <c r="I61" s="27"/>
      <c r="J61" s="27"/>
      <c r="K61" s="27"/>
      <c r="L61" s="27"/>
      <c r="M61" s="27"/>
    </row>
    <row r="62" spans="4:13" x14ac:dyDescent="0.25">
      <c r="D62" s="27"/>
      <c r="E62" s="29"/>
      <c r="F62" s="31"/>
      <c r="G62" s="30"/>
      <c r="H62" s="27"/>
      <c r="I62" s="27"/>
      <c r="J62" s="27"/>
      <c r="K62" s="27"/>
      <c r="L62" s="27"/>
      <c r="M62" s="27"/>
    </row>
    <row r="63" spans="4:13" x14ac:dyDescent="0.25">
      <c r="D63" s="27"/>
      <c r="E63" s="29"/>
      <c r="F63" s="31"/>
      <c r="G63" s="34"/>
      <c r="H63" s="27"/>
      <c r="I63" s="27"/>
      <c r="J63" s="27"/>
      <c r="K63" s="27"/>
      <c r="L63" s="27"/>
      <c r="M63" s="27"/>
    </row>
    <row r="64" spans="4:13" x14ac:dyDescent="0.25">
      <c r="D64" s="27"/>
      <c r="E64" s="29"/>
      <c r="F64" s="29"/>
      <c r="G64" s="27"/>
      <c r="H64" s="27"/>
      <c r="I64" s="27"/>
      <c r="J64" s="27"/>
      <c r="K64" s="27"/>
      <c r="L64" s="27"/>
      <c r="M64" s="27"/>
    </row>
    <row r="65" spans="4:13" x14ac:dyDescent="0.25"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4:13" x14ac:dyDescent="0.25"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4:13" x14ac:dyDescent="0.25">
      <c r="D67" s="27"/>
      <c r="E67" s="27"/>
      <c r="F67" s="35"/>
      <c r="G67" s="27"/>
      <c r="H67" s="27"/>
      <c r="I67" s="27"/>
      <c r="J67" s="27"/>
      <c r="K67" s="27"/>
      <c r="L67" s="27"/>
      <c r="M67" s="27"/>
    </row>
    <row r="68" spans="4:13" x14ac:dyDescent="0.25">
      <c r="E68" s="27"/>
      <c r="F68" s="35"/>
    </row>
    <row r="69" spans="4:13" x14ac:dyDescent="0.25">
      <c r="F69" s="1"/>
    </row>
    <row r="70" spans="4:13" x14ac:dyDescent="0.25">
      <c r="F70" s="1"/>
    </row>
    <row r="71" spans="4:13" x14ac:dyDescent="0.25">
      <c r="F71" s="1"/>
    </row>
    <row r="72" spans="4:13" x14ac:dyDescent="0.25">
      <c r="F72" s="1"/>
    </row>
    <row r="73" spans="4:13" x14ac:dyDescent="0.25">
      <c r="F73" s="1"/>
    </row>
    <row r="75" spans="4:13" x14ac:dyDescent="0.25">
      <c r="E75" s="8"/>
      <c r="F75" s="2"/>
    </row>
  </sheetData>
  <mergeCells count="1">
    <mergeCell ref="Q35:R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zoomScaleNormal="100" workbookViewId="0">
      <selection activeCell="M27" sqref="M27"/>
    </sheetView>
  </sheetViews>
  <sheetFormatPr defaultRowHeight="15" x14ac:dyDescent="0.25"/>
  <cols>
    <col min="1" max="1" width="30.28515625" customWidth="1"/>
    <col min="2" max="2" width="14.28515625" bestFit="1" customWidth="1"/>
    <col min="3" max="3" width="14.28515625" customWidth="1"/>
    <col min="5" max="5" width="33.28515625" bestFit="1" customWidth="1"/>
    <col min="6" max="6" width="16.140625" bestFit="1" customWidth="1"/>
    <col min="7" max="7" width="15.85546875" customWidth="1"/>
    <col min="8" max="8" width="12" bestFit="1" customWidth="1"/>
    <col min="9" max="9" width="12.5703125" customWidth="1"/>
    <col min="10" max="10" width="14.140625" customWidth="1"/>
    <col min="12" max="12" width="34.7109375" customWidth="1"/>
    <col min="13" max="13" width="15.7109375" customWidth="1"/>
    <col min="17" max="17" width="24.140625" customWidth="1"/>
  </cols>
  <sheetData>
    <row r="1" spans="1:15" x14ac:dyDescent="0.25">
      <c r="A1" t="s">
        <v>76</v>
      </c>
      <c r="B1">
        <f>D8</f>
        <v>100</v>
      </c>
      <c r="C1" t="s">
        <v>77</v>
      </c>
    </row>
    <row r="2" spans="1:15" x14ac:dyDescent="0.25">
      <c r="A2" s="19" t="s">
        <v>54</v>
      </c>
      <c r="L2" s="19" t="s">
        <v>55</v>
      </c>
    </row>
    <row r="4" spans="1:15" ht="45" x14ac:dyDescent="0.25">
      <c r="A4" s="10" t="s">
        <v>0</v>
      </c>
      <c r="B4" s="10" t="s">
        <v>1</v>
      </c>
      <c r="C4" s="10" t="s">
        <v>46</v>
      </c>
      <c r="D4" s="10" t="s">
        <v>5</v>
      </c>
      <c r="E4" s="10" t="s">
        <v>6</v>
      </c>
      <c r="F4" s="10" t="s">
        <v>7</v>
      </c>
      <c r="H4" s="42" t="s">
        <v>49</v>
      </c>
      <c r="I4" s="42" t="s">
        <v>50</v>
      </c>
      <c r="J4" s="42" t="s">
        <v>51</v>
      </c>
      <c r="L4" t="s">
        <v>12</v>
      </c>
      <c r="M4" s="14">
        <v>240083</v>
      </c>
    </row>
    <row r="5" spans="1:15" x14ac:dyDescent="0.25">
      <c r="A5" s="11" t="s">
        <v>2</v>
      </c>
      <c r="B5" s="13">
        <v>0.3</v>
      </c>
      <c r="C5" s="9">
        <v>594</v>
      </c>
      <c r="D5" s="9">
        <v>61</v>
      </c>
      <c r="E5" s="9">
        <v>450</v>
      </c>
      <c r="F5" s="1">
        <f>E5*D5*12</f>
        <v>329400</v>
      </c>
      <c r="H5" s="44">
        <f>H9</f>
        <v>0</v>
      </c>
      <c r="I5" s="41">
        <f>E5*(1+H5)</f>
        <v>450</v>
      </c>
      <c r="J5" s="1">
        <f>I5*$D5*12</f>
        <v>329400</v>
      </c>
      <c r="L5" t="s">
        <v>13</v>
      </c>
      <c r="M5" s="14">
        <v>131906</v>
      </c>
    </row>
    <row r="6" spans="1:15" x14ac:dyDescent="0.25">
      <c r="A6" s="12" t="s">
        <v>3</v>
      </c>
      <c r="B6" s="13">
        <v>0.3</v>
      </c>
      <c r="C6" s="9">
        <v>880</v>
      </c>
      <c r="D6" s="9">
        <v>34</v>
      </c>
      <c r="E6" s="9">
        <v>540</v>
      </c>
      <c r="F6" s="1">
        <f t="shared" ref="F6:F7" si="0">E6*D6*12</f>
        <v>220320</v>
      </c>
      <c r="H6" s="44">
        <f>H9</f>
        <v>0</v>
      </c>
      <c r="I6" s="41">
        <f>E6*(1+H6)</f>
        <v>540</v>
      </c>
      <c r="J6" s="1">
        <f>I6*$D6*12</f>
        <v>220320</v>
      </c>
      <c r="L6" t="s">
        <v>14</v>
      </c>
      <c r="M6" s="14">
        <v>125421</v>
      </c>
    </row>
    <row r="7" spans="1:15" x14ac:dyDescent="0.25">
      <c r="A7" s="12" t="s">
        <v>4</v>
      </c>
      <c r="B7" s="13">
        <v>0.3</v>
      </c>
      <c r="C7" s="9">
        <v>1190</v>
      </c>
      <c r="D7" s="9">
        <v>5</v>
      </c>
      <c r="E7" s="9">
        <v>625</v>
      </c>
      <c r="F7" s="1">
        <f t="shared" si="0"/>
        <v>37500</v>
      </c>
      <c r="H7" s="44">
        <f>H9</f>
        <v>0</v>
      </c>
      <c r="I7" s="41">
        <f>E7*(1+H7)</f>
        <v>625</v>
      </c>
      <c r="J7" s="1">
        <f>I7*$D7*12</f>
        <v>37500</v>
      </c>
      <c r="L7" t="s">
        <v>15</v>
      </c>
      <c r="M7" s="17">
        <f>$D$8*N7</f>
        <v>30000</v>
      </c>
      <c r="N7" s="18">
        <v>300</v>
      </c>
      <c r="O7" t="s">
        <v>25</v>
      </c>
    </row>
    <row r="8" spans="1:15" x14ac:dyDescent="0.25">
      <c r="A8" s="15" t="s">
        <v>24</v>
      </c>
      <c r="B8" s="16">
        <f>AVERAGE(B5:B7)</f>
        <v>0.3</v>
      </c>
      <c r="C8" s="1">
        <f>((C5*D5)+(C6*D6)+(C7*D7))</f>
        <v>72104</v>
      </c>
      <c r="D8">
        <f>SUM(D5:D7)</f>
        <v>100</v>
      </c>
      <c r="E8" t="s">
        <v>8</v>
      </c>
      <c r="F8" s="2">
        <f>SUM(F5:F7)</f>
        <v>587220</v>
      </c>
      <c r="I8" s="2">
        <f>I5*$D5+I6*$D6+I7*$D7</f>
        <v>48935</v>
      </c>
      <c r="J8" s="2">
        <f>SUM(J5:J7)</f>
        <v>587220</v>
      </c>
      <c r="L8" t="s">
        <v>16</v>
      </c>
      <c r="M8" s="1">
        <f>SUM(M4:M7)</f>
        <v>527410</v>
      </c>
    </row>
    <row r="9" spans="1:15" x14ac:dyDescent="0.25">
      <c r="A9" t="s">
        <v>10</v>
      </c>
      <c r="B9" s="47">
        <f>vacancy</f>
        <v>7.0000000000000007E-2</v>
      </c>
      <c r="C9" s="39"/>
      <c r="E9" t="s">
        <v>9</v>
      </c>
      <c r="F9" s="1">
        <f>-F8*$B$9</f>
        <v>-41105.4</v>
      </c>
      <c r="H9" s="44">
        <f>adjustrent</f>
        <v>0</v>
      </c>
      <c r="L9" t="s">
        <v>26</v>
      </c>
      <c r="M9" s="1">
        <f>F10-M8</f>
        <v>18704.599999999977</v>
      </c>
    </row>
    <row r="10" spans="1:15" x14ac:dyDescent="0.25">
      <c r="E10" t="s">
        <v>11</v>
      </c>
      <c r="F10" s="2">
        <f>SUM(F8:F9)</f>
        <v>546114.6</v>
      </c>
    </row>
    <row r="12" spans="1:15" x14ac:dyDescent="0.25">
      <c r="A12" s="19" t="s">
        <v>27</v>
      </c>
      <c r="E12" t="s">
        <v>47</v>
      </c>
      <c r="L12" s="19" t="s">
        <v>39</v>
      </c>
    </row>
    <row r="13" spans="1:15" x14ac:dyDescent="0.25">
      <c r="A13" t="s">
        <v>30</v>
      </c>
      <c r="B13" s="2">
        <f>M9</f>
        <v>18704.599999999977</v>
      </c>
      <c r="D13" t="s">
        <v>70</v>
      </c>
      <c r="E13" s="40">
        <f>E5/C5</f>
        <v>0.75757575757575757</v>
      </c>
      <c r="L13" s="8" t="s">
        <v>40</v>
      </c>
    </row>
    <row r="14" spans="1:15" x14ac:dyDescent="0.25">
      <c r="A14" t="s">
        <v>29</v>
      </c>
      <c r="B14" s="45">
        <f>DSCR</f>
        <v>1.1499999999999999</v>
      </c>
      <c r="D14" t="s">
        <v>71</v>
      </c>
      <c r="E14" s="40">
        <f>E6/C6</f>
        <v>0.61363636363636365</v>
      </c>
      <c r="L14" t="s">
        <v>17</v>
      </c>
      <c r="M14" s="14">
        <v>1296514.0538501663</v>
      </c>
    </row>
    <row r="15" spans="1:15" x14ac:dyDescent="0.25">
      <c r="A15" t="s">
        <v>28</v>
      </c>
      <c r="B15" s="20">
        <f>B13/B14</f>
        <v>16264.869565217372</v>
      </c>
      <c r="D15" t="s">
        <v>72</v>
      </c>
      <c r="E15" s="40">
        <f>E7/C7</f>
        <v>0.52521008403361347</v>
      </c>
      <c r="L15" t="s">
        <v>18</v>
      </c>
      <c r="M15" s="14">
        <v>14789636.522082487</v>
      </c>
    </row>
    <row r="16" spans="1:15" x14ac:dyDescent="0.25">
      <c r="A16" t="s">
        <v>31</v>
      </c>
      <c r="B16" s="2">
        <f>B15/12</f>
        <v>1355.4057971014477</v>
      </c>
      <c r="L16" t="s">
        <v>19</v>
      </c>
      <c r="M16" s="14">
        <v>539416.94950893568</v>
      </c>
    </row>
    <row r="17" spans="1:15" x14ac:dyDescent="0.25">
      <c r="A17" t="s">
        <v>32</v>
      </c>
      <c r="B17" s="46">
        <f>interestrate</f>
        <v>0.05</v>
      </c>
      <c r="L17" t="s">
        <v>20</v>
      </c>
      <c r="M17" s="14">
        <v>300124.86106949201</v>
      </c>
    </row>
    <row r="18" spans="1:15" x14ac:dyDescent="0.25">
      <c r="A18" t="s">
        <v>37</v>
      </c>
      <c r="B18" s="21">
        <f>-PV(B17/12,30*12,B16)</f>
        <v>252487.18363768299</v>
      </c>
      <c r="L18" t="s">
        <v>21</v>
      </c>
      <c r="M18" s="14">
        <v>489289.50562873681</v>
      </c>
    </row>
    <row r="19" spans="1:15" x14ac:dyDescent="0.25">
      <c r="L19" t="s">
        <v>61</v>
      </c>
      <c r="M19" s="14">
        <v>392553.86709657649</v>
      </c>
    </row>
    <row r="20" spans="1:15" x14ac:dyDescent="0.25">
      <c r="A20" t="s">
        <v>30</v>
      </c>
      <c r="B20" s="2">
        <f>M9</f>
        <v>18704.599999999977</v>
      </c>
      <c r="L20" t="s">
        <v>53</v>
      </c>
      <c r="M20" s="14">
        <v>2147811.1109524667</v>
      </c>
      <c r="N20" s="16">
        <f>M20/(M22-M20)</f>
        <v>0.1201449946650706</v>
      </c>
      <c r="O20" t="s">
        <v>58</v>
      </c>
    </row>
    <row r="21" spans="1:15" x14ac:dyDescent="0.25">
      <c r="A21" t="s">
        <v>33</v>
      </c>
      <c r="B21" s="50">
        <f>caprate</f>
        <v>5.7500000000000002E-2</v>
      </c>
      <c r="L21" t="s">
        <v>22</v>
      </c>
      <c r="M21" s="14">
        <v>69289.795918367352</v>
      </c>
    </row>
    <row r="22" spans="1:15" x14ac:dyDescent="0.25">
      <c r="A22" t="s">
        <v>34</v>
      </c>
      <c r="B22" s="2">
        <f>B20/B21</f>
        <v>325297.39130434743</v>
      </c>
      <c r="L22" s="22" t="s">
        <v>23</v>
      </c>
      <c r="M22" s="1">
        <f>SUM(M14:M21)</f>
        <v>20024636.66610723</v>
      </c>
    </row>
    <row r="23" spans="1:15" x14ac:dyDescent="0.25">
      <c r="A23" t="s">
        <v>35</v>
      </c>
      <c r="B23" s="46">
        <f>ltv</f>
        <v>0.87</v>
      </c>
    </row>
    <row r="24" spans="1:15" x14ac:dyDescent="0.25">
      <c r="A24" t="s">
        <v>36</v>
      </c>
      <c r="B24" s="2">
        <f>B22*B23</f>
        <v>283008.73043478228</v>
      </c>
      <c r="L24" s="8" t="s">
        <v>41</v>
      </c>
    </row>
    <row r="25" spans="1:15" x14ac:dyDescent="0.25">
      <c r="L25" t="s">
        <v>42</v>
      </c>
      <c r="M25" s="2">
        <f>B26</f>
        <v>252487.18363768299</v>
      </c>
    </row>
    <row r="26" spans="1:15" x14ac:dyDescent="0.25">
      <c r="A26" t="s">
        <v>38</v>
      </c>
      <c r="B26" s="2">
        <f>MIN(B24,B18)</f>
        <v>252487.18363768299</v>
      </c>
      <c r="L26" t="s">
        <v>59</v>
      </c>
      <c r="M26" s="14">
        <v>665533</v>
      </c>
    </row>
    <row r="27" spans="1:15" x14ac:dyDescent="0.25">
      <c r="L27" t="s">
        <v>66</v>
      </c>
      <c r="M27" s="53">
        <f>taxcreditsub</f>
        <v>8300000</v>
      </c>
    </row>
    <row r="28" spans="1:15" x14ac:dyDescent="0.25">
      <c r="L28" t="s">
        <v>44</v>
      </c>
    </row>
    <row r="29" spans="1:15" x14ac:dyDescent="0.25">
      <c r="L29" t="s">
        <v>44</v>
      </c>
    </row>
    <row r="30" spans="1:15" x14ac:dyDescent="0.25">
      <c r="L30" t="s">
        <v>44</v>
      </c>
    </row>
    <row r="32" spans="1:15" x14ac:dyDescent="0.25">
      <c r="L32" s="22" t="s">
        <v>45</v>
      </c>
      <c r="M32" s="24">
        <f>SUM(M25:M27)</f>
        <v>9218020.1836376823</v>
      </c>
    </row>
    <row r="34" spans="12:17" x14ac:dyDescent="0.25">
      <c r="L34" s="25" t="s">
        <v>43</v>
      </c>
      <c r="M34" s="26">
        <f>M32-M22</f>
        <v>-10806616.482469548</v>
      </c>
    </row>
    <row r="35" spans="12:17" ht="15.75" x14ac:dyDescent="0.25">
      <c r="P35" s="51"/>
      <c r="Q35" s="51"/>
    </row>
    <row r="36" spans="12:17" ht="15.75" x14ac:dyDescent="0.25">
      <c r="P36" s="6"/>
      <c r="Q36" s="6"/>
    </row>
    <row r="37" spans="12:17" x14ac:dyDescent="0.25">
      <c r="P37" s="7"/>
      <c r="Q37" s="7"/>
    </row>
    <row r="55" spans="5:10" x14ac:dyDescent="0.25">
      <c r="G55" s="3"/>
      <c r="H55" s="3"/>
      <c r="J55" s="5"/>
    </row>
    <row r="56" spans="5:10" x14ac:dyDescent="0.25">
      <c r="F56" s="1"/>
    </row>
    <row r="57" spans="5:10" x14ac:dyDescent="0.25">
      <c r="F57" s="4"/>
      <c r="G57" s="27"/>
      <c r="H57" s="27"/>
      <c r="I57" s="27"/>
      <c r="J57" s="27"/>
    </row>
    <row r="58" spans="5:10" x14ac:dyDescent="0.25">
      <c r="E58" s="27"/>
      <c r="F58" s="27"/>
      <c r="G58" s="30"/>
      <c r="H58" s="30"/>
      <c r="I58" s="27"/>
      <c r="J58" s="27"/>
    </row>
    <row r="59" spans="5:10" ht="15.75" x14ac:dyDescent="0.25">
      <c r="E59" s="28"/>
      <c r="F59" s="29"/>
      <c r="G59" s="32"/>
      <c r="H59" s="32"/>
      <c r="I59" s="27"/>
      <c r="J59" s="27"/>
    </row>
    <row r="60" spans="5:10" x14ac:dyDescent="0.25">
      <c r="E60" s="29"/>
      <c r="F60" s="31"/>
      <c r="G60" s="33"/>
      <c r="H60" s="33"/>
      <c r="I60" s="27"/>
      <c r="J60" s="27"/>
    </row>
    <row r="61" spans="5:10" x14ac:dyDescent="0.25">
      <c r="E61" s="29"/>
      <c r="F61" s="31"/>
      <c r="G61" s="32"/>
      <c r="H61" s="32"/>
      <c r="I61" s="27"/>
      <c r="J61" s="27"/>
    </row>
    <row r="62" spans="5:10" x14ac:dyDescent="0.25">
      <c r="E62" s="29"/>
      <c r="F62" s="31"/>
      <c r="G62" s="30"/>
      <c r="H62" s="30"/>
      <c r="I62" s="27"/>
      <c r="J62" s="27"/>
    </row>
    <row r="63" spans="5:10" x14ac:dyDescent="0.25">
      <c r="E63" s="29"/>
      <c r="F63" s="31"/>
      <c r="G63" s="34"/>
      <c r="H63" s="34"/>
      <c r="I63" s="27"/>
      <c r="J63" s="27"/>
    </row>
    <row r="64" spans="5:10" x14ac:dyDescent="0.25">
      <c r="E64" s="29"/>
      <c r="F64" s="29"/>
      <c r="G64" s="27"/>
      <c r="H64" s="27"/>
      <c r="I64" s="27"/>
      <c r="J64" s="27"/>
    </row>
    <row r="65" spans="5:6" x14ac:dyDescent="0.25">
      <c r="E65" s="27"/>
      <c r="F65" s="27"/>
    </row>
    <row r="67" spans="5:6" x14ac:dyDescent="0.25">
      <c r="F67" s="1"/>
    </row>
    <row r="68" spans="5:6" x14ac:dyDescent="0.25">
      <c r="F68" s="1"/>
    </row>
    <row r="69" spans="5:6" x14ac:dyDescent="0.25">
      <c r="F69" s="1"/>
    </row>
    <row r="70" spans="5:6" x14ac:dyDescent="0.25">
      <c r="F70" s="1"/>
    </row>
    <row r="71" spans="5:6" x14ac:dyDescent="0.25">
      <c r="F71" s="1"/>
    </row>
    <row r="72" spans="5:6" x14ac:dyDescent="0.25">
      <c r="F72" s="1"/>
    </row>
    <row r="73" spans="5:6" x14ac:dyDescent="0.25">
      <c r="F73" s="1"/>
    </row>
    <row r="75" spans="5:6" x14ac:dyDescent="0.25">
      <c r="E75" s="8"/>
      <c r="F75" s="2"/>
    </row>
  </sheetData>
  <mergeCells count="1">
    <mergeCell ref="P35:Q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zoomScaleNormal="100" workbookViewId="0">
      <selection activeCell="M32" sqref="M32"/>
    </sheetView>
  </sheetViews>
  <sheetFormatPr defaultRowHeight="15" x14ac:dyDescent="0.25"/>
  <cols>
    <col min="1" max="1" width="30.28515625" customWidth="1"/>
    <col min="2" max="2" width="14.28515625" bestFit="1" customWidth="1"/>
    <col min="3" max="3" width="14.28515625" customWidth="1"/>
    <col min="5" max="5" width="33.28515625" bestFit="1" customWidth="1"/>
    <col min="6" max="6" width="16.140625" bestFit="1" customWidth="1"/>
    <col min="7" max="7" width="15.85546875" customWidth="1"/>
    <col min="8" max="8" width="12" bestFit="1" customWidth="1"/>
    <col min="9" max="9" width="12.5703125" customWidth="1"/>
    <col min="10" max="10" width="14.140625" customWidth="1"/>
    <col min="12" max="12" width="34.7109375" customWidth="1"/>
    <col min="13" max="13" width="15.7109375" customWidth="1"/>
    <col min="17" max="17" width="24.140625" customWidth="1"/>
  </cols>
  <sheetData>
    <row r="1" spans="1:15" x14ac:dyDescent="0.25">
      <c r="A1" t="s">
        <v>78</v>
      </c>
      <c r="B1">
        <f>D8</f>
        <v>50</v>
      </c>
      <c r="C1" t="s">
        <v>77</v>
      </c>
    </row>
    <row r="2" spans="1:15" x14ac:dyDescent="0.25">
      <c r="A2" s="19" t="s">
        <v>54</v>
      </c>
      <c r="L2" s="19" t="s">
        <v>55</v>
      </c>
    </row>
    <row r="4" spans="1:15" ht="45" x14ac:dyDescent="0.25">
      <c r="A4" s="10" t="s">
        <v>0</v>
      </c>
      <c r="B4" s="10" t="s">
        <v>1</v>
      </c>
      <c r="C4" s="10" t="s">
        <v>46</v>
      </c>
      <c r="D4" s="10" t="s">
        <v>5</v>
      </c>
      <c r="E4" s="10" t="s">
        <v>6</v>
      </c>
      <c r="F4" s="10" t="s">
        <v>7</v>
      </c>
      <c r="H4" s="42" t="s">
        <v>49</v>
      </c>
      <c r="I4" s="42" t="s">
        <v>50</v>
      </c>
      <c r="J4" s="42" t="s">
        <v>51</v>
      </c>
      <c r="L4" t="s">
        <v>12</v>
      </c>
      <c r="M4" s="14">
        <v>118462</v>
      </c>
    </row>
    <row r="5" spans="1:15" x14ac:dyDescent="0.25">
      <c r="A5" s="11" t="s">
        <v>2</v>
      </c>
      <c r="B5" s="13">
        <v>0.6</v>
      </c>
      <c r="C5" s="9">
        <v>699</v>
      </c>
      <c r="D5" s="9">
        <v>31</v>
      </c>
      <c r="E5" s="9">
        <v>901</v>
      </c>
      <c r="F5" s="1">
        <f>E5*D5*12</f>
        <v>335172</v>
      </c>
      <c r="H5" s="44">
        <f>H9</f>
        <v>0</v>
      </c>
      <c r="I5" s="41">
        <f>E5*(1+H5)</f>
        <v>901</v>
      </c>
      <c r="J5" s="1">
        <f>I5*$D5*12</f>
        <v>335172</v>
      </c>
      <c r="L5" t="s">
        <v>13</v>
      </c>
      <c r="M5" s="14">
        <v>71818</v>
      </c>
    </row>
    <row r="6" spans="1:15" x14ac:dyDescent="0.25">
      <c r="A6" s="12" t="s">
        <v>3</v>
      </c>
      <c r="B6" s="13">
        <v>0.6</v>
      </c>
      <c r="C6" s="9">
        <v>832</v>
      </c>
      <c r="D6" s="9">
        <f>0.34*50</f>
        <v>17</v>
      </c>
      <c r="E6" s="9">
        <v>1081</v>
      </c>
      <c r="F6" s="1">
        <f t="shared" ref="F6:F7" si="0">E6*D6*12</f>
        <v>220524</v>
      </c>
      <c r="H6" s="44">
        <f>H9</f>
        <v>0</v>
      </c>
      <c r="I6" s="41">
        <f>E6*(1+H6)</f>
        <v>1081</v>
      </c>
      <c r="J6" s="1">
        <f>I6*$D6*12</f>
        <v>220524</v>
      </c>
      <c r="L6" t="s">
        <v>14</v>
      </c>
      <c r="M6" s="14">
        <v>60734</v>
      </c>
    </row>
    <row r="7" spans="1:15" x14ac:dyDescent="0.25">
      <c r="A7" s="12" t="s">
        <v>4</v>
      </c>
      <c r="B7" s="13">
        <v>0.6</v>
      </c>
      <c r="C7" s="9">
        <v>1079</v>
      </c>
      <c r="D7" s="9">
        <v>2</v>
      </c>
      <c r="E7" s="9">
        <v>1250</v>
      </c>
      <c r="F7" s="1">
        <f t="shared" si="0"/>
        <v>30000</v>
      </c>
      <c r="H7" s="44">
        <f>H9</f>
        <v>0</v>
      </c>
      <c r="I7" s="41">
        <f>E7*(1+H7)</f>
        <v>1250</v>
      </c>
      <c r="J7" s="1">
        <f>I7*$D7*12</f>
        <v>30000</v>
      </c>
      <c r="L7" t="s">
        <v>15</v>
      </c>
      <c r="M7" s="17">
        <f>$D$8*N7</f>
        <v>15000</v>
      </c>
      <c r="N7" s="18">
        <v>300</v>
      </c>
      <c r="O7" t="s">
        <v>25</v>
      </c>
    </row>
    <row r="8" spans="1:15" x14ac:dyDescent="0.25">
      <c r="A8" s="15" t="s">
        <v>24</v>
      </c>
      <c r="B8" s="16">
        <f>AVERAGE(B5:B7)</f>
        <v>0.6</v>
      </c>
      <c r="C8" s="1">
        <f>((C5*D5)+(C6*D6)+(C7*D7))</f>
        <v>37971</v>
      </c>
      <c r="D8">
        <f>SUM(D5:D7)</f>
        <v>50</v>
      </c>
      <c r="E8" t="s">
        <v>8</v>
      </c>
      <c r="F8" s="2">
        <f>SUM(F5:F7)</f>
        <v>585696</v>
      </c>
      <c r="I8" s="2">
        <f>I5*$D5+I6*$D6+I7*$D7</f>
        <v>48808</v>
      </c>
      <c r="J8" s="2">
        <f>SUM(J5:J7)</f>
        <v>585696</v>
      </c>
      <c r="L8" t="s">
        <v>16</v>
      </c>
      <c r="M8" s="1">
        <f>SUM(M4:M7)</f>
        <v>266014</v>
      </c>
    </row>
    <row r="9" spans="1:15" x14ac:dyDescent="0.25">
      <c r="A9" t="s">
        <v>10</v>
      </c>
      <c r="B9" s="47">
        <f>vacancy</f>
        <v>7.0000000000000007E-2</v>
      </c>
      <c r="C9" s="39"/>
      <c r="E9" t="s">
        <v>9</v>
      </c>
      <c r="F9" s="1">
        <f>-F8*$B$9</f>
        <v>-40998.720000000001</v>
      </c>
      <c r="H9" s="44">
        <f>adjustrent</f>
        <v>0</v>
      </c>
      <c r="L9" t="s">
        <v>26</v>
      </c>
      <c r="M9" s="1">
        <f>F10-M8</f>
        <v>278683.28000000003</v>
      </c>
    </row>
    <row r="10" spans="1:15" x14ac:dyDescent="0.25">
      <c r="E10" t="s">
        <v>11</v>
      </c>
      <c r="F10" s="2">
        <f>SUM(F8:F9)</f>
        <v>544697.28</v>
      </c>
    </row>
    <row r="12" spans="1:15" x14ac:dyDescent="0.25">
      <c r="L12" s="19" t="s">
        <v>39</v>
      </c>
    </row>
    <row r="13" spans="1:15" x14ac:dyDescent="0.25">
      <c r="L13" s="8" t="s">
        <v>40</v>
      </c>
    </row>
    <row r="14" spans="1:15" x14ac:dyDescent="0.25">
      <c r="A14" s="19" t="s">
        <v>27</v>
      </c>
      <c r="E14" t="s">
        <v>47</v>
      </c>
      <c r="L14" t="s">
        <v>17</v>
      </c>
      <c r="M14" s="14">
        <v>1128000</v>
      </c>
    </row>
    <row r="15" spans="1:15" x14ac:dyDescent="0.25">
      <c r="A15" t="s">
        <v>30</v>
      </c>
      <c r="B15" s="2">
        <f>M9</f>
        <v>278683.28000000003</v>
      </c>
      <c r="D15" t="s">
        <v>70</v>
      </c>
      <c r="E15" s="40">
        <f>E5/C5</f>
        <v>1.2889842632331903</v>
      </c>
      <c r="L15" t="s">
        <v>18</v>
      </c>
      <c r="M15" s="14">
        <v>9102539.2275588401</v>
      </c>
    </row>
    <row r="16" spans="1:15" x14ac:dyDescent="0.25">
      <c r="A16" t="s">
        <v>29</v>
      </c>
      <c r="B16" s="45">
        <f>DSCR</f>
        <v>1.1499999999999999</v>
      </c>
      <c r="D16" t="s">
        <v>71</v>
      </c>
      <c r="E16" s="40">
        <f>E6/C6</f>
        <v>1.2992788461538463</v>
      </c>
      <c r="L16" t="s">
        <v>19</v>
      </c>
      <c r="M16" s="14">
        <v>562039.29597701144</v>
      </c>
    </row>
    <row r="17" spans="1:16" x14ac:dyDescent="0.25">
      <c r="A17" t="s">
        <v>28</v>
      </c>
      <c r="B17" s="20">
        <f>B15/B16</f>
        <v>242333.28695652177</v>
      </c>
      <c r="D17" t="s">
        <v>72</v>
      </c>
      <c r="E17" s="40">
        <f>E7/C7</f>
        <v>1.1584800741427248</v>
      </c>
      <c r="L17" t="s">
        <v>20</v>
      </c>
      <c r="M17" s="14">
        <v>441837.5957854407</v>
      </c>
    </row>
    <row r="18" spans="1:16" x14ac:dyDescent="0.25">
      <c r="A18" t="s">
        <v>31</v>
      </c>
      <c r="B18" s="2">
        <f>B17/12</f>
        <v>20194.440579710146</v>
      </c>
      <c r="L18" t="s">
        <v>21</v>
      </c>
      <c r="M18" s="14">
        <v>318507.06075533666</v>
      </c>
    </row>
    <row r="19" spans="1:16" x14ac:dyDescent="0.25">
      <c r="A19" t="s">
        <v>32</v>
      </c>
      <c r="B19" s="46">
        <f>interestrate</f>
        <v>0.05</v>
      </c>
      <c r="L19" t="s">
        <v>61</v>
      </c>
      <c r="M19" s="14">
        <v>219620.07617223135</v>
      </c>
    </row>
    <row r="20" spans="1:16" x14ac:dyDescent="0.25">
      <c r="A20" t="s">
        <v>37</v>
      </c>
      <c r="B20" s="21">
        <f>-PV(B19/12,30*12,B18)</f>
        <v>3761853.0465292986</v>
      </c>
      <c r="L20" t="s">
        <v>53</v>
      </c>
      <c r="M20" s="14">
        <v>1338421.0465699688</v>
      </c>
      <c r="N20" s="16">
        <f>M20/(M22-M20)</f>
        <v>0.11304543170389539</v>
      </c>
      <c r="O20" t="s">
        <v>58</v>
      </c>
    </row>
    <row r="21" spans="1:16" x14ac:dyDescent="0.25">
      <c r="L21" t="s">
        <v>22</v>
      </c>
      <c r="M21" s="14">
        <v>67130.637657361789</v>
      </c>
    </row>
    <row r="22" spans="1:16" x14ac:dyDescent="0.25">
      <c r="A22" t="s">
        <v>30</v>
      </c>
      <c r="B22" s="2">
        <f>M9</f>
        <v>278683.28000000003</v>
      </c>
      <c r="L22" s="22" t="s">
        <v>23</v>
      </c>
      <c r="M22" s="23">
        <f>SUM(M14:M21)</f>
        <v>13178094.94047619</v>
      </c>
    </row>
    <row r="23" spans="1:16" x14ac:dyDescent="0.25">
      <c r="A23" t="s">
        <v>33</v>
      </c>
      <c r="B23" s="50">
        <f>caprate</f>
        <v>5.7500000000000002E-2</v>
      </c>
    </row>
    <row r="24" spans="1:16" x14ac:dyDescent="0.25">
      <c r="A24" t="s">
        <v>34</v>
      </c>
      <c r="B24" s="2">
        <f>B22/B23</f>
        <v>4846665.7391304355</v>
      </c>
      <c r="L24" s="8" t="s">
        <v>41</v>
      </c>
    </row>
    <row r="25" spans="1:16" x14ac:dyDescent="0.25">
      <c r="A25" t="s">
        <v>35</v>
      </c>
      <c r="B25" s="46">
        <f>ltv</f>
        <v>0.87</v>
      </c>
      <c r="L25" t="s">
        <v>42</v>
      </c>
      <c r="M25" s="2">
        <f>B28</f>
        <v>3761853.0465292986</v>
      </c>
    </row>
    <row r="26" spans="1:16" x14ac:dyDescent="0.25">
      <c r="A26" t="s">
        <v>36</v>
      </c>
      <c r="B26" s="2">
        <f>B24*B25</f>
        <v>4216599.1930434788</v>
      </c>
      <c r="L26" t="s">
        <v>59</v>
      </c>
      <c r="M26" s="14">
        <v>372464</v>
      </c>
    </row>
    <row r="27" spans="1:16" x14ac:dyDescent="0.25">
      <c r="L27" t="s">
        <v>60</v>
      </c>
      <c r="M27" s="9"/>
    </row>
    <row r="28" spans="1:16" x14ac:dyDescent="0.25">
      <c r="A28" t="s">
        <v>38</v>
      </c>
      <c r="B28" s="2">
        <f>MIN(B26,B20)</f>
        <v>3761853.0465292986</v>
      </c>
      <c r="L28" t="s">
        <v>44</v>
      </c>
      <c r="M28" s="9"/>
    </row>
    <row r="29" spans="1:16" x14ac:dyDescent="0.25">
      <c r="L29" t="s">
        <v>44</v>
      </c>
      <c r="M29" s="9"/>
    </row>
    <row r="30" spans="1:16" x14ac:dyDescent="0.25">
      <c r="L30" s="22" t="s">
        <v>45</v>
      </c>
      <c r="M30" s="24">
        <f>SUM(M25:M29)</f>
        <v>4134317.0465292986</v>
      </c>
    </row>
    <row r="31" spans="1:16" x14ac:dyDescent="0.25">
      <c r="N31" s="27"/>
      <c r="O31" s="27"/>
      <c r="P31" s="27"/>
    </row>
    <row r="32" spans="1:16" x14ac:dyDescent="0.25">
      <c r="L32" s="25" t="s">
        <v>43</v>
      </c>
      <c r="M32" s="26">
        <f>M30-M22</f>
        <v>-9043777.8939468917</v>
      </c>
      <c r="N32" s="36"/>
      <c r="O32" s="27"/>
      <c r="P32" s="37"/>
    </row>
    <row r="35" spans="16:17" ht="15.75" x14ac:dyDescent="0.25">
      <c r="P35" s="51"/>
      <c r="Q35" s="51"/>
    </row>
    <row r="36" spans="16:17" ht="15.75" x14ac:dyDescent="0.25">
      <c r="P36" s="6"/>
      <c r="Q36" s="6"/>
    </row>
    <row r="37" spans="16:17" x14ac:dyDescent="0.25">
      <c r="P37" s="7"/>
      <c r="Q37" s="7"/>
    </row>
    <row r="54" spans="4:12" x14ac:dyDescent="0.25">
      <c r="D54" s="27"/>
      <c r="K54" s="27"/>
      <c r="L54" s="27"/>
    </row>
    <row r="55" spans="4:12" x14ac:dyDescent="0.25">
      <c r="D55" s="27"/>
      <c r="K55" s="27"/>
      <c r="L55" s="27"/>
    </row>
    <row r="56" spans="4:12" x14ac:dyDescent="0.25">
      <c r="D56" s="27"/>
      <c r="G56" s="27"/>
      <c r="H56" s="27"/>
      <c r="I56" s="27"/>
      <c r="J56" s="27"/>
      <c r="K56" s="27"/>
      <c r="L56" s="27"/>
    </row>
    <row r="57" spans="4:12" x14ac:dyDescent="0.25">
      <c r="D57" s="27"/>
      <c r="E57" s="27"/>
      <c r="F57" s="27"/>
      <c r="G57" s="27"/>
      <c r="H57" s="27"/>
      <c r="I57" s="27"/>
      <c r="J57" s="27"/>
      <c r="K57" s="27"/>
      <c r="L57" s="27"/>
    </row>
    <row r="58" spans="4:12" x14ac:dyDescent="0.25">
      <c r="D58" s="27"/>
      <c r="E58" s="27"/>
      <c r="F58" s="35"/>
      <c r="G58" s="30"/>
      <c r="H58" s="30"/>
      <c r="I58" s="27"/>
      <c r="J58" s="27"/>
      <c r="K58" s="27"/>
      <c r="L58" s="27"/>
    </row>
    <row r="59" spans="4:12" x14ac:dyDescent="0.25">
      <c r="D59" s="27"/>
      <c r="E59" s="27"/>
      <c r="F59" s="38"/>
      <c r="G59" s="32"/>
      <c r="H59" s="32"/>
      <c r="I59" s="27"/>
      <c r="J59" s="27"/>
      <c r="K59" s="27"/>
      <c r="L59" s="27"/>
    </row>
    <row r="60" spans="4:12" x14ac:dyDescent="0.25">
      <c r="D60" s="27"/>
      <c r="E60" s="27"/>
      <c r="F60" s="27"/>
      <c r="G60" s="33"/>
      <c r="H60" s="33"/>
      <c r="I60" s="27"/>
      <c r="J60" s="27"/>
      <c r="K60" s="27"/>
      <c r="L60" s="27"/>
    </row>
    <row r="61" spans="4:12" ht="15.75" x14ac:dyDescent="0.25">
      <c r="D61" s="27"/>
      <c r="E61" s="28"/>
      <c r="F61" s="29"/>
      <c r="G61" s="32"/>
      <c r="H61" s="32"/>
      <c r="I61" s="27"/>
      <c r="J61" s="27"/>
      <c r="K61" s="27"/>
      <c r="L61" s="27"/>
    </row>
    <row r="62" spans="4:12" x14ac:dyDescent="0.25">
      <c r="D62" s="27"/>
      <c r="E62" s="29"/>
      <c r="F62" s="31"/>
      <c r="G62" s="30"/>
      <c r="H62" s="30"/>
      <c r="I62" s="27"/>
      <c r="J62" s="27"/>
      <c r="K62" s="27"/>
      <c r="L62" s="27"/>
    </row>
    <row r="63" spans="4:12" x14ac:dyDescent="0.25">
      <c r="D63" s="27"/>
      <c r="E63" s="29"/>
      <c r="F63" s="31"/>
      <c r="G63" s="34"/>
      <c r="H63" s="34"/>
      <c r="I63" s="27"/>
      <c r="J63" s="27"/>
      <c r="K63" s="27"/>
      <c r="L63" s="27"/>
    </row>
    <row r="64" spans="4:12" x14ac:dyDescent="0.25">
      <c r="D64" s="27"/>
      <c r="E64" s="29"/>
      <c r="F64" s="31"/>
      <c r="G64" s="27"/>
      <c r="H64" s="27"/>
      <c r="I64" s="27"/>
      <c r="J64" s="27"/>
      <c r="K64" s="27"/>
      <c r="L64" s="27"/>
    </row>
    <row r="65" spans="4:12" x14ac:dyDescent="0.25">
      <c r="D65" s="27"/>
      <c r="E65" s="29"/>
      <c r="F65" s="31"/>
      <c r="G65" s="27"/>
      <c r="H65" s="27"/>
      <c r="I65" s="27"/>
      <c r="J65" s="27"/>
      <c r="K65" s="27"/>
      <c r="L65" s="27"/>
    </row>
    <row r="66" spans="4:12" x14ac:dyDescent="0.25">
      <c r="D66" s="27"/>
      <c r="E66" s="29"/>
      <c r="F66" s="29"/>
      <c r="G66" s="27"/>
      <c r="H66" s="27"/>
      <c r="I66" s="27"/>
      <c r="J66" s="27"/>
      <c r="K66" s="27"/>
      <c r="L66" s="27"/>
    </row>
    <row r="67" spans="4:12" x14ac:dyDescent="0.25">
      <c r="D67" s="27"/>
      <c r="E67" s="27"/>
      <c r="F67" s="27"/>
      <c r="G67" s="27"/>
      <c r="H67" s="27"/>
      <c r="I67" s="27"/>
      <c r="J67" s="27"/>
      <c r="K67" s="27"/>
      <c r="L67" s="27"/>
    </row>
    <row r="68" spans="4:12" x14ac:dyDescent="0.25">
      <c r="E68" s="27"/>
      <c r="F68" s="27"/>
    </row>
    <row r="69" spans="4:12" x14ac:dyDescent="0.25">
      <c r="E69" s="27"/>
      <c r="F69" s="35"/>
    </row>
    <row r="70" spans="4:12" x14ac:dyDescent="0.25">
      <c r="E70" s="27"/>
      <c r="F70" s="35"/>
    </row>
    <row r="71" spans="4:12" x14ac:dyDescent="0.25">
      <c r="F71" s="1"/>
    </row>
    <row r="72" spans="4:12" x14ac:dyDescent="0.25">
      <c r="F72" s="1"/>
    </row>
    <row r="73" spans="4:12" x14ac:dyDescent="0.25">
      <c r="F73" s="1"/>
    </row>
    <row r="74" spans="4:12" x14ac:dyDescent="0.25">
      <c r="F74" s="1"/>
    </row>
    <row r="75" spans="4:12" x14ac:dyDescent="0.25">
      <c r="F75" s="1"/>
    </row>
    <row r="77" spans="4:12" x14ac:dyDescent="0.25">
      <c r="E77" s="8"/>
      <c r="F77" s="2"/>
    </row>
  </sheetData>
  <mergeCells count="1">
    <mergeCell ref="P35:Q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workbookViewId="0">
      <selection activeCell="Q28" sqref="Q28"/>
    </sheetView>
  </sheetViews>
  <sheetFormatPr defaultRowHeight="15" x14ac:dyDescent="0.25"/>
  <cols>
    <col min="1" max="1" width="30.28515625" customWidth="1"/>
    <col min="2" max="2" width="14.28515625" bestFit="1" customWidth="1"/>
    <col min="3" max="3" width="14.28515625" customWidth="1"/>
    <col min="5" max="5" width="33.28515625" bestFit="1" customWidth="1"/>
    <col min="6" max="6" width="16.140625" bestFit="1" customWidth="1"/>
    <col min="7" max="7" width="15.85546875" customWidth="1"/>
    <col min="8" max="8" width="12" bestFit="1" customWidth="1"/>
    <col min="9" max="9" width="12.5703125" customWidth="1"/>
    <col min="10" max="10" width="14.140625" customWidth="1"/>
    <col min="12" max="12" width="34.7109375" customWidth="1"/>
    <col min="13" max="13" width="15.7109375" customWidth="1"/>
    <col min="14" max="14" width="11.7109375" customWidth="1"/>
    <col min="17" max="17" width="24.140625" customWidth="1"/>
  </cols>
  <sheetData>
    <row r="1" spans="1:19" x14ac:dyDescent="0.25">
      <c r="A1" t="s">
        <v>78</v>
      </c>
      <c r="B1">
        <f>D8</f>
        <v>100</v>
      </c>
      <c r="C1" t="s">
        <v>77</v>
      </c>
    </row>
    <row r="2" spans="1:19" x14ac:dyDescent="0.25">
      <c r="A2" s="19" t="s">
        <v>54</v>
      </c>
      <c r="P2" s="19" t="s">
        <v>55</v>
      </c>
    </row>
    <row r="4" spans="1:19" ht="45" x14ac:dyDescent="0.25">
      <c r="A4" s="10" t="s">
        <v>0</v>
      </c>
      <c r="B4" s="10" t="s">
        <v>1</v>
      </c>
      <c r="C4" s="10" t="s">
        <v>46</v>
      </c>
      <c r="D4" s="10" t="s">
        <v>5</v>
      </c>
      <c r="E4" s="10" t="s">
        <v>56</v>
      </c>
      <c r="F4" s="10" t="s">
        <v>62</v>
      </c>
      <c r="G4" s="10" t="s">
        <v>57</v>
      </c>
      <c r="H4" s="10" t="s">
        <v>63</v>
      </c>
      <c r="I4" s="10" t="s">
        <v>6</v>
      </c>
      <c r="J4" s="10" t="s">
        <v>7</v>
      </c>
      <c r="L4" s="42" t="s">
        <v>49</v>
      </c>
      <c r="M4" s="42" t="s">
        <v>50</v>
      </c>
      <c r="N4" s="42" t="s">
        <v>51</v>
      </c>
      <c r="P4" t="s">
        <v>12</v>
      </c>
      <c r="Q4" s="14">
        <v>240083</v>
      </c>
    </row>
    <row r="5" spans="1:19" x14ac:dyDescent="0.25">
      <c r="A5" s="11" t="s">
        <v>2</v>
      </c>
      <c r="B5" s="13">
        <v>0.6</v>
      </c>
      <c r="C5" s="9">
        <v>594</v>
      </c>
      <c r="D5" s="9">
        <v>61</v>
      </c>
      <c r="E5" s="9">
        <f>16230/12*0.3</f>
        <v>405.75</v>
      </c>
      <c r="F5" s="14">
        <f>E5*D5*12</f>
        <v>297009</v>
      </c>
      <c r="G5" s="9">
        <f>I5-E5</f>
        <v>495.25</v>
      </c>
      <c r="H5" s="14">
        <f>G5*D5*12</f>
        <v>362523</v>
      </c>
      <c r="I5" s="9">
        <v>901</v>
      </c>
      <c r="J5" s="1">
        <f>I5*D5*12</f>
        <v>659532</v>
      </c>
      <c r="L5" s="44">
        <f>L9</f>
        <v>0</v>
      </c>
      <c r="M5" s="41">
        <f>I5*(1+L5)</f>
        <v>901</v>
      </c>
      <c r="N5" s="1">
        <f>M5*$D5*12</f>
        <v>659532</v>
      </c>
      <c r="O5" s="40"/>
      <c r="P5" t="s">
        <v>13</v>
      </c>
      <c r="Q5" s="14">
        <v>131906</v>
      </c>
    </row>
    <row r="6" spans="1:19" x14ac:dyDescent="0.25">
      <c r="A6" s="12" t="s">
        <v>3</v>
      </c>
      <c r="B6" s="13">
        <v>0.6</v>
      </c>
      <c r="C6" s="9">
        <v>880</v>
      </c>
      <c r="D6" s="9">
        <v>34</v>
      </c>
      <c r="E6" s="9">
        <f>19230/12*0.3</f>
        <v>480.75</v>
      </c>
      <c r="F6" s="14">
        <f t="shared" ref="F6:F7" si="0">E6*D6*12</f>
        <v>196146</v>
      </c>
      <c r="G6" s="9">
        <f>I6-E6</f>
        <v>600.25</v>
      </c>
      <c r="H6" s="14">
        <f t="shared" ref="H6:H7" si="1">G6*D6*12</f>
        <v>244902</v>
      </c>
      <c r="I6" s="9">
        <v>1081</v>
      </c>
      <c r="J6" s="1">
        <f>I6*D6*12</f>
        <v>441048</v>
      </c>
      <c r="L6" s="44">
        <f>L9</f>
        <v>0</v>
      </c>
      <c r="M6" s="41">
        <f>I6*(1+L6)</f>
        <v>1081</v>
      </c>
      <c r="N6" s="1">
        <f>M6*$D6*12</f>
        <v>441048</v>
      </c>
      <c r="O6" s="40"/>
      <c r="P6" t="s">
        <v>14</v>
      </c>
      <c r="Q6" s="14">
        <v>125421</v>
      </c>
    </row>
    <row r="7" spans="1:19" x14ac:dyDescent="0.25">
      <c r="A7" s="12" t="s">
        <v>4</v>
      </c>
      <c r="B7" s="13">
        <v>0.6</v>
      </c>
      <c r="C7" s="9">
        <v>1190</v>
      </c>
      <c r="D7" s="9">
        <v>5</v>
      </c>
      <c r="E7" s="9">
        <f>24030/12*0.3</f>
        <v>600.75</v>
      </c>
      <c r="F7" s="14">
        <f t="shared" si="0"/>
        <v>36045</v>
      </c>
      <c r="G7" s="9">
        <f>I7-E7</f>
        <v>649.25</v>
      </c>
      <c r="H7" s="14">
        <f t="shared" si="1"/>
        <v>38955</v>
      </c>
      <c r="I7" s="9">
        <v>1250</v>
      </c>
      <c r="J7" s="1">
        <f>I7*D7*12</f>
        <v>75000</v>
      </c>
      <c r="L7" s="44">
        <f>L9</f>
        <v>0</v>
      </c>
      <c r="M7" s="41">
        <f>I7*(1+L7)</f>
        <v>1250</v>
      </c>
      <c r="N7" s="1">
        <f>M7*$D7*12</f>
        <v>75000</v>
      </c>
      <c r="O7" s="40"/>
      <c r="P7" t="s">
        <v>15</v>
      </c>
      <c r="Q7" s="17">
        <f>$D$8*R7</f>
        <v>30000</v>
      </c>
      <c r="R7" s="18">
        <v>300</v>
      </c>
      <c r="S7" t="s">
        <v>25</v>
      </c>
    </row>
    <row r="8" spans="1:19" x14ac:dyDescent="0.25">
      <c r="A8" s="15" t="s">
        <v>24</v>
      </c>
      <c r="B8" s="16">
        <f>AVERAGE(B5:B7)</f>
        <v>0.6</v>
      </c>
      <c r="C8" s="1">
        <f>((C5*D5)+(C6*D6)+(C7*D7))</f>
        <v>72104</v>
      </c>
      <c r="D8">
        <f>SUM(D5:D7)</f>
        <v>100</v>
      </c>
      <c r="F8" s="2">
        <f>SUM(F5:F7)</f>
        <v>529200</v>
      </c>
      <c r="H8" s="2">
        <f>SUM(H5:H7)</f>
        <v>646380</v>
      </c>
      <c r="I8" t="s">
        <v>8</v>
      </c>
      <c r="J8" s="2">
        <f>SUM(J5:J7)</f>
        <v>1175580</v>
      </c>
      <c r="M8" s="2">
        <f>M5*$D5+M6*$D6+M7*$D7</f>
        <v>97965</v>
      </c>
      <c r="N8" s="2">
        <f>SUM(N5:N7)</f>
        <v>1175580</v>
      </c>
      <c r="P8" t="s">
        <v>16</v>
      </c>
      <c r="Q8" s="1">
        <f>SUM(Q4:Q7)</f>
        <v>527410</v>
      </c>
    </row>
    <row r="9" spans="1:19" x14ac:dyDescent="0.25">
      <c r="A9" t="s">
        <v>10</v>
      </c>
      <c r="B9" s="47">
        <f>vacancy</f>
        <v>7.0000000000000007E-2</v>
      </c>
      <c r="C9" s="39"/>
      <c r="L9" s="44">
        <f>adjustrent</f>
        <v>0</v>
      </c>
      <c r="P9" t="s">
        <v>26</v>
      </c>
      <c r="Q9" s="1">
        <f>J11-Q8</f>
        <v>565879.39999999991</v>
      </c>
    </row>
    <row r="10" spans="1:19" x14ac:dyDescent="0.25">
      <c r="I10" t="s">
        <v>9</v>
      </c>
      <c r="J10" s="1">
        <f>-J8*$B$9</f>
        <v>-82290.600000000006</v>
      </c>
    </row>
    <row r="11" spans="1:19" x14ac:dyDescent="0.25">
      <c r="I11" t="s">
        <v>11</v>
      </c>
      <c r="J11" s="2">
        <f>SUM(J8:J10)</f>
        <v>1093289.3999999999</v>
      </c>
    </row>
    <row r="12" spans="1:19" x14ac:dyDescent="0.25">
      <c r="P12" s="19" t="s">
        <v>39</v>
      </c>
    </row>
    <row r="13" spans="1:19" x14ac:dyDescent="0.25">
      <c r="A13" s="19" t="s">
        <v>27</v>
      </c>
      <c r="P13" s="8" t="s">
        <v>40</v>
      </c>
    </row>
    <row r="14" spans="1:19" x14ac:dyDescent="0.25">
      <c r="A14" t="s">
        <v>30</v>
      </c>
      <c r="B14" s="2">
        <f>Q9</f>
        <v>565879.39999999991</v>
      </c>
      <c r="P14" t="s">
        <v>17</v>
      </c>
      <c r="Q14" s="14">
        <v>1296514.0538501663</v>
      </c>
    </row>
    <row r="15" spans="1:19" x14ac:dyDescent="0.25">
      <c r="A15" t="s">
        <v>29</v>
      </c>
      <c r="B15" s="45">
        <f>DSCR</f>
        <v>1.1499999999999999</v>
      </c>
      <c r="P15" t="s">
        <v>18</v>
      </c>
      <c r="Q15" s="14">
        <v>14789636.522082487</v>
      </c>
    </row>
    <row r="16" spans="1:19" x14ac:dyDescent="0.25">
      <c r="A16" t="s">
        <v>28</v>
      </c>
      <c r="B16" s="20">
        <f>B14/B15</f>
        <v>492069.04347826081</v>
      </c>
      <c r="P16" t="s">
        <v>19</v>
      </c>
      <c r="Q16" s="14">
        <v>539416.94950893568</v>
      </c>
    </row>
    <row r="17" spans="1:19" x14ac:dyDescent="0.25">
      <c r="A17" t="s">
        <v>31</v>
      </c>
      <c r="B17" s="2">
        <f>B16/12</f>
        <v>41005.753623188401</v>
      </c>
      <c r="I17" t="s">
        <v>47</v>
      </c>
      <c r="P17" t="s">
        <v>20</v>
      </c>
      <c r="Q17" s="14">
        <v>300124.86106949201</v>
      </c>
    </row>
    <row r="18" spans="1:19" x14ac:dyDescent="0.25">
      <c r="A18" t="s">
        <v>32</v>
      </c>
      <c r="B18" s="46">
        <f>interestrate</f>
        <v>0.05</v>
      </c>
      <c r="H18" t="s">
        <v>70</v>
      </c>
      <c r="I18" s="40">
        <f>I5/C5</f>
        <v>1.5168350168350169</v>
      </c>
      <c r="P18" t="s">
        <v>21</v>
      </c>
      <c r="Q18" s="14">
        <v>489289.50562873681</v>
      </c>
    </row>
    <row r="19" spans="1:19" x14ac:dyDescent="0.25">
      <c r="A19" t="s">
        <v>37</v>
      </c>
      <c r="B19" s="21">
        <f>-PV(B18/12,30*12,B17)</f>
        <v>7638618.0931205181</v>
      </c>
      <c r="H19" t="s">
        <v>71</v>
      </c>
      <c r="I19" s="40">
        <f>I6/C6</f>
        <v>1.228409090909091</v>
      </c>
      <c r="P19" t="s">
        <v>61</v>
      </c>
      <c r="Q19" s="14">
        <v>392553.86709657649</v>
      </c>
    </row>
    <row r="20" spans="1:19" x14ac:dyDescent="0.25">
      <c r="H20" t="s">
        <v>72</v>
      </c>
      <c r="I20" s="40">
        <f>I7/C7</f>
        <v>1.0504201680672269</v>
      </c>
      <c r="P20" t="s">
        <v>53</v>
      </c>
      <c r="Q20" s="14">
        <v>2147811.1109524667</v>
      </c>
      <c r="R20" s="16">
        <f>Q20/(Q22-Q20)</f>
        <v>0.1201449946650706</v>
      </c>
      <c r="S20" t="s">
        <v>58</v>
      </c>
    </row>
    <row r="21" spans="1:19" x14ac:dyDescent="0.25">
      <c r="A21" t="s">
        <v>30</v>
      </c>
      <c r="B21" s="2">
        <f>Q9</f>
        <v>565879.39999999991</v>
      </c>
      <c r="P21" t="s">
        <v>22</v>
      </c>
      <c r="Q21" s="14">
        <v>69289.795918367352</v>
      </c>
    </row>
    <row r="22" spans="1:19" x14ac:dyDescent="0.25">
      <c r="A22" t="s">
        <v>33</v>
      </c>
      <c r="B22" s="50">
        <f>caprate</f>
        <v>5.7500000000000002E-2</v>
      </c>
      <c r="P22" s="22" t="s">
        <v>23</v>
      </c>
      <c r="Q22" s="23">
        <f>SUM(Q14:Q21)</f>
        <v>20024636.66610723</v>
      </c>
    </row>
    <row r="23" spans="1:19" x14ac:dyDescent="0.25">
      <c r="A23" t="s">
        <v>34</v>
      </c>
      <c r="B23" s="2">
        <f>B21/B22</f>
        <v>9841380.869565215</v>
      </c>
    </row>
    <row r="24" spans="1:19" x14ac:dyDescent="0.25">
      <c r="A24" t="s">
        <v>35</v>
      </c>
      <c r="B24" s="46">
        <f>ltv</f>
        <v>0.87</v>
      </c>
      <c r="P24" s="8" t="s">
        <v>41</v>
      </c>
    </row>
    <row r="25" spans="1:19" x14ac:dyDescent="0.25">
      <c r="A25" t="s">
        <v>36</v>
      </c>
      <c r="B25" s="2">
        <f>B23*B24</f>
        <v>8562001.3565217368</v>
      </c>
      <c r="P25" t="s">
        <v>42</v>
      </c>
      <c r="Q25" s="2">
        <f>B19</f>
        <v>7638618.0931205181</v>
      </c>
    </row>
    <row r="26" spans="1:19" x14ac:dyDescent="0.25">
      <c r="P26" t="s">
        <v>59</v>
      </c>
      <c r="Q26" s="43">
        <v>665533</v>
      </c>
    </row>
    <row r="27" spans="1:19" x14ac:dyDescent="0.25">
      <c r="A27" t="s">
        <v>38</v>
      </c>
      <c r="B27" s="2">
        <f>MIN(B25,B19)</f>
        <v>7638618.0931205181</v>
      </c>
      <c r="P27" t="s">
        <v>60</v>
      </c>
      <c r="Q27" s="53">
        <f>taxcreditsub</f>
        <v>8300000</v>
      </c>
    </row>
    <row r="28" spans="1:19" x14ac:dyDescent="0.25">
      <c r="P28" t="s">
        <v>44</v>
      </c>
      <c r="Q28" s="9"/>
    </row>
    <row r="29" spans="1:19" x14ac:dyDescent="0.25">
      <c r="P29" t="s">
        <v>44</v>
      </c>
      <c r="Q29" s="9"/>
    </row>
    <row r="30" spans="1:19" x14ac:dyDescent="0.25">
      <c r="P30" t="s">
        <v>44</v>
      </c>
      <c r="Q30" s="9"/>
    </row>
    <row r="31" spans="1:19" x14ac:dyDescent="0.25">
      <c r="E31" t="s">
        <v>64</v>
      </c>
      <c r="P31" s="22" t="s">
        <v>45</v>
      </c>
      <c r="Q31" s="24">
        <f>SUM(Q25:Q27)</f>
        <v>16604151.093120519</v>
      </c>
    </row>
    <row r="32" spans="1:19" x14ac:dyDescent="0.25">
      <c r="E32" t="s">
        <v>65</v>
      </c>
    </row>
    <row r="33" spans="16:21" x14ac:dyDescent="0.25">
      <c r="P33" s="25" t="s">
        <v>43</v>
      </c>
      <c r="Q33" s="26">
        <f>Q31-Q22</f>
        <v>-3420485.5729867108</v>
      </c>
    </row>
    <row r="35" spans="16:21" ht="15.75" x14ac:dyDescent="0.25">
      <c r="T35" s="51"/>
      <c r="U35" s="51"/>
    </row>
    <row r="36" spans="16:21" ht="15.75" x14ac:dyDescent="0.25">
      <c r="T36" s="6"/>
      <c r="U36" s="6"/>
    </row>
    <row r="37" spans="16:21" x14ac:dyDescent="0.25">
      <c r="T37" s="7"/>
      <c r="U37" s="7"/>
    </row>
    <row r="54" spans="4:16" x14ac:dyDescent="0.25"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spans="4:16" x14ac:dyDescent="0.25">
      <c r="D55" s="27"/>
      <c r="E55" s="27"/>
      <c r="F55" s="27"/>
      <c r="G55" s="27"/>
      <c r="H55" s="27"/>
      <c r="I55" s="27"/>
      <c r="J55" s="27"/>
      <c r="K55" s="35"/>
      <c r="L55" s="35"/>
      <c r="M55" s="27"/>
      <c r="N55" s="37"/>
      <c r="O55" s="27"/>
    </row>
    <row r="56" spans="4:16" x14ac:dyDescent="0.25">
      <c r="D56" s="27"/>
      <c r="E56" s="27"/>
      <c r="F56" s="27"/>
      <c r="G56" s="27"/>
      <c r="H56" s="27"/>
      <c r="I56" s="27"/>
      <c r="J56" s="27"/>
      <c r="K56" s="38"/>
      <c r="L56" s="38"/>
      <c r="M56" s="27"/>
      <c r="N56" s="27"/>
      <c r="O56" s="27"/>
    </row>
    <row r="57" spans="4:16" x14ac:dyDescent="0.25"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4:16" ht="15.75" x14ac:dyDescent="0.25">
      <c r="D58" s="27"/>
      <c r="E58" s="28"/>
      <c r="F58" s="28"/>
      <c r="G58" s="28"/>
      <c r="H58" s="28"/>
      <c r="I58" s="28"/>
      <c r="J58" s="28"/>
      <c r="K58" s="29"/>
      <c r="L58" s="29"/>
      <c r="M58" s="27"/>
      <c r="N58" s="27"/>
      <c r="O58" s="27"/>
      <c r="P58" s="27"/>
    </row>
    <row r="59" spans="4:16" x14ac:dyDescent="0.25">
      <c r="D59" s="27"/>
      <c r="E59" s="29"/>
      <c r="F59" s="29"/>
      <c r="G59" s="29"/>
      <c r="H59" s="29"/>
      <c r="I59" s="29"/>
      <c r="J59" s="29"/>
      <c r="K59" s="31"/>
      <c r="L59" s="31"/>
      <c r="M59" s="27"/>
      <c r="N59" s="27"/>
      <c r="O59" s="27"/>
      <c r="P59" s="27"/>
    </row>
    <row r="60" spans="4:16" x14ac:dyDescent="0.25">
      <c r="D60" s="27"/>
      <c r="E60" s="29"/>
      <c r="F60" s="29"/>
      <c r="G60" s="29"/>
      <c r="H60" s="29"/>
      <c r="I60" s="29"/>
      <c r="J60" s="29"/>
      <c r="K60" s="31"/>
      <c r="L60" s="31"/>
      <c r="M60" s="27"/>
      <c r="N60" s="27"/>
      <c r="O60" s="27"/>
      <c r="P60" s="27"/>
    </row>
    <row r="61" spans="4:16" x14ac:dyDescent="0.25">
      <c r="D61" s="27"/>
      <c r="E61" s="29"/>
      <c r="F61" s="29"/>
      <c r="G61" s="29"/>
      <c r="H61" s="29"/>
      <c r="I61" s="29"/>
      <c r="J61" s="29"/>
      <c r="K61" s="31"/>
      <c r="L61" s="31"/>
      <c r="M61" s="27"/>
      <c r="N61" s="27"/>
      <c r="O61" s="27"/>
      <c r="P61" s="27"/>
    </row>
    <row r="62" spans="4:16" x14ac:dyDescent="0.25">
      <c r="D62" s="27"/>
      <c r="E62" s="29"/>
      <c r="F62" s="29"/>
      <c r="G62" s="29"/>
      <c r="H62" s="29"/>
      <c r="I62" s="29"/>
      <c r="J62" s="29"/>
      <c r="K62" s="31"/>
      <c r="L62" s="31"/>
      <c r="M62" s="27"/>
      <c r="N62" s="27"/>
      <c r="O62" s="27"/>
      <c r="P62" s="27"/>
    </row>
    <row r="63" spans="4:16" x14ac:dyDescent="0.25">
      <c r="D63" s="27"/>
      <c r="E63" s="29"/>
      <c r="F63" s="29"/>
      <c r="G63" s="29"/>
      <c r="H63" s="29"/>
      <c r="I63" s="29"/>
      <c r="J63" s="29"/>
      <c r="K63" s="29"/>
      <c r="L63" s="29"/>
      <c r="M63" s="27"/>
      <c r="N63" s="27"/>
      <c r="O63" s="27"/>
      <c r="P63" s="27"/>
    </row>
    <row r="64" spans="4:16" x14ac:dyDescent="0.25"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spans="4:16" x14ac:dyDescent="0.25"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</row>
    <row r="66" spans="4:16" x14ac:dyDescent="0.25">
      <c r="D66" s="27"/>
      <c r="E66" s="27"/>
      <c r="F66" s="27"/>
      <c r="G66" s="27"/>
      <c r="H66" s="27"/>
      <c r="I66" s="27"/>
      <c r="J66" s="27"/>
      <c r="K66" s="35"/>
      <c r="L66" s="35"/>
      <c r="M66" s="27"/>
      <c r="N66" s="27"/>
      <c r="O66" s="27"/>
      <c r="P66" s="27"/>
    </row>
    <row r="67" spans="4:16" x14ac:dyDescent="0.25">
      <c r="D67" s="27"/>
      <c r="E67" s="27"/>
      <c r="F67" s="27"/>
      <c r="G67" s="27"/>
      <c r="H67" s="27"/>
      <c r="I67" s="27"/>
      <c r="J67" s="27"/>
      <c r="K67" s="35"/>
      <c r="L67" s="35"/>
      <c r="M67" s="27"/>
      <c r="N67" s="27"/>
      <c r="O67" s="27"/>
      <c r="P67" s="27"/>
    </row>
    <row r="68" spans="4:16" x14ac:dyDescent="0.25">
      <c r="K68" s="1"/>
      <c r="L68" s="1"/>
      <c r="P68" s="27"/>
    </row>
    <row r="69" spans="4:16" x14ac:dyDescent="0.25">
      <c r="K69" s="1"/>
      <c r="L69" s="1"/>
      <c r="P69" s="27"/>
    </row>
    <row r="70" spans="4:16" x14ac:dyDescent="0.25">
      <c r="K70" s="1"/>
      <c r="L70" s="1"/>
      <c r="P70" s="27"/>
    </row>
    <row r="71" spans="4:16" x14ac:dyDescent="0.25">
      <c r="K71" s="1"/>
      <c r="L71" s="1"/>
      <c r="P71" s="27"/>
    </row>
    <row r="72" spans="4:16" x14ac:dyDescent="0.25">
      <c r="K72" s="1"/>
      <c r="L72" s="1"/>
    </row>
    <row r="74" spans="4:16" x14ac:dyDescent="0.25">
      <c r="E74" s="8"/>
      <c r="F74" s="8"/>
      <c r="G74" s="8"/>
      <c r="H74" s="8"/>
      <c r="I74" s="8"/>
      <c r="J74" s="8"/>
      <c r="K74" s="2"/>
      <c r="L74" s="2"/>
    </row>
  </sheetData>
  <mergeCells count="1">
    <mergeCell ref="T35:U3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selection activeCell="B25" sqref="B25"/>
    </sheetView>
  </sheetViews>
  <sheetFormatPr defaultRowHeight="15" x14ac:dyDescent="0.25"/>
  <cols>
    <col min="1" max="1" width="30.28515625" customWidth="1"/>
    <col min="2" max="2" width="14.28515625" bestFit="1" customWidth="1"/>
    <col min="3" max="3" width="14.28515625" customWidth="1"/>
    <col min="5" max="5" width="33.28515625" bestFit="1" customWidth="1"/>
    <col min="6" max="6" width="16.140625" bestFit="1" customWidth="1"/>
    <col min="7" max="7" width="15.85546875" customWidth="1"/>
    <col min="8" max="8" width="12" bestFit="1" customWidth="1"/>
    <col min="9" max="9" width="12.5703125" customWidth="1"/>
    <col min="10" max="10" width="14.140625" customWidth="1"/>
    <col min="12" max="12" width="34.7109375" customWidth="1"/>
    <col min="13" max="13" width="15.7109375" customWidth="1"/>
    <col min="17" max="17" width="24.140625" customWidth="1"/>
  </cols>
  <sheetData>
    <row r="1" spans="1:15" x14ac:dyDescent="0.25">
      <c r="A1" t="s">
        <v>79</v>
      </c>
      <c r="B1">
        <f>D8</f>
        <v>50</v>
      </c>
      <c r="C1" t="s">
        <v>77</v>
      </c>
    </row>
    <row r="2" spans="1:15" x14ac:dyDescent="0.25">
      <c r="A2" s="19" t="s">
        <v>54</v>
      </c>
      <c r="L2" s="19" t="s">
        <v>55</v>
      </c>
    </row>
    <row r="4" spans="1:15" ht="45" x14ac:dyDescent="0.25">
      <c r="A4" s="10" t="s">
        <v>0</v>
      </c>
      <c r="B4" s="10" t="s">
        <v>1</v>
      </c>
      <c r="C4" s="10" t="s">
        <v>46</v>
      </c>
      <c r="D4" s="10" t="s">
        <v>5</v>
      </c>
      <c r="E4" s="10" t="s">
        <v>6</v>
      </c>
      <c r="F4" s="10" t="s">
        <v>7</v>
      </c>
      <c r="H4" s="42" t="s">
        <v>49</v>
      </c>
      <c r="I4" s="42" t="s">
        <v>50</v>
      </c>
      <c r="J4" s="42" t="s">
        <v>51</v>
      </c>
      <c r="L4" t="s">
        <v>12</v>
      </c>
      <c r="M4" s="14">
        <v>118462</v>
      </c>
    </row>
    <row r="5" spans="1:15" x14ac:dyDescent="0.25">
      <c r="A5" s="11" t="s">
        <v>2</v>
      </c>
      <c r="B5" s="13" t="s">
        <v>48</v>
      </c>
      <c r="C5" s="9">
        <v>699</v>
      </c>
      <c r="D5" s="9">
        <v>31</v>
      </c>
      <c r="E5" s="9">
        <v>1198</v>
      </c>
      <c r="F5" s="1">
        <f>E5*D5*12</f>
        <v>445656</v>
      </c>
      <c r="H5" s="44">
        <f>H9</f>
        <v>0</v>
      </c>
      <c r="I5" s="41">
        <f>E5*(1+H5)</f>
        <v>1198</v>
      </c>
      <c r="J5" s="1">
        <f>I5*$D5*12</f>
        <v>445656</v>
      </c>
      <c r="L5" t="s">
        <v>13</v>
      </c>
      <c r="M5" s="14">
        <v>71818</v>
      </c>
    </row>
    <row r="6" spans="1:15" x14ac:dyDescent="0.25">
      <c r="A6" s="12" t="s">
        <v>3</v>
      </c>
      <c r="B6" s="13" t="s">
        <v>48</v>
      </c>
      <c r="C6" s="9">
        <v>832</v>
      </c>
      <c r="D6" s="9">
        <f>0.34*50</f>
        <v>17</v>
      </c>
      <c r="E6" s="9">
        <v>1647</v>
      </c>
      <c r="F6" s="1">
        <f>E6*D6*12</f>
        <v>335988</v>
      </c>
      <c r="H6" s="44">
        <f>H9</f>
        <v>0</v>
      </c>
      <c r="I6" s="41">
        <f>E6*(1+H6)</f>
        <v>1647</v>
      </c>
      <c r="J6" s="1">
        <f>I6*$D6*12</f>
        <v>335988</v>
      </c>
      <c r="L6" t="s">
        <v>14</v>
      </c>
      <c r="M6" s="14">
        <v>60734</v>
      </c>
    </row>
    <row r="7" spans="1:15" x14ac:dyDescent="0.25">
      <c r="A7" s="12" t="s">
        <v>4</v>
      </c>
      <c r="B7" s="13" t="s">
        <v>48</v>
      </c>
      <c r="C7" s="9">
        <v>1079</v>
      </c>
      <c r="D7" s="9">
        <v>2</v>
      </c>
      <c r="E7" s="9">
        <v>1859</v>
      </c>
      <c r="F7" s="1">
        <f>E7*D7*12</f>
        <v>44616</v>
      </c>
      <c r="H7" s="44">
        <f>H9</f>
        <v>0</v>
      </c>
      <c r="I7" s="41">
        <f>E7*(1+H7)</f>
        <v>1859</v>
      </c>
      <c r="J7" s="1">
        <f>I7*$D7*12</f>
        <v>44616</v>
      </c>
      <c r="L7" t="s">
        <v>15</v>
      </c>
      <c r="M7" s="17">
        <f>$D$8*N7</f>
        <v>15000</v>
      </c>
      <c r="N7" s="18">
        <v>300</v>
      </c>
      <c r="O7" t="s">
        <v>25</v>
      </c>
    </row>
    <row r="8" spans="1:15" x14ac:dyDescent="0.25">
      <c r="A8" s="15" t="s">
        <v>24</v>
      </c>
      <c r="B8" s="16"/>
      <c r="C8" s="1">
        <f>((C5*D5)+(C6*D6)+(C7*D7))</f>
        <v>37971</v>
      </c>
      <c r="D8">
        <f>SUM(D5:D7)</f>
        <v>50</v>
      </c>
      <c r="E8" t="s">
        <v>8</v>
      </c>
      <c r="F8" s="2">
        <f>SUM(F5:F7)</f>
        <v>826260</v>
      </c>
      <c r="I8" s="2">
        <f>I5*$D5+I6*$D6+I7*$D7</f>
        <v>68855</v>
      </c>
      <c r="J8" s="2">
        <f>SUM(J5:J7)</f>
        <v>826260</v>
      </c>
      <c r="L8" t="s">
        <v>16</v>
      </c>
      <c r="M8" s="1">
        <f>SUM(M4:M7)</f>
        <v>266014</v>
      </c>
    </row>
    <row r="9" spans="1:15" x14ac:dyDescent="0.25">
      <c r="A9" t="s">
        <v>10</v>
      </c>
      <c r="B9" s="47">
        <f>vacancy</f>
        <v>7.0000000000000007E-2</v>
      </c>
      <c r="C9" s="39"/>
      <c r="E9" t="s">
        <v>9</v>
      </c>
      <c r="F9" s="1">
        <f>-F8*$B$9</f>
        <v>-57838.200000000004</v>
      </c>
      <c r="H9" s="44">
        <f>adjustrent</f>
        <v>0</v>
      </c>
      <c r="L9" t="s">
        <v>26</v>
      </c>
      <c r="M9" s="1">
        <f>F10-M8</f>
        <v>502407.80000000005</v>
      </c>
    </row>
    <row r="10" spans="1:15" x14ac:dyDescent="0.25">
      <c r="E10" t="s">
        <v>11</v>
      </c>
      <c r="F10" s="2">
        <f>SUM(F8:F9)</f>
        <v>768421.8</v>
      </c>
    </row>
    <row r="12" spans="1:15" x14ac:dyDescent="0.25">
      <c r="L12" s="19" t="s">
        <v>39</v>
      </c>
    </row>
    <row r="13" spans="1:15" x14ac:dyDescent="0.25">
      <c r="A13" s="19" t="s">
        <v>27</v>
      </c>
      <c r="L13" s="8" t="s">
        <v>40</v>
      </c>
    </row>
    <row r="14" spans="1:15" x14ac:dyDescent="0.25">
      <c r="A14" t="s">
        <v>30</v>
      </c>
      <c r="B14" s="2">
        <f>M9</f>
        <v>502407.80000000005</v>
      </c>
      <c r="E14" t="s">
        <v>47</v>
      </c>
      <c r="L14" t="s">
        <v>17</v>
      </c>
      <c r="M14" s="14">
        <v>1128000</v>
      </c>
    </row>
    <row r="15" spans="1:15" x14ac:dyDescent="0.25">
      <c r="A15" t="s">
        <v>29</v>
      </c>
      <c r="B15" s="45">
        <f>DSCR</f>
        <v>1.1499999999999999</v>
      </c>
      <c r="D15" t="s">
        <v>70</v>
      </c>
      <c r="E15" s="40">
        <f>E5/C5</f>
        <v>1.7138769670958511</v>
      </c>
      <c r="L15" t="s">
        <v>18</v>
      </c>
      <c r="M15" s="14">
        <v>9102539.2275588401</v>
      </c>
    </row>
    <row r="16" spans="1:15" x14ac:dyDescent="0.25">
      <c r="A16" t="s">
        <v>28</v>
      </c>
      <c r="B16" s="20">
        <f>B14/B15</f>
        <v>436876.34782608703</v>
      </c>
      <c r="D16" t="s">
        <v>71</v>
      </c>
      <c r="E16" s="40">
        <f>E6/C6</f>
        <v>1.9795673076923077</v>
      </c>
      <c r="L16" t="s">
        <v>19</v>
      </c>
      <c r="M16" s="14">
        <v>562039.29597701144</v>
      </c>
    </row>
    <row r="17" spans="1:15" x14ac:dyDescent="0.25">
      <c r="A17" t="s">
        <v>31</v>
      </c>
      <c r="B17" s="2">
        <f>B16/12</f>
        <v>36406.362318840584</v>
      </c>
      <c r="D17" t="s">
        <v>72</v>
      </c>
      <c r="E17" s="40">
        <f>E7/C7</f>
        <v>1.7228915662650603</v>
      </c>
      <c r="L17" t="s">
        <v>20</v>
      </c>
      <c r="M17" s="14">
        <v>441837.5957854407</v>
      </c>
    </row>
    <row r="18" spans="1:15" x14ac:dyDescent="0.25">
      <c r="A18" t="s">
        <v>32</v>
      </c>
      <c r="B18" s="46">
        <f>interestrate</f>
        <v>0.05</v>
      </c>
      <c r="L18" t="s">
        <v>21</v>
      </c>
      <c r="M18" s="14">
        <v>318507.06075533666</v>
      </c>
    </row>
    <row r="19" spans="1:15" x14ac:dyDescent="0.25">
      <c r="A19" t="s">
        <v>37</v>
      </c>
      <c r="B19" s="21">
        <f>-PV(B18/12,30*12,B17)</f>
        <v>6781836.0435189465</v>
      </c>
      <c r="L19" t="s">
        <v>61</v>
      </c>
      <c r="M19" s="14">
        <v>219620.07617223135</v>
      </c>
    </row>
    <row r="20" spans="1:15" x14ac:dyDescent="0.25">
      <c r="L20" t="s">
        <v>53</v>
      </c>
      <c r="M20" s="14">
        <v>1338421.0465699688</v>
      </c>
      <c r="N20" s="16">
        <f>M20/(M22-M20)</f>
        <v>0.11304543170389539</v>
      </c>
      <c r="O20" t="s">
        <v>58</v>
      </c>
    </row>
    <row r="21" spans="1:15" x14ac:dyDescent="0.25">
      <c r="A21" t="s">
        <v>30</v>
      </c>
      <c r="B21" s="2">
        <f>M9</f>
        <v>502407.80000000005</v>
      </c>
      <c r="L21" t="s">
        <v>22</v>
      </c>
      <c r="M21" s="14">
        <v>67130.637657361789</v>
      </c>
    </row>
    <row r="22" spans="1:15" x14ac:dyDescent="0.25">
      <c r="A22" t="s">
        <v>33</v>
      </c>
      <c r="B22" s="50">
        <f>caprate</f>
        <v>5.7500000000000002E-2</v>
      </c>
      <c r="L22" s="22" t="s">
        <v>23</v>
      </c>
      <c r="M22" s="23">
        <f>SUM(M14:M21)</f>
        <v>13178094.94047619</v>
      </c>
    </row>
    <row r="23" spans="1:15" x14ac:dyDescent="0.25">
      <c r="A23" t="s">
        <v>34</v>
      </c>
      <c r="B23" s="2">
        <f>B21/B22</f>
        <v>8737526.9565217402</v>
      </c>
    </row>
    <row r="24" spans="1:15" x14ac:dyDescent="0.25">
      <c r="A24" t="s">
        <v>35</v>
      </c>
      <c r="B24" s="46">
        <f>ltv</f>
        <v>0.87</v>
      </c>
      <c r="L24" s="8" t="s">
        <v>41</v>
      </c>
    </row>
    <row r="25" spans="1:15" x14ac:dyDescent="0.25">
      <c r="A25" t="s">
        <v>36</v>
      </c>
      <c r="B25" s="2">
        <f>B23*B24</f>
        <v>7601648.4521739138</v>
      </c>
      <c r="L25" t="s">
        <v>42</v>
      </c>
      <c r="M25" s="2">
        <f>B27</f>
        <v>6781836.0435189465</v>
      </c>
    </row>
    <row r="26" spans="1:15" x14ac:dyDescent="0.25">
      <c r="L26" t="s">
        <v>67</v>
      </c>
      <c r="M26" s="1">
        <f>N26*M22</f>
        <v>2635618.9880952383</v>
      </c>
      <c r="N26" s="9">
        <v>0.2</v>
      </c>
      <c r="O26" t="s">
        <v>69</v>
      </c>
    </row>
    <row r="27" spans="1:15" x14ac:dyDescent="0.25">
      <c r="A27" t="s">
        <v>38</v>
      </c>
      <c r="B27" s="2">
        <f>MIN(B19,B25)</f>
        <v>6781836.0435189465</v>
      </c>
      <c r="L27" t="s">
        <v>44</v>
      </c>
      <c r="M27" s="9"/>
    </row>
    <row r="28" spans="1:15" x14ac:dyDescent="0.25">
      <c r="L28" t="s">
        <v>44</v>
      </c>
      <c r="M28" s="9"/>
    </row>
    <row r="29" spans="1:15" x14ac:dyDescent="0.25">
      <c r="L29" t="s">
        <v>44</v>
      </c>
      <c r="M29" s="9"/>
    </row>
    <row r="32" spans="1:15" x14ac:dyDescent="0.25">
      <c r="L32" s="22" t="s">
        <v>45</v>
      </c>
      <c r="M32" s="24">
        <f>SUM(M25:M27)</f>
        <v>9417455.0316141844</v>
      </c>
    </row>
    <row r="34" spans="12:17" x14ac:dyDescent="0.25">
      <c r="L34" s="25" t="s">
        <v>43</v>
      </c>
      <c r="M34" s="26">
        <f>M32-M22</f>
        <v>-3760639.9088620059</v>
      </c>
    </row>
    <row r="35" spans="12:17" ht="15.75" x14ac:dyDescent="0.25">
      <c r="P35" s="51"/>
      <c r="Q35" s="51"/>
    </row>
    <row r="36" spans="12:17" ht="15.75" x14ac:dyDescent="0.25">
      <c r="P36" s="6"/>
      <c r="Q36" s="6"/>
    </row>
    <row r="37" spans="12:17" x14ac:dyDescent="0.25">
      <c r="P37" s="7"/>
      <c r="Q37" s="7"/>
    </row>
    <row r="54" spans="4:12" x14ac:dyDescent="0.25">
      <c r="D54" s="27"/>
      <c r="G54" s="27"/>
      <c r="H54" s="27"/>
      <c r="I54" s="27"/>
      <c r="J54" s="27"/>
      <c r="K54" s="27"/>
      <c r="L54" s="27"/>
    </row>
    <row r="55" spans="4:12" x14ac:dyDescent="0.25">
      <c r="D55" s="27"/>
      <c r="E55" s="27"/>
      <c r="F55" s="27"/>
      <c r="G55" s="36"/>
      <c r="H55" s="36"/>
      <c r="I55" s="27"/>
      <c r="J55" s="37"/>
      <c r="K55" s="27"/>
      <c r="L55" s="27"/>
    </row>
    <row r="56" spans="4:12" x14ac:dyDescent="0.25">
      <c r="D56" s="27"/>
      <c r="E56" s="27"/>
      <c r="F56" s="35"/>
      <c r="G56" s="27"/>
      <c r="H56" s="27"/>
      <c r="I56" s="27"/>
      <c r="J56" s="27"/>
      <c r="K56" s="27"/>
      <c r="L56" s="27"/>
    </row>
    <row r="57" spans="4:12" x14ac:dyDescent="0.25">
      <c r="D57" s="27"/>
      <c r="E57" s="27"/>
      <c r="F57" s="38"/>
      <c r="G57" s="27"/>
      <c r="H57" s="27"/>
      <c r="I57" s="27"/>
      <c r="J57" s="27"/>
      <c r="K57" s="27"/>
      <c r="L57" s="27"/>
    </row>
    <row r="58" spans="4:12" x14ac:dyDescent="0.25">
      <c r="D58" s="27"/>
      <c r="E58" s="27"/>
      <c r="F58" s="27"/>
      <c r="G58" s="30"/>
      <c r="H58" s="30"/>
      <c r="I58" s="27"/>
      <c r="J58" s="27"/>
      <c r="K58" s="27"/>
      <c r="L58" s="27"/>
    </row>
    <row r="59" spans="4:12" ht="15.75" x14ac:dyDescent="0.25">
      <c r="D59" s="27"/>
      <c r="E59" s="28"/>
      <c r="F59" s="29"/>
      <c r="G59" s="32"/>
      <c r="H59" s="32"/>
      <c r="I59" s="27"/>
      <c r="J59" s="27"/>
      <c r="K59" s="27"/>
      <c r="L59" s="27"/>
    </row>
    <row r="60" spans="4:12" x14ac:dyDescent="0.25">
      <c r="D60" s="27"/>
      <c r="E60" s="29"/>
      <c r="F60" s="31"/>
      <c r="G60" s="33"/>
      <c r="H60" s="33"/>
      <c r="I60" s="27"/>
      <c r="J60" s="27"/>
      <c r="K60" s="27"/>
      <c r="L60" s="27"/>
    </row>
    <row r="61" spans="4:12" x14ac:dyDescent="0.25">
      <c r="D61" s="27"/>
      <c r="E61" s="29"/>
      <c r="F61" s="31"/>
      <c r="G61" s="32"/>
      <c r="H61" s="32"/>
      <c r="I61" s="27"/>
      <c r="J61" s="27"/>
      <c r="K61" s="27"/>
      <c r="L61" s="27"/>
    </row>
    <row r="62" spans="4:12" x14ac:dyDescent="0.25">
      <c r="D62" s="27"/>
      <c r="E62" s="29"/>
      <c r="F62" s="31"/>
      <c r="G62" s="30"/>
      <c r="H62" s="30"/>
      <c r="I62" s="27"/>
      <c r="J62" s="27"/>
      <c r="K62" s="27"/>
      <c r="L62" s="27"/>
    </row>
    <row r="63" spans="4:12" x14ac:dyDescent="0.25">
      <c r="D63" s="27"/>
      <c r="E63" s="29"/>
      <c r="F63" s="31"/>
      <c r="G63" s="34"/>
      <c r="H63" s="34"/>
      <c r="I63" s="27"/>
      <c r="J63" s="27"/>
      <c r="K63" s="27"/>
      <c r="L63" s="27"/>
    </row>
    <row r="64" spans="4:12" x14ac:dyDescent="0.25">
      <c r="D64" s="27"/>
      <c r="E64" s="29"/>
      <c r="F64" s="29"/>
      <c r="G64" s="27"/>
      <c r="H64" s="27"/>
      <c r="I64" s="27"/>
      <c r="J64" s="27"/>
      <c r="K64" s="27"/>
      <c r="L64" s="27"/>
    </row>
    <row r="65" spans="4:12" x14ac:dyDescent="0.25">
      <c r="D65" s="27"/>
      <c r="E65" s="27"/>
      <c r="F65" s="27"/>
      <c r="G65" s="27"/>
      <c r="H65" s="27"/>
      <c r="I65" s="27"/>
      <c r="J65" s="27"/>
      <c r="K65" s="27"/>
      <c r="L65" s="27"/>
    </row>
    <row r="66" spans="4:12" x14ac:dyDescent="0.25">
      <c r="D66" s="27"/>
      <c r="E66" s="27"/>
      <c r="F66" s="27"/>
      <c r="G66" s="27"/>
      <c r="H66" s="27"/>
      <c r="I66" s="27"/>
      <c r="J66" s="27"/>
      <c r="K66" s="27"/>
      <c r="L66" s="27"/>
    </row>
    <row r="67" spans="4:12" x14ac:dyDescent="0.25">
      <c r="D67" s="27"/>
      <c r="E67" s="27"/>
      <c r="F67" s="35"/>
      <c r="G67" s="27"/>
      <c r="H67" s="27"/>
      <c r="I67" s="27"/>
      <c r="J67" s="27"/>
      <c r="K67" s="27"/>
      <c r="L67" s="27"/>
    </row>
    <row r="68" spans="4:12" x14ac:dyDescent="0.25">
      <c r="E68" s="27"/>
      <c r="F68" s="35"/>
    </row>
    <row r="69" spans="4:12" x14ac:dyDescent="0.25">
      <c r="F69" s="1"/>
    </row>
    <row r="70" spans="4:12" x14ac:dyDescent="0.25">
      <c r="F70" s="1"/>
    </row>
    <row r="71" spans="4:12" x14ac:dyDescent="0.25">
      <c r="F71" s="1"/>
    </row>
    <row r="72" spans="4:12" x14ac:dyDescent="0.25">
      <c r="F72" s="1"/>
    </row>
    <row r="73" spans="4:12" x14ac:dyDescent="0.25">
      <c r="F73" s="1"/>
    </row>
    <row r="75" spans="4:12" x14ac:dyDescent="0.25">
      <c r="E75" s="8"/>
      <c r="F75" s="2"/>
    </row>
  </sheetData>
  <mergeCells count="1">
    <mergeCell ref="P35:Q3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selection activeCell="B24" sqref="B24"/>
    </sheetView>
  </sheetViews>
  <sheetFormatPr defaultRowHeight="15" x14ac:dyDescent="0.25"/>
  <cols>
    <col min="1" max="1" width="30.28515625" customWidth="1"/>
    <col min="2" max="2" width="14.28515625" bestFit="1" customWidth="1"/>
    <col min="3" max="3" width="14.28515625" customWidth="1"/>
    <col min="5" max="5" width="33.28515625" bestFit="1" customWidth="1"/>
    <col min="6" max="6" width="16.140625" bestFit="1" customWidth="1"/>
    <col min="7" max="7" width="15.85546875" customWidth="1"/>
    <col min="8" max="8" width="12" bestFit="1" customWidth="1"/>
    <col min="9" max="9" width="12.5703125" customWidth="1"/>
    <col min="10" max="10" width="14.140625" customWidth="1"/>
    <col min="12" max="12" width="34.7109375" customWidth="1"/>
    <col min="13" max="13" width="15.7109375" customWidth="1"/>
    <col min="17" max="17" width="24.140625" customWidth="1"/>
  </cols>
  <sheetData>
    <row r="1" spans="1:15" x14ac:dyDescent="0.25">
      <c r="A1" t="s">
        <v>79</v>
      </c>
      <c r="B1">
        <f>D8</f>
        <v>100</v>
      </c>
      <c r="C1" t="s">
        <v>77</v>
      </c>
    </row>
    <row r="2" spans="1:15" x14ac:dyDescent="0.25">
      <c r="A2" s="19" t="s">
        <v>54</v>
      </c>
      <c r="L2" s="19" t="s">
        <v>55</v>
      </c>
    </row>
    <row r="4" spans="1:15" ht="45" x14ac:dyDescent="0.25">
      <c r="A4" s="10" t="s">
        <v>0</v>
      </c>
      <c r="B4" s="10" t="s">
        <v>1</v>
      </c>
      <c r="C4" s="10" t="s">
        <v>46</v>
      </c>
      <c r="D4" s="10" t="s">
        <v>5</v>
      </c>
      <c r="E4" s="10" t="s">
        <v>6</v>
      </c>
      <c r="F4" s="10" t="s">
        <v>7</v>
      </c>
      <c r="H4" s="42" t="s">
        <v>49</v>
      </c>
      <c r="I4" s="42" t="s">
        <v>50</v>
      </c>
      <c r="J4" s="42" t="s">
        <v>51</v>
      </c>
      <c r="K4" s="42"/>
      <c r="L4" t="s">
        <v>12</v>
      </c>
      <c r="M4" s="14">
        <v>240083</v>
      </c>
    </row>
    <row r="5" spans="1:15" x14ac:dyDescent="0.25">
      <c r="A5" s="11" t="s">
        <v>2</v>
      </c>
      <c r="B5" s="13" t="s">
        <v>48</v>
      </c>
      <c r="C5" s="9">
        <v>594</v>
      </c>
      <c r="D5" s="9">
        <v>61</v>
      </c>
      <c r="E5" s="9">
        <v>1198</v>
      </c>
      <c r="F5" s="1">
        <f>E5*D5*12</f>
        <v>876936</v>
      </c>
      <c r="H5" s="44">
        <f>H9</f>
        <v>0</v>
      </c>
      <c r="I5" s="41">
        <f>E5*(1+H5)</f>
        <v>1198</v>
      </c>
      <c r="J5" s="1">
        <f>I5*$D5*12</f>
        <v>876936</v>
      </c>
      <c r="K5" s="1"/>
      <c r="L5" t="s">
        <v>13</v>
      </c>
      <c r="M5" s="14">
        <v>131906</v>
      </c>
    </row>
    <row r="6" spans="1:15" x14ac:dyDescent="0.25">
      <c r="A6" s="12" t="s">
        <v>52</v>
      </c>
      <c r="B6" s="13" t="s">
        <v>48</v>
      </c>
      <c r="C6" s="9">
        <v>880</v>
      </c>
      <c r="D6" s="9">
        <v>34</v>
      </c>
      <c r="E6" s="9">
        <v>1647</v>
      </c>
      <c r="F6" s="1">
        <f>E6*D6*12</f>
        <v>671976</v>
      </c>
      <c r="H6" s="44">
        <f>H9</f>
        <v>0</v>
      </c>
      <c r="I6" s="41">
        <f>E6*(1+H6)</f>
        <v>1647</v>
      </c>
      <c r="J6" s="1">
        <f>I6*$D6*12</f>
        <v>671976</v>
      </c>
      <c r="K6" s="1"/>
      <c r="L6" t="s">
        <v>14</v>
      </c>
      <c r="M6" s="14">
        <v>125421</v>
      </c>
    </row>
    <row r="7" spans="1:15" x14ac:dyDescent="0.25">
      <c r="A7" s="12" t="s">
        <v>4</v>
      </c>
      <c r="B7" s="13" t="s">
        <v>48</v>
      </c>
      <c r="C7" s="9">
        <v>1190</v>
      </c>
      <c r="D7" s="9">
        <v>5</v>
      </c>
      <c r="E7" s="9">
        <v>1859</v>
      </c>
      <c r="F7" s="1">
        <f>E7*D7*12</f>
        <v>111540</v>
      </c>
      <c r="H7" s="44">
        <f>H9</f>
        <v>0</v>
      </c>
      <c r="I7" s="41">
        <f>E7*(1+H7)</f>
        <v>1859</v>
      </c>
      <c r="J7" s="1">
        <f>I7*$D7*12</f>
        <v>111540</v>
      </c>
      <c r="K7" s="1"/>
      <c r="L7" t="s">
        <v>15</v>
      </c>
      <c r="M7" s="17">
        <f>$D$8*N7</f>
        <v>30000</v>
      </c>
      <c r="N7" s="18">
        <v>300</v>
      </c>
      <c r="O7" t="s">
        <v>25</v>
      </c>
    </row>
    <row r="8" spans="1:15" x14ac:dyDescent="0.25">
      <c r="A8" s="15" t="s">
        <v>24</v>
      </c>
      <c r="B8" s="16"/>
      <c r="C8" s="1">
        <f>((C5*D5)+(C6*D6)+(C7*D7))</f>
        <v>72104</v>
      </c>
      <c r="D8">
        <f>SUM(D5:D7)</f>
        <v>100</v>
      </c>
      <c r="E8" t="s">
        <v>8</v>
      </c>
      <c r="F8" s="2">
        <f>SUM(F5:F7)</f>
        <v>1660452</v>
      </c>
      <c r="I8" s="2">
        <f>I5*$D5+I6*$D6+I7*$D7</f>
        <v>138371</v>
      </c>
      <c r="J8" s="2">
        <f>SUM(J5:J7)</f>
        <v>1660452</v>
      </c>
      <c r="K8" s="2"/>
      <c r="L8" t="s">
        <v>16</v>
      </c>
      <c r="M8" s="1">
        <f>SUM(M4:M7)</f>
        <v>527410</v>
      </c>
    </row>
    <row r="9" spans="1:15" x14ac:dyDescent="0.25">
      <c r="A9" t="s">
        <v>10</v>
      </c>
      <c r="B9" s="47">
        <f>vacancy</f>
        <v>7.0000000000000007E-2</v>
      </c>
      <c r="C9" s="39"/>
      <c r="E9" t="s">
        <v>9</v>
      </c>
      <c r="F9" s="1">
        <f>-F8*$B$9</f>
        <v>-116231.64000000001</v>
      </c>
      <c r="H9" s="44">
        <f>adjustrent</f>
        <v>0</v>
      </c>
      <c r="L9" t="s">
        <v>26</v>
      </c>
      <c r="M9" s="1">
        <f>F10-M8</f>
        <v>1016810.3599999999</v>
      </c>
    </row>
    <row r="10" spans="1:15" x14ac:dyDescent="0.25">
      <c r="E10" t="s">
        <v>11</v>
      </c>
      <c r="F10" s="2">
        <f>SUM(F8:F9)</f>
        <v>1544220.3599999999</v>
      </c>
    </row>
    <row r="12" spans="1:15" x14ac:dyDescent="0.25">
      <c r="A12" s="19" t="s">
        <v>27</v>
      </c>
      <c r="L12" s="19" t="s">
        <v>39</v>
      </c>
    </row>
    <row r="13" spans="1:15" x14ac:dyDescent="0.25">
      <c r="A13" t="s">
        <v>30</v>
      </c>
      <c r="B13" s="2">
        <f>M9</f>
        <v>1016810.3599999999</v>
      </c>
      <c r="L13" s="8" t="s">
        <v>40</v>
      </c>
    </row>
    <row r="14" spans="1:15" x14ac:dyDescent="0.25">
      <c r="A14" t="s">
        <v>29</v>
      </c>
      <c r="B14" s="45">
        <f>DSCR</f>
        <v>1.1499999999999999</v>
      </c>
      <c r="L14" t="s">
        <v>17</v>
      </c>
      <c r="M14" s="14">
        <v>1296514.0538501663</v>
      </c>
    </row>
    <row r="15" spans="1:15" x14ac:dyDescent="0.25">
      <c r="A15" t="s">
        <v>28</v>
      </c>
      <c r="B15" s="20">
        <f>B13/B14</f>
        <v>884182.9217391304</v>
      </c>
      <c r="E15" t="s">
        <v>47</v>
      </c>
      <c r="L15" t="s">
        <v>18</v>
      </c>
      <c r="M15" s="14">
        <v>14789636.522082487</v>
      </c>
    </row>
    <row r="16" spans="1:15" x14ac:dyDescent="0.25">
      <c r="A16" t="s">
        <v>31</v>
      </c>
      <c r="B16" s="2">
        <f>B15/12</f>
        <v>73681.910144927533</v>
      </c>
      <c r="D16" t="s">
        <v>70</v>
      </c>
      <c r="E16" s="40">
        <f>E5/C5</f>
        <v>2.0168350168350169</v>
      </c>
      <c r="L16" t="s">
        <v>19</v>
      </c>
      <c r="M16" s="14">
        <v>539416.94950893568</v>
      </c>
    </row>
    <row r="17" spans="1:15" x14ac:dyDescent="0.25">
      <c r="A17" t="s">
        <v>32</v>
      </c>
      <c r="B17" s="46">
        <f>interestrate</f>
        <v>0.05</v>
      </c>
      <c r="D17" t="s">
        <v>71</v>
      </c>
      <c r="E17" s="40">
        <f>E6/C6</f>
        <v>1.8715909090909091</v>
      </c>
      <c r="L17" t="s">
        <v>20</v>
      </c>
      <c r="M17" s="14">
        <v>300124.86106949201</v>
      </c>
    </row>
    <row r="18" spans="1:15" x14ac:dyDescent="0.25">
      <c r="A18" t="s">
        <v>37</v>
      </c>
      <c r="B18" s="21">
        <f>-PV(B17/12,30*12,B16)</f>
        <v>13725585.36884076</v>
      </c>
      <c r="D18" t="s">
        <v>72</v>
      </c>
      <c r="E18" s="40">
        <f>E7/C7</f>
        <v>1.5621848739495798</v>
      </c>
      <c r="L18" t="s">
        <v>21</v>
      </c>
      <c r="M18" s="14">
        <v>489289.50562873681</v>
      </c>
    </row>
    <row r="19" spans="1:15" x14ac:dyDescent="0.25">
      <c r="L19" t="s">
        <v>61</v>
      </c>
      <c r="M19" s="14">
        <v>392553.86709657649</v>
      </c>
    </row>
    <row r="20" spans="1:15" x14ac:dyDescent="0.25">
      <c r="A20" t="s">
        <v>30</v>
      </c>
      <c r="B20" s="2">
        <f>M9</f>
        <v>1016810.3599999999</v>
      </c>
      <c r="L20" t="s">
        <v>53</v>
      </c>
      <c r="M20" s="14">
        <v>2147811.1109524667</v>
      </c>
      <c r="N20" s="16">
        <f>M20/(M22-M20)</f>
        <v>0.1201449946650706</v>
      </c>
    </row>
    <row r="21" spans="1:15" x14ac:dyDescent="0.25">
      <c r="A21" t="s">
        <v>33</v>
      </c>
      <c r="B21" s="50">
        <f>caprate</f>
        <v>5.7500000000000002E-2</v>
      </c>
      <c r="L21" t="s">
        <v>22</v>
      </c>
      <c r="M21" s="14">
        <v>69289.795918367352</v>
      </c>
    </row>
    <row r="22" spans="1:15" x14ac:dyDescent="0.25">
      <c r="A22" t="s">
        <v>34</v>
      </c>
      <c r="B22" s="2">
        <f>B20/B21</f>
        <v>17683658.434782606</v>
      </c>
      <c r="L22" s="22" t="s">
        <v>23</v>
      </c>
      <c r="M22" s="23">
        <f>SUM(M14:M21)</f>
        <v>20024636.66610723</v>
      </c>
    </row>
    <row r="23" spans="1:15" x14ac:dyDescent="0.25">
      <c r="A23" t="s">
        <v>35</v>
      </c>
      <c r="B23" s="46">
        <f>ltv</f>
        <v>0.87</v>
      </c>
    </row>
    <row r="24" spans="1:15" x14ac:dyDescent="0.25">
      <c r="A24" t="s">
        <v>36</v>
      </c>
      <c r="B24" s="2">
        <f>B22*B23</f>
        <v>15384782.838260867</v>
      </c>
    </row>
    <row r="25" spans="1:15" x14ac:dyDescent="0.25">
      <c r="L25" s="8" t="s">
        <v>41</v>
      </c>
    </row>
    <row r="26" spans="1:15" x14ac:dyDescent="0.25">
      <c r="A26" t="s">
        <v>38</v>
      </c>
      <c r="B26" s="2">
        <f>MIN(B24,B18)</f>
        <v>13725585.36884076</v>
      </c>
      <c r="L26" t="s">
        <v>42</v>
      </c>
      <c r="M26" s="2">
        <f>B26</f>
        <v>13725585.36884076</v>
      </c>
    </row>
    <row r="27" spans="1:15" x14ac:dyDescent="0.25">
      <c r="L27" t="s">
        <v>67</v>
      </c>
      <c r="M27" s="1">
        <f>N27*M22</f>
        <v>4004927.3332214463</v>
      </c>
      <c r="N27" s="13">
        <v>0.2</v>
      </c>
      <c r="O27" t="s">
        <v>68</v>
      </c>
    </row>
    <row r="28" spans="1:15" x14ac:dyDescent="0.25">
      <c r="L28" t="s">
        <v>44</v>
      </c>
      <c r="M28" s="9"/>
    </row>
    <row r="29" spans="1:15" x14ac:dyDescent="0.25">
      <c r="L29" t="s">
        <v>44</v>
      </c>
      <c r="M29" s="9"/>
    </row>
    <row r="30" spans="1:15" x14ac:dyDescent="0.25">
      <c r="L30" t="s">
        <v>44</v>
      </c>
      <c r="M30" s="9"/>
    </row>
    <row r="31" spans="1:15" x14ac:dyDescent="0.25">
      <c r="N31" s="27"/>
    </row>
    <row r="32" spans="1:15" x14ac:dyDescent="0.25">
      <c r="L32" s="22" t="s">
        <v>45</v>
      </c>
      <c r="M32" s="24">
        <f>SUM(M26:M28)</f>
        <v>17730512.702062204</v>
      </c>
    </row>
    <row r="34" spans="8:17" x14ac:dyDescent="0.25">
      <c r="L34" s="25" t="s">
        <v>43</v>
      </c>
      <c r="M34" s="26">
        <f>M32-M22</f>
        <v>-2294123.9640450254</v>
      </c>
    </row>
    <row r="35" spans="8:17" ht="15.75" x14ac:dyDescent="0.25">
      <c r="P35" s="51"/>
      <c r="Q35" s="51"/>
    </row>
    <row r="36" spans="8:17" ht="15.75" x14ac:dyDescent="0.25">
      <c r="P36" s="6"/>
      <c r="Q36" s="6"/>
    </row>
    <row r="37" spans="8:17" x14ac:dyDescent="0.25">
      <c r="P37" s="7"/>
      <c r="Q37" s="7"/>
    </row>
    <row r="43" spans="8:17" x14ac:dyDescent="0.25">
      <c r="H43" t="s">
        <v>58</v>
      </c>
    </row>
    <row r="54" spans="4:12" x14ac:dyDescent="0.25">
      <c r="D54" s="27"/>
      <c r="H54" s="27"/>
      <c r="I54" s="27"/>
      <c r="J54" s="27"/>
      <c r="K54" s="27"/>
      <c r="L54" s="27"/>
    </row>
    <row r="55" spans="4:12" x14ac:dyDescent="0.25">
      <c r="D55" s="27"/>
      <c r="E55" s="27"/>
      <c r="F55" s="27"/>
      <c r="G55" s="36"/>
      <c r="H55" s="27"/>
      <c r="I55" s="37"/>
      <c r="J55" s="27"/>
      <c r="K55" s="27"/>
      <c r="L55" s="27"/>
    </row>
    <row r="56" spans="4:12" x14ac:dyDescent="0.25">
      <c r="D56" s="27"/>
      <c r="E56" s="27"/>
      <c r="F56" s="35"/>
      <c r="G56" s="27"/>
      <c r="H56" s="27"/>
      <c r="I56" s="27"/>
      <c r="J56" s="27"/>
      <c r="K56" s="27"/>
      <c r="L56" s="27"/>
    </row>
    <row r="57" spans="4:12" x14ac:dyDescent="0.25">
      <c r="D57" s="27"/>
      <c r="E57" s="27"/>
      <c r="F57" s="38"/>
      <c r="G57" s="27"/>
      <c r="H57" s="27"/>
      <c r="I57" s="27"/>
      <c r="J57" s="27"/>
      <c r="K57" s="27"/>
      <c r="L57" s="27"/>
    </row>
    <row r="58" spans="4:12" x14ac:dyDescent="0.25">
      <c r="D58" s="27"/>
      <c r="E58" s="27"/>
      <c r="F58" s="27"/>
      <c r="G58" s="30"/>
      <c r="H58" s="27"/>
      <c r="I58" s="27"/>
      <c r="J58" s="27"/>
      <c r="K58" s="27"/>
      <c r="L58" s="27"/>
    </row>
    <row r="59" spans="4:12" ht="15.75" x14ac:dyDescent="0.25">
      <c r="D59" s="27"/>
      <c r="E59" s="28"/>
      <c r="F59" s="29"/>
      <c r="G59" s="32"/>
      <c r="H59" s="27"/>
      <c r="I59" s="27"/>
      <c r="J59" s="27"/>
      <c r="K59" s="27"/>
      <c r="L59" s="27"/>
    </row>
    <row r="60" spans="4:12" x14ac:dyDescent="0.25">
      <c r="D60" s="27"/>
      <c r="E60" s="29"/>
      <c r="F60" s="31"/>
      <c r="G60" s="33"/>
      <c r="H60" s="27"/>
      <c r="I60" s="27"/>
      <c r="J60" s="27"/>
      <c r="K60" s="27"/>
      <c r="L60" s="27"/>
    </row>
    <row r="61" spans="4:12" x14ac:dyDescent="0.25">
      <c r="D61" s="27"/>
      <c r="E61" s="29"/>
      <c r="F61" s="31"/>
      <c r="G61" s="32"/>
      <c r="H61" s="27"/>
      <c r="I61" s="27"/>
      <c r="J61" s="27"/>
      <c r="K61" s="27"/>
      <c r="L61" s="27"/>
    </row>
    <row r="62" spans="4:12" x14ac:dyDescent="0.25">
      <c r="D62" s="27"/>
      <c r="E62" s="29"/>
      <c r="F62" s="31"/>
      <c r="G62" s="30"/>
      <c r="H62" s="27"/>
      <c r="I62" s="27"/>
      <c r="J62" s="27"/>
      <c r="K62" s="27"/>
      <c r="L62" s="27"/>
    </row>
    <row r="63" spans="4:12" x14ac:dyDescent="0.25">
      <c r="D63" s="27"/>
      <c r="E63" s="29"/>
      <c r="F63" s="31"/>
      <c r="G63" s="34"/>
      <c r="H63" s="27"/>
      <c r="I63" s="27"/>
      <c r="J63" s="27"/>
      <c r="K63" s="27"/>
      <c r="L63" s="27"/>
    </row>
    <row r="64" spans="4:12" x14ac:dyDescent="0.25">
      <c r="D64" s="27"/>
      <c r="E64" s="29"/>
      <c r="F64" s="29"/>
      <c r="G64" s="27"/>
      <c r="H64" s="27"/>
      <c r="I64" s="27"/>
      <c r="J64" s="27"/>
      <c r="K64" s="27"/>
      <c r="L64" s="27"/>
    </row>
    <row r="65" spans="4:12" x14ac:dyDescent="0.25">
      <c r="D65" s="27"/>
      <c r="E65" s="27"/>
      <c r="F65" s="27"/>
      <c r="G65" s="27"/>
      <c r="H65" s="27"/>
      <c r="I65" s="27"/>
      <c r="J65" s="27"/>
      <c r="K65" s="27"/>
      <c r="L65" s="27"/>
    </row>
    <row r="66" spans="4:12" x14ac:dyDescent="0.25">
      <c r="D66" s="27"/>
      <c r="E66" s="27"/>
      <c r="F66" s="27"/>
      <c r="G66" s="27"/>
      <c r="H66" s="27"/>
      <c r="I66" s="27"/>
      <c r="J66" s="27"/>
      <c r="K66" s="27"/>
      <c r="L66" s="27"/>
    </row>
    <row r="67" spans="4:12" x14ac:dyDescent="0.25">
      <c r="D67" s="27"/>
      <c r="E67" s="27"/>
      <c r="F67" s="35"/>
      <c r="G67" s="27"/>
      <c r="H67" s="27"/>
      <c r="I67" s="27"/>
      <c r="J67" s="27"/>
      <c r="K67" s="27"/>
      <c r="L67" s="27"/>
    </row>
    <row r="68" spans="4:12" x14ac:dyDescent="0.25">
      <c r="E68" s="27"/>
      <c r="F68" s="35"/>
    </row>
    <row r="69" spans="4:12" x14ac:dyDescent="0.25">
      <c r="F69" s="1"/>
    </row>
    <row r="70" spans="4:12" x14ac:dyDescent="0.25">
      <c r="F70" s="1"/>
    </row>
    <row r="71" spans="4:12" x14ac:dyDescent="0.25">
      <c r="F71" s="1"/>
    </row>
    <row r="72" spans="4:12" x14ac:dyDescent="0.25">
      <c r="F72" s="1"/>
    </row>
    <row r="73" spans="4:12" x14ac:dyDescent="0.25">
      <c r="F73" s="1"/>
    </row>
    <row r="75" spans="4:12" x14ac:dyDescent="0.25">
      <c r="E75" s="8"/>
      <c r="F75" s="2"/>
    </row>
  </sheetData>
  <mergeCells count="1">
    <mergeCell ref="P35:Q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Dashboard</vt:lpstr>
      <vt:lpstr>Aff 30% AMI_50 unit</vt:lpstr>
      <vt:lpstr>Aff 30% AMI_100 unit</vt:lpstr>
      <vt:lpstr>Aff 60% AMI_50 unit</vt:lpstr>
      <vt:lpstr>Aff 60% AMI_100 unit</vt:lpstr>
      <vt:lpstr>Market rate_50 unit</vt:lpstr>
      <vt:lpstr>Market rate_100 unit</vt:lpstr>
      <vt:lpstr>adjustrent</vt:lpstr>
      <vt:lpstr>caprate</vt:lpstr>
      <vt:lpstr>DSCR</vt:lpstr>
      <vt:lpstr>interestrate</vt:lpstr>
      <vt:lpstr>ltv</vt:lpstr>
      <vt:lpstr>taxcreditsub</vt:lpstr>
      <vt:lpstr>vacancy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King</dc:creator>
  <cp:lastModifiedBy>Rebekah King</cp:lastModifiedBy>
  <dcterms:created xsi:type="dcterms:W3CDTF">2016-03-30T14:51:09Z</dcterms:created>
  <dcterms:modified xsi:type="dcterms:W3CDTF">2016-05-18T18:27:01Z</dcterms:modified>
</cp:coreProperties>
</file>