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35" windowWidth="27795" windowHeight="11715" activeTab="6"/>
  </bookViews>
  <sheets>
    <sheet name="Data - Total" sheetId="1" r:id="rId1"/>
    <sheet name="Ratios - Total" sheetId="2" r:id="rId2"/>
    <sheet name="Ratios - Children" sheetId="4" r:id="rId3"/>
    <sheet name="Ratios - Adults" sheetId="3" r:id="rId4"/>
    <sheet name="Ratios - Disabled" sheetId="5" r:id="rId5"/>
    <sheet name="Ratios - Elderly" sheetId="6" r:id="rId6"/>
    <sheet name="Other" sheetId="9" r:id="rId7"/>
    <sheet name="Documentation" sheetId="7" r:id="rId8"/>
  </sheets>
  <externalReferences>
    <externalReference r:id="rId9"/>
    <externalReference r:id="rId10"/>
    <externalReference r:id="rId11"/>
    <externalReference r:id="rId12"/>
    <externalReference r:id="rId13"/>
  </externalReferences>
  <calcPr calcId="145621"/>
</workbook>
</file>

<file path=xl/calcChain.xml><?xml version="1.0" encoding="utf-8"?>
<calcChain xmlns="http://schemas.openxmlformats.org/spreadsheetml/2006/main">
  <c r="D4" i="9" l="1"/>
  <c r="D5" i="9"/>
  <c r="D6" i="9"/>
  <c r="D7" i="9"/>
  <c r="U3" i="1" l="1"/>
  <c r="G3" i="1"/>
  <c r="E3" i="1"/>
  <c r="C3" i="1" l="1"/>
  <c r="T3" i="1" l="1"/>
  <c r="K4" i="9" l="1"/>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3" i="9"/>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3" i="9"/>
  <c r="I4" i="9"/>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3"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3" i="9"/>
  <c r="C21" i="9" l="1"/>
  <c r="C45" i="9"/>
  <c r="C29" i="9"/>
  <c r="C53" i="9"/>
  <c r="C3" i="9"/>
  <c r="C19" i="9"/>
  <c r="C7" i="9"/>
  <c r="C35" i="9"/>
  <c r="C27" i="9"/>
  <c r="C17" i="9"/>
  <c r="C13" i="9"/>
  <c r="C4" i="9"/>
  <c r="C5" i="9"/>
  <c r="C6" i="9"/>
  <c r="C8" i="9"/>
  <c r="C9" i="9"/>
  <c r="C10" i="9"/>
  <c r="C11" i="9"/>
  <c r="C12" i="9"/>
  <c r="C14" i="9"/>
  <c r="C15" i="9"/>
  <c r="C16" i="9"/>
  <c r="C18" i="9"/>
  <c r="C20" i="9"/>
  <c r="C22" i="9"/>
  <c r="C23" i="9"/>
  <c r="C24" i="9"/>
  <c r="C25" i="9"/>
  <c r="C26" i="9"/>
  <c r="C28" i="9"/>
  <c r="C30" i="9"/>
  <c r="C31" i="9"/>
  <c r="C32" i="9"/>
  <c r="C33" i="9"/>
  <c r="C34" i="9"/>
  <c r="C36" i="9"/>
  <c r="C37" i="9"/>
  <c r="C38" i="9"/>
  <c r="C39" i="9"/>
  <c r="C40" i="9"/>
  <c r="C41" i="9"/>
  <c r="C42" i="9"/>
  <c r="C43" i="9"/>
  <c r="C44" i="9"/>
  <c r="C46" i="9"/>
  <c r="C47" i="9"/>
  <c r="C48" i="9"/>
  <c r="C49" i="9"/>
  <c r="C50" i="9"/>
  <c r="C51" i="9"/>
  <c r="C52" i="9"/>
  <c r="C54" i="9"/>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3"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N28" i="2" l="1"/>
  <c r="O3" i="6"/>
  <c r="L47" i="2"/>
  <c r="L52" i="2"/>
  <c r="L51" i="2"/>
  <c r="L50" i="2"/>
  <c r="L46" i="2"/>
  <c r="L44" i="2"/>
  <c r="L42" i="2"/>
  <c r="L40" i="2"/>
  <c r="L38" i="2"/>
  <c r="L30" i="2"/>
  <c r="L35" i="2"/>
  <c r="L33" i="2"/>
  <c r="L32" i="2"/>
  <c r="L27" i="2"/>
  <c r="L26" i="2"/>
  <c r="L22" i="2"/>
  <c r="L24" i="2"/>
  <c r="L20" i="2"/>
  <c r="L15" i="2"/>
  <c r="L17" i="2"/>
  <c r="L14" i="2"/>
  <c r="L12" i="2"/>
  <c r="L11" i="2"/>
  <c r="L8" i="2"/>
  <c r="L5" i="2"/>
  <c r="L3" i="2"/>
  <c r="N47" i="2"/>
  <c r="N52" i="2"/>
  <c r="N51" i="2"/>
  <c r="N50" i="2"/>
  <c r="N46" i="2"/>
  <c r="N44" i="2"/>
  <c r="N42" i="2"/>
  <c r="N40" i="2"/>
  <c r="N38" i="2"/>
  <c r="N30" i="2"/>
  <c r="N35" i="2"/>
  <c r="N33" i="2"/>
  <c r="N32" i="2"/>
  <c r="N27" i="2"/>
  <c r="N26" i="2"/>
  <c r="N22" i="2"/>
  <c r="N24" i="2"/>
  <c r="N20" i="2"/>
  <c r="N15" i="2"/>
  <c r="N17" i="2"/>
  <c r="N14" i="2"/>
  <c r="N12" i="2"/>
  <c r="N11" i="2"/>
  <c r="N8" i="2"/>
  <c r="N5" i="2"/>
  <c r="N3" i="2"/>
  <c r="M37" i="4"/>
  <c r="M38" i="4"/>
  <c r="M45" i="4"/>
  <c r="M31" i="4"/>
  <c r="M20" i="4"/>
  <c r="M8" i="4"/>
  <c r="M50" i="4"/>
  <c r="M34" i="4"/>
  <c r="M36" i="4"/>
  <c r="M14" i="4"/>
  <c r="M15" i="4"/>
  <c r="M32" i="4"/>
  <c r="M26" i="4"/>
  <c r="M18" i="4"/>
  <c r="M52" i="4"/>
  <c r="M44" i="4"/>
  <c r="M19" i="4"/>
  <c r="M7" i="4"/>
  <c r="M25" i="4"/>
  <c r="M41" i="4"/>
  <c r="J28" i="2"/>
  <c r="L54" i="2"/>
  <c r="L53" i="2"/>
  <c r="L49" i="2"/>
  <c r="L48" i="2"/>
  <c r="L45" i="2"/>
  <c r="L43" i="2"/>
  <c r="L41" i="2"/>
  <c r="L39" i="2"/>
  <c r="L31" i="2"/>
  <c r="L37" i="2"/>
  <c r="L34" i="2"/>
  <c r="L36" i="2"/>
  <c r="L29" i="2"/>
  <c r="L28" i="2"/>
  <c r="L25" i="2"/>
  <c r="L23" i="2"/>
  <c r="L21" i="2"/>
  <c r="L19" i="2"/>
  <c r="L18" i="2"/>
  <c r="L16" i="2"/>
  <c r="L13" i="2"/>
  <c r="L10" i="2"/>
  <c r="L9" i="2"/>
  <c r="L7" i="2"/>
  <c r="L6" i="2"/>
  <c r="N54" i="2"/>
  <c r="N53" i="2"/>
  <c r="N49" i="2"/>
  <c r="N48" i="2"/>
  <c r="N45" i="2"/>
  <c r="N43" i="2"/>
  <c r="N41" i="2"/>
  <c r="N39" i="2"/>
  <c r="N31" i="2"/>
  <c r="N37" i="2"/>
  <c r="N34" i="2"/>
  <c r="N36" i="2"/>
  <c r="N29" i="2"/>
  <c r="N25" i="2"/>
  <c r="N23" i="2"/>
  <c r="N21" i="2"/>
  <c r="N19" i="2"/>
  <c r="N18" i="2"/>
  <c r="N16" i="2"/>
  <c r="N13" i="2"/>
  <c r="N10" i="2"/>
  <c r="N9" i="2"/>
  <c r="N7" i="2"/>
  <c r="N6" i="2"/>
  <c r="C3" i="4"/>
  <c r="K3" i="4"/>
  <c r="M33" i="4"/>
  <c r="M21" i="4"/>
  <c r="M29" i="4"/>
  <c r="M23" i="4"/>
  <c r="M6" i="4"/>
  <c r="M16" i="4"/>
  <c r="M40" i="4"/>
  <c r="M5" i="4"/>
  <c r="M30" i="4"/>
  <c r="M49" i="4"/>
  <c r="M53" i="4"/>
  <c r="M46" i="4"/>
  <c r="M28" i="4"/>
  <c r="M3" i="4"/>
  <c r="M39" i="4"/>
  <c r="M51" i="4"/>
  <c r="M10" i="4"/>
  <c r="M11" i="4"/>
  <c r="M24" i="4"/>
  <c r="M4" i="4"/>
  <c r="M22" i="4"/>
  <c r="M54" i="4"/>
  <c r="M48" i="4"/>
  <c r="M35" i="4"/>
  <c r="M12" i="4"/>
  <c r="M42" i="4"/>
  <c r="M27" i="4"/>
  <c r="M9" i="4"/>
  <c r="M43" i="4"/>
  <c r="O37" i="4"/>
  <c r="O38" i="4"/>
  <c r="O45" i="4"/>
  <c r="O31" i="4"/>
  <c r="O20" i="4"/>
  <c r="O8" i="4"/>
  <c r="O50" i="4"/>
  <c r="O34" i="4"/>
  <c r="O36" i="4"/>
  <c r="O14" i="4"/>
  <c r="O15" i="4"/>
  <c r="O32" i="4"/>
  <c r="O26" i="4"/>
  <c r="O18" i="4"/>
  <c r="O52" i="4"/>
  <c r="O44" i="4"/>
  <c r="O19" i="4"/>
  <c r="O7" i="4"/>
  <c r="O25" i="4"/>
  <c r="O41" i="4"/>
  <c r="O35" i="4"/>
  <c r="O12" i="4"/>
  <c r="O42" i="4"/>
  <c r="O27" i="4"/>
  <c r="O9" i="4"/>
  <c r="O43" i="4"/>
  <c r="C37" i="3"/>
  <c r="C38" i="3"/>
  <c r="C45" i="3"/>
  <c r="C31" i="3"/>
  <c r="C20" i="3"/>
  <c r="C8" i="3"/>
  <c r="C50" i="3"/>
  <c r="C34" i="3"/>
  <c r="C36" i="3"/>
  <c r="C14" i="3"/>
  <c r="C15" i="3"/>
  <c r="C32" i="3"/>
  <c r="C26" i="3"/>
  <c r="C18" i="3"/>
  <c r="C52" i="3"/>
  <c r="C44" i="3"/>
  <c r="C19" i="3"/>
  <c r="C7" i="3"/>
  <c r="C25" i="3"/>
  <c r="C41" i="3"/>
  <c r="C35" i="3"/>
  <c r="C12" i="3"/>
  <c r="C42" i="3"/>
  <c r="C27" i="3"/>
  <c r="C9" i="3"/>
  <c r="C43" i="3"/>
  <c r="M37" i="3"/>
  <c r="M38" i="3"/>
  <c r="M45" i="3"/>
  <c r="M31" i="3"/>
  <c r="M20" i="3"/>
  <c r="M8" i="3"/>
  <c r="M50" i="3"/>
  <c r="M34" i="3"/>
  <c r="M36" i="3"/>
  <c r="M14" i="3"/>
  <c r="M15" i="3"/>
  <c r="M32" i="3"/>
  <c r="M26" i="3"/>
  <c r="M18" i="3"/>
  <c r="M52" i="3"/>
  <c r="M44" i="3"/>
  <c r="M19" i="3"/>
  <c r="M7" i="3"/>
  <c r="M25" i="3"/>
  <c r="M41" i="3"/>
  <c r="M35" i="3"/>
  <c r="M12" i="3"/>
  <c r="M42" i="3"/>
  <c r="M27" i="3"/>
  <c r="M9" i="3"/>
  <c r="M43" i="3"/>
  <c r="O37" i="3"/>
  <c r="O38" i="3"/>
  <c r="O45" i="3"/>
  <c r="O31" i="3"/>
  <c r="O20" i="3"/>
  <c r="O8" i="3"/>
  <c r="O50" i="3"/>
  <c r="O34" i="3"/>
  <c r="O36" i="3"/>
  <c r="O14" i="3"/>
  <c r="O15" i="3"/>
  <c r="O32" i="3"/>
  <c r="O26" i="3"/>
  <c r="O18" i="3"/>
  <c r="O52" i="3"/>
  <c r="O44" i="3"/>
  <c r="O19" i="3"/>
  <c r="O7" i="3"/>
  <c r="O25" i="3"/>
  <c r="O41" i="3"/>
  <c r="O35" i="3"/>
  <c r="O12" i="3"/>
  <c r="O42" i="3"/>
  <c r="O27" i="3"/>
  <c r="O9" i="3"/>
  <c r="O43" i="3"/>
  <c r="M37" i="5"/>
  <c r="M38" i="5"/>
  <c r="M45" i="5"/>
  <c r="M31" i="5"/>
  <c r="M20" i="5"/>
  <c r="M8" i="5"/>
  <c r="M50" i="5"/>
  <c r="M34" i="5"/>
  <c r="M36" i="5"/>
  <c r="M14" i="5"/>
  <c r="M15" i="5"/>
  <c r="M32" i="5"/>
  <c r="M26" i="5"/>
  <c r="M18" i="5"/>
  <c r="M52" i="5"/>
  <c r="M44" i="5"/>
  <c r="M19" i="5"/>
  <c r="M7" i="5"/>
  <c r="M25" i="5"/>
  <c r="M41" i="5"/>
  <c r="M35" i="5"/>
  <c r="M12" i="5"/>
  <c r="M42" i="5"/>
  <c r="M27" i="5"/>
  <c r="M9" i="5"/>
  <c r="M43" i="5"/>
  <c r="O37" i="5"/>
  <c r="I37" i="5"/>
  <c r="O38" i="5"/>
  <c r="I38" i="5"/>
  <c r="O45" i="5"/>
  <c r="I45" i="5"/>
  <c r="O31" i="5"/>
  <c r="I31" i="5"/>
  <c r="O20" i="5"/>
  <c r="I20" i="5"/>
  <c r="O8" i="5"/>
  <c r="I8" i="5"/>
  <c r="O50" i="5"/>
  <c r="I50" i="5"/>
  <c r="O34" i="5"/>
  <c r="I34" i="5"/>
  <c r="O36" i="5"/>
  <c r="I36" i="5"/>
  <c r="O14" i="5"/>
  <c r="I14" i="5"/>
  <c r="O15" i="5"/>
  <c r="I15" i="5"/>
  <c r="O32" i="5"/>
  <c r="I32" i="5"/>
  <c r="O26" i="5"/>
  <c r="I26" i="5"/>
  <c r="O18" i="5"/>
  <c r="I18" i="5"/>
  <c r="O52" i="5"/>
  <c r="I52" i="5"/>
  <c r="O44" i="5"/>
  <c r="I44" i="5"/>
  <c r="O19" i="5"/>
  <c r="I19" i="5"/>
  <c r="O7" i="5"/>
  <c r="I7" i="5"/>
  <c r="O25" i="5"/>
  <c r="I25" i="5"/>
  <c r="O41" i="5"/>
  <c r="I41" i="5"/>
  <c r="O35" i="5"/>
  <c r="I35" i="5"/>
  <c r="O12" i="5"/>
  <c r="I12" i="5"/>
  <c r="O42" i="5"/>
  <c r="I42" i="5"/>
  <c r="O27" i="5"/>
  <c r="I27" i="5"/>
  <c r="O9" i="5"/>
  <c r="I9" i="5"/>
  <c r="O43" i="5"/>
  <c r="I43" i="5"/>
  <c r="M37" i="6"/>
  <c r="M38" i="6"/>
  <c r="M45" i="6"/>
  <c r="M31" i="6"/>
  <c r="M20" i="6"/>
  <c r="M8" i="6"/>
  <c r="M50" i="6"/>
  <c r="M34" i="6"/>
  <c r="M36" i="6"/>
  <c r="M14" i="6"/>
  <c r="M15" i="6"/>
  <c r="M32" i="6"/>
  <c r="M26" i="6"/>
  <c r="M18" i="6"/>
  <c r="M52" i="6"/>
  <c r="M44" i="6"/>
  <c r="M19" i="6"/>
  <c r="M7" i="6"/>
  <c r="M25" i="6"/>
  <c r="M41" i="6"/>
  <c r="M35" i="6"/>
  <c r="M12" i="6"/>
  <c r="M42" i="6"/>
  <c r="M27" i="6"/>
  <c r="M9" i="6"/>
  <c r="M43" i="6"/>
  <c r="O37" i="6"/>
  <c r="O38" i="6"/>
  <c r="M47" i="4"/>
  <c r="M17" i="4"/>
  <c r="M13" i="4"/>
  <c r="O33" i="4"/>
  <c r="O21" i="4"/>
  <c r="O29" i="4"/>
  <c r="O23" i="4"/>
  <c r="O6" i="4"/>
  <c r="O16" i="4"/>
  <c r="O40" i="4"/>
  <c r="O5" i="4"/>
  <c r="O30" i="4"/>
  <c r="O49" i="4"/>
  <c r="O53" i="4"/>
  <c r="O46" i="4"/>
  <c r="O28" i="4"/>
  <c r="O3" i="4"/>
  <c r="O39" i="4"/>
  <c r="O51" i="4"/>
  <c r="O10" i="4"/>
  <c r="O11" i="4"/>
  <c r="O24" i="4"/>
  <c r="O4" i="4"/>
  <c r="O22" i="4"/>
  <c r="O54" i="4"/>
  <c r="O48" i="4"/>
  <c r="O47" i="4"/>
  <c r="O17" i="4"/>
  <c r="O13" i="4"/>
  <c r="C33" i="3"/>
  <c r="C21" i="3"/>
  <c r="C29" i="3"/>
  <c r="C23" i="3"/>
  <c r="C6" i="3"/>
  <c r="C16" i="3"/>
  <c r="C40" i="3"/>
  <c r="C5" i="3"/>
  <c r="C30" i="3"/>
  <c r="C49" i="3"/>
  <c r="C53" i="3"/>
  <c r="C46" i="3"/>
  <c r="C28" i="3"/>
  <c r="C3" i="3"/>
  <c r="C39" i="3"/>
  <c r="C51" i="3"/>
  <c r="C10" i="3"/>
  <c r="C11" i="3"/>
  <c r="C24" i="3"/>
  <c r="C4" i="3"/>
  <c r="C22" i="3"/>
  <c r="C54" i="3"/>
  <c r="C48" i="3"/>
  <c r="C47" i="3"/>
  <c r="C17" i="3"/>
  <c r="C13" i="3"/>
  <c r="M33" i="3"/>
  <c r="M21" i="3"/>
  <c r="M29" i="3"/>
  <c r="M23" i="3"/>
  <c r="M6" i="3"/>
  <c r="M16" i="3"/>
  <c r="M40" i="3"/>
  <c r="M5" i="3"/>
  <c r="M30" i="3"/>
  <c r="M49" i="3"/>
  <c r="M53" i="3"/>
  <c r="M46" i="3"/>
  <c r="M28" i="3"/>
  <c r="M3" i="3"/>
  <c r="M39" i="3"/>
  <c r="M51" i="3"/>
  <c r="M10" i="3"/>
  <c r="M11" i="3"/>
  <c r="M24" i="3"/>
  <c r="M4" i="3"/>
  <c r="M22" i="3"/>
  <c r="M54" i="3"/>
  <c r="M48" i="3"/>
  <c r="M47" i="3"/>
  <c r="M17" i="3"/>
  <c r="M13" i="3"/>
  <c r="O33" i="3"/>
  <c r="O21" i="3"/>
  <c r="O29" i="3"/>
  <c r="O23" i="3"/>
  <c r="O6" i="3"/>
  <c r="O16" i="3"/>
  <c r="O40" i="3"/>
  <c r="O5" i="3"/>
  <c r="O30" i="3"/>
  <c r="O49" i="3"/>
  <c r="O53" i="3"/>
  <c r="O46" i="3"/>
  <c r="O28" i="3"/>
  <c r="O3" i="3"/>
  <c r="O39" i="3"/>
  <c r="O51" i="3"/>
  <c r="O10" i="3"/>
  <c r="O11" i="3"/>
  <c r="O24" i="3"/>
  <c r="O4" i="3"/>
  <c r="O22" i="3"/>
  <c r="O54" i="3"/>
  <c r="O48" i="3"/>
  <c r="O47" i="3"/>
  <c r="O17" i="3"/>
  <c r="O13" i="3"/>
  <c r="M33" i="5"/>
  <c r="M21" i="5"/>
  <c r="M29" i="5"/>
  <c r="M23" i="5"/>
  <c r="M6" i="5"/>
  <c r="M16" i="5"/>
  <c r="M40" i="5"/>
  <c r="M5" i="5"/>
  <c r="M30" i="5"/>
  <c r="M49" i="5"/>
  <c r="M53" i="5"/>
  <c r="M46" i="5"/>
  <c r="M28" i="5"/>
  <c r="M3" i="5"/>
  <c r="M39" i="5"/>
  <c r="M51" i="5"/>
  <c r="M10" i="5"/>
  <c r="M11" i="5"/>
  <c r="M24" i="5"/>
  <c r="M4" i="5"/>
  <c r="M22" i="5"/>
  <c r="M54" i="5"/>
  <c r="M48" i="5"/>
  <c r="M47" i="5"/>
  <c r="M17" i="5"/>
  <c r="M13" i="5"/>
  <c r="O33" i="5"/>
  <c r="I33" i="5"/>
  <c r="O21" i="5"/>
  <c r="I21" i="5"/>
  <c r="O29" i="5"/>
  <c r="I29" i="5"/>
  <c r="O23" i="5"/>
  <c r="I23" i="5"/>
  <c r="O6" i="5"/>
  <c r="I6" i="5"/>
  <c r="O16" i="5"/>
  <c r="I16" i="5"/>
  <c r="O40" i="5"/>
  <c r="I40" i="5"/>
  <c r="O5" i="5"/>
  <c r="I5" i="5"/>
  <c r="O30" i="5"/>
  <c r="I30" i="5"/>
  <c r="O49" i="5"/>
  <c r="I49" i="5"/>
  <c r="O53" i="5"/>
  <c r="I53" i="5"/>
  <c r="O46" i="5"/>
  <c r="I46" i="5"/>
  <c r="O28" i="5"/>
  <c r="I28" i="5"/>
  <c r="O3" i="5"/>
  <c r="O39" i="5"/>
  <c r="I39" i="5"/>
  <c r="O51" i="5"/>
  <c r="I51" i="5"/>
  <c r="O10" i="5"/>
  <c r="I10" i="5"/>
  <c r="O11" i="5"/>
  <c r="I11" i="5"/>
  <c r="O24" i="5"/>
  <c r="I24" i="5"/>
  <c r="O4" i="5"/>
  <c r="I4" i="5"/>
  <c r="O22" i="5"/>
  <c r="I22" i="5"/>
  <c r="O54" i="5"/>
  <c r="I54" i="5"/>
  <c r="O48" i="5"/>
  <c r="I48" i="5"/>
  <c r="O47" i="5"/>
  <c r="I47" i="5"/>
  <c r="O17" i="5"/>
  <c r="I17" i="5"/>
  <c r="O13" i="5"/>
  <c r="I13" i="5"/>
  <c r="C3" i="6"/>
  <c r="M33" i="6"/>
  <c r="M21" i="6"/>
  <c r="M29" i="6"/>
  <c r="M23" i="6"/>
  <c r="M6" i="6"/>
  <c r="M16" i="6"/>
  <c r="M40" i="6"/>
  <c r="M5" i="6"/>
  <c r="M30" i="6"/>
  <c r="M49" i="6"/>
  <c r="M53" i="6"/>
  <c r="M46" i="6"/>
  <c r="M28" i="6"/>
  <c r="M3" i="6"/>
  <c r="M39" i="6"/>
  <c r="M51" i="6"/>
  <c r="M10" i="6"/>
  <c r="M11" i="6"/>
  <c r="M24" i="6"/>
  <c r="M4" i="6"/>
  <c r="M22" i="6"/>
  <c r="M54" i="6"/>
  <c r="M48" i="6"/>
  <c r="M47" i="6"/>
  <c r="M17" i="6"/>
  <c r="M13" i="6"/>
  <c r="O33" i="6"/>
  <c r="O21" i="6"/>
  <c r="O45" i="6"/>
  <c r="O31" i="6"/>
  <c r="O20" i="6"/>
  <c r="O8" i="6"/>
  <c r="O50" i="6"/>
  <c r="O34" i="6"/>
  <c r="O36" i="6"/>
  <c r="O14" i="6"/>
  <c r="O15" i="6"/>
  <c r="O32" i="6"/>
  <c r="O26" i="6"/>
  <c r="O18" i="6"/>
  <c r="O52" i="6"/>
  <c r="O44" i="6"/>
  <c r="O19" i="6"/>
  <c r="O7" i="6"/>
  <c r="O25" i="6"/>
  <c r="O41" i="6"/>
  <c r="O35" i="6"/>
  <c r="O12" i="6"/>
  <c r="O42" i="6"/>
  <c r="O27" i="6"/>
  <c r="O9" i="6"/>
  <c r="O43" i="6"/>
  <c r="O29" i="6"/>
  <c r="O23" i="6"/>
  <c r="O6" i="6"/>
  <c r="O16" i="6"/>
  <c r="O40" i="6"/>
  <c r="O5" i="6"/>
  <c r="O30" i="6"/>
  <c r="O49" i="6"/>
  <c r="O53" i="6"/>
  <c r="O46" i="6"/>
  <c r="O28" i="6"/>
  <c r="O39" i="6"/>
  <c r="O51" i="6"/>
  <c r="O10" i="6"/>
  <c r="O11" i="6"/>
  <c r="O24" i="6"/>
  <c r="O4" i="6"/>
  <c r="O22" i="6"/>
  <c r="O54" i="6"/>
  <c r="O48" i="6"/>
  <c r="O47" i="6"/>
  <c r="O17" i="6"/>
  <c r="O13" i="6"/>
  <c r="H47" i="2"/>
  <c r="C37" i="5" l="1"/>
  <c r="C37" i="6"/>
  <c r="C37" i="4"/>
  <c r="C13" i="6"/>
  <c r="C43" i="5"/>
  <c r="C17" i="4"/>
  <c r="C9" i="5"/>
  <c r="C27" i="5"/>
  <c r="C48" i="4"/>
  <c r="C42" i="4"/>
  <c r="C12" i="5"/>
  <c r="C22" i="4"/>
  <c r="C41" i="4"/>
  <c r="C24" i="4"/>
  <c r="C25" i="5"/>
  <c r="C7" i="4"/>
  <c r="C10" i="4"/>
  <c r="C19" i="5"/>
  <c r="C44" i="4"/>
  <c r="C39" i="4"/>
  <c r="C18" i="4"/>
  <c r="C28" i="4"/>
  <c r="C26" i="5"/>
  <c r="C32" i="4"/>
  <c r="C53" i="4"/>
  <c r="C15" i="6"/>
  <c r="C14" i="4"/>
  <c r="C30" i="4"/>
  <c r="C34" i="4"/>
  <c r="C40" i="4"/>
  <c r="C50" i="5"/>
  <c r="C8" i="4"/>
  <c r="C6" i="4"/>
  <c r="C20" i="5"/>
  <c r="C31" i="4"/>
  <c r="C29" i="4"/>
  <c r="C45" i="6"/>
  <c r="C38" i="4"/>
  <c r="C33" i="4"/>
  <c r="C47" i="6" l="1"/>
  <c r="C4" i="6"/>
  <c r="C51" i="6"/>
  <c r="C46" i="6"/>
  <c r="C5" i="6"/>
  <c r="C23" i="6"/>
  <c r="C13" i="5"/>
  <c r="C54" i="5"/>
  <c r="C11" i="5"/>
  <c r="C3" i="5"/>
  <c r="C49" i="5"/>
  <c r="C16" i="5"/>
  <c r="C21" i="5"/>
  <c r="C13" i="4"/>
  <c r="C54" i="4"/>
  <c r="C11" i="4"/>
  <c r="H3" i="2"/>
  <c r="H8" i="2"/>
  <c r="H12" i="2"/>
  <c r="H17" i="2"/>
  <c r="H20" i="2"/>
  <c r="H22" i="2"/>
  <c r="H27" i="2"/>
  <c r="H33" i="2"/>
  <c r="H30" i="2"/>
  <c r="H40" i="2"/>
  <c r="H44" i="2"/>
  <c r="H50" i="2"/>
  <c r="H52" i="2"/>
  <c r="H6" i="2"/>
  <c r="H9" i="2"/>
  <c r="H13" i="2"/>
  <c r="H18" i="2"/>
  <c r="H21" i="2"/>
  <c r="H25" i="2"/>
  <c r="E28" i="2"/>
  <c r="H36" i="2"/>
  <c r="H37" i="2"/>
  <c r="H39" i="2"/>
  <c r="H43" i="2"/>
  <c r="H48" i="2"/>
  <c r="H53" i="2"/>
  <c r="C54" i="6"/>
  <c r="C11" i="6"/>
  <c r="C49" i="6"/>
  <c r="C16" i="6"/>
  <c r="C21" i="6"/>
  <c r="C47" i="5"/>
  <c r="C4" i="5"/>
  <c r="C51" i="5"/>
  <c r="C46" i="5"/>
  <c r="C5" i="5"/>
  <c r="C23" i="5"/>
  <c r="C47" i="4"/>
  <c r="C4" i="4"/>
  <c r="C51" i="4"/>
  <c r="H5" i="2"/>
  <c r="H11" i="2"/>
  <c r="H14" i="2"/>
  <c r="H15" i="2"/>
  <c r="H24" i="2"/>
  <c r="H26" i="2"/>
  <c r="H32" i="2"/>
  <c r="H35" i="2"/>
  <c r="H38" i="2"/>
  <c r="H42" i="2"/>
  <c r="H46" i="2"/>
  <c r="H51" i="2"/>
  <c r="H4" i="2"/>
  <c r="H7" i="2"/>
  <c r="H10" i="2"/>
  <c r="H16" i="2"/>
  <c r="H19" i="2"/>
  <c r="H23" i="2"/>
  <c r="H28" i="2"/>
  <c r="H29" i="2"/>
  <c r="H34" i="2"/>
  <c r="H31" i="2"/>
  <c r="H41" i="2"/>
  <c r="H45" i="2"/>
  <c r="H49" i="2"/>
  <c r="H54" i="2"/>
  <c r="C35" i="4"/>
  <c r="C42" i="6"/>
  <c r="C35" i="6"/>
  <c r="C52" i="6"/>
  <c r="C26" i="6"/>
  <c r="C36" i="6"/>
  <c r="C20" i="6"/>
  <c r="C42" i="5"/>
  <c r="C35" i="5"/>
  <c r="C52" i="5"/>
  <c r="C15" i="5"/>
  <c r="C36" i="5"/>
  <c r="C45" i="5"/>
  <c r="C25" i="4"/>
  <c r="C19" i="4"/>
  <c r="C52" i="4"/>
  <c r="C26" i="4"/>
  <c r="C15" i="4"/>
  <c r="C36" i="4"/>
  <c r="C50" i="4"/>
  <c r="C20" i="4"/>
  <c r="C45" i="4"/>
  <c r="C46" i="4"/>
  <c r="C49" i="4"/>
  <c r="C5" i="4"/>
  <c r="C16" i="4"/>
  <c r="C23" i="4"/>
  <c r="C21" i="4"/>
  <c r="C9" i="4"/>
  <c r="C9" i="6"/>
  <c r="C25" i="6"/>
  <c r="C19" i="6"/>
  <c r="C50" i="6"/>
  <c r="C17" i="6"/>
  <c r="C48" i="6"/>
  <c r="C22" i="6"/>
  <c r="C24" i="6"/>
  <c r="C10" i="6"/>
  <c r="C39" i="6"/>
  <c r="C28" i="6"/>
  <c r="C53" i="6"/>
  <c r="C30" i="6"/>
  <c r="C40" i="6"/>
  <c r="C6" i="6"/>
  <c r="C29" i="6"/>
  <c r="C33" i="6"/>
  <c r="C17" i="5"/>
  <c r="C48" i="5"/>
  <c r="C22" i="5"/>
  <c r="C24" i="5"/>
  <c r="C10" i="5"/>
  <c r="C39" i="5"/>
  <c r="C28" i="5"/>
  <c r="C53" i="5"/>
  <c r="C30" i="5"/>
  <c r="C40" i="5"/>
  <c r="C6" i="5"/>
  <c r="C29" i="5"/>
  <c r="C33" i="5"/>
  <c r="C43" i="4"/>
  <c r="C27" i="4"/>
  <c r="C12" i="4"/>
  <c r="C43" i="6"/>
  <c r="C27" i="6"/>
  <c r="C12" i="6"/>
  <c r="C41" i="6"/>
  <c r="C7" i="6"/>
  <c r="C44" i="6"/>
  <c r="C18" i="6"/>
  <c r="C32" i="6"/>
  <c r="C14" i="6"/>
  <c r="C34" i="6"/>
  <c r="C8" i="6"/>
  <c r="C31" i="6"/>
  <c r="C38" i="6"/>
  <c r="C41" i="5"/>
  <c r="C7" i="5"/>
  <c r="C44" i="5"/>
  <c r="C18" i="5"/>
  <c r="C32" i="5"/>
  <c r="C14" i="5"/>
  <c r="C34" i="5"/>
  <c r="C8" i="5"/>
  <c r="C31" i="5"/>
  <c r="C38" i="5"/>
  <c r="AA4" i="1"/>
  <c r="AA5" i="1"/>
  <c r="AA6" i="1"/>
  <c r="AA7" i="1"/>
  <c r="AA8" i="1"/>
  <c r="AA9" i="1"/>
  <c r="AA10" i="1"/>
  <c r="AA11" i="1"/>
  <c r="AA12" i="1"/>
  <c r="AA13" i="1"/>
  <c r="AA14" i="1"/>
  <c r="AA15" i="1"/>
  <c r="AA16" i="1"/>
  <c r="AA17" i="1"/>
  <c r="AA18" i="1"/>
  <c r="AA19" i="1"/>
  <c r="AA20" i="1"/>
  <c r="AA21" i="1"/>
  <c r="AA22" i="1"/>
  <c r="AA23" i="1"/>
  <c r="AA24" i="1"/>
  <c r="AA25" i="1"/>
  <c r="AA26" i="1"/>
  <c r="AA27" i="1"/>
  <c r="AA28" i="1"/>
  <c r="D3" i="6" s="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3" i="1"/>
  <c r="K13" i="6"/>
  <c r="K43" i="6"/>
  <c r="K17" i="6"/>
  <c r="K9" i="6"/>
  <c r="K47" i="6"/>
  <c r="K27" i="6"/>
  <c r="K48" i="6"/>
  <c r="K42" i="6"/>
  <c r="K54" i="6"/>
  <c r="K12" i="6"/>
  <c r="K22" i="6"/>
  <c r="K35" i="6"/>
  <c r="K4" i="6"/>
  <c r="K41" i="6"/>
  <c r="K24" i="6"/>
  <c r="K25" i="6"/>
  <c r="K11" i="6"/>
  <c r="K7" i="6"/>
  <c r="K10" i="6"/>
  <c r="K19" i="6"/>
  <c r="K51" i="6"/>
  <c r="K44" i="6"/>
  <c r="K39" i="6"/>
  <c r="K52" i="6"/>
  <c r="K3" i="6"/>
  <c r="K18" i="6"/>
  <c r="K28" i="6"/>
  <c r="K26" i="6"/>
  <c r="K46" i="6"/>
  <c r="K32" i="6"/>
  <c r="K53" i="6"/>
  <c r="K15" i="6"/>
  <c r="K49" i="6"/>
  <c r="K14" i="6"/>
  <c r="K30" i="6"/>
  <c r="K36" i="6"/>
  <c r="K5" i="6"/>
  <c r="K34" i="6"/>
  <c r="K40" i="6"/>
  <c r="K50" i="6"/>
  <c r="K16" i="6"/>
  <c r="K8" i="6"/>
  <c r="K6" i="6"/>
  <c r="K20" i="6"/>
  <c r="K23" i="6"/>
  <c r="K31" i="6"/>
  <c r="K29" i="6"/>
  <c r="K45" i="6"/>
  <c r="K21" i="6"/>
  <c r="K38" i="6"/>
  <c r="K33" i="6"/>
  <c r="K37" i="6"/>
  <c r="V4" i="1"/>
  <c r="V5" i="1"/>
  <c r="V6" i="1"/>
  <c r="V7" i="1"/>
  <c r="V8" i="1"/>
  <c r="V9" i="1"/>
  <c r="V10" i="1"/>
  <c r="V11" i="1"/>
  <c r="V12" i="1"/>
  <c r="V13" i="1"/>
  <c r="V14" i="1"/>
  <c r="V15" i="1"/>
  <c r="V16" i="1"/>
  <c r="V17" i="1"/>
  <c r="V18" i="1"/>
  <c r="V19" i="1"/>
  <c r="V20" i="1"/>
  <c r="V21" i="1"/>
  <c r="V22" i="1"/>
  <c r="V23" i="1"/>
  <c r="V24" i="1"/>
  <c r="V25" i="1"/>
  <c r="V26" i="1"/>
  <c r="V27" i="1"/>
  <c r="V28" i="1"/>
  <c r="D3" i="5" s="1"/>
  <c r="V29" i="1"/>
  <c r="V30" i="1"/>
  <c r="V31" i="1"/>
  <c r="V32" i="1"/>
  <c r="V33" i="1"/>
  <c r="V34" i="1"/>
  <c r="V35" i="1"/>
  <c r="V36" i="1"/>
  <c r="V37" i="1"/>
  <c r="V38" i="1"/>
  <c r="V39" i="1"/>
  <c r="V40" i="1"/>
  <c r="V41" i="1"/>
  <c r="V42" i="1"/>
  <c r="V43" i="1"/>
  <c r="V44" i="1"/>
  <c r="V45" i="1"/>
  <c r="V46" i="1"/>
  <c r="V47" i="1"/>
  <c r="V48" i="1"/>
  <c r="V49" i="1"/>
  <c r="V50" i="1"/>
  <c r="V51" i="1"/>
  <c r="V52" i="1"/>
  <c r="V53" i="1"/>
  <c r="V54" i="1"/>
  <c r="V3" i="1"/>
  <c r="K13" i="5"/>
  <c r="K43" i="5"/>
  <c r="K17" i="5"/>
  <c r="K9" i="5"/>
  <c r="K47" i="5"/>
  <c r="K27" i="5"/>
  <c r="K48" i="5"/>
  <c r="K42" i="5"/>
  <c r="K54" i="5"/>
  <c r="K12" i="5"/>
  <c r="K22" i="5"/>
  <c r="K35" i="5"/>
  <c r="K4" i="5"/>
  <c r="K41" i="5"/>
  <c r="K24" i="5"/>
  <c r="K25" i="5"/>
  <c r="K11" i="5"/>
  <c r="K7" i="5"/>
  <c r="K10" i="5"/>
  <c r="K19" i="5"/>
  <c r="K51" i="5"/>
  <c r="K44" i="5"/>
  <c r="K39" i="5"/>
  <c r="K52" i="5"/>
  <c r="K3" i="5"/>
  <c r="K18" i="5"/>
  <c r="K28" i="5"/>
  <c r="K26" i="5"/>
  <c r="K46" i="5"/>
  <c r="K32" i="5"/>
  <c r="K53" i="5"/>
  <c r="K15" i="5"/>
  <c r="K49" i="5"/>
  <c r="K14" i="5"/>
  <c r="K30" i="5"/>
  <c r="K36" i="5"/>
  <c r="K5" i="5"/>
  <c r="K34" i="5"/>
  <c r="K40" i="5"/>
  <c r="K50" i="5"/>
  <c r="K16" i="5"/>
  <c r="K8" i="5"/>
  <c r="K6" i="5"/>
  <c r="K20" i="5"/>
  <c r="K23" i="5"/>
  <c r="K31" i="5"/>
  <c r="K29" i="5"/>
  <c r="K45" i="5"/>
  <c r="K21" i="5"/>
  <c r="K38" i="5"/>
  <c r="K33" i="5"/>
  <c r="K37" i="5"/>
  <c r="Q4" i="1"/>
  <c r="D13" i="3" s="1"/>
  <c r="Q5" i="1"/>
  <c r="Q6" i="1"/>
  <c r="D17" i="3" s="1"/>
  <c r="Q7" i="1"/>
  <c r="Q8" i="1"/>
  <c r="D47" i="3" s="1"/>
  <c r="Q9" i="1"/>
  <c r="Q10" i="1"/>
  <c r="Q11" i="1"/>
  <c r="D42" i="3" s="1"/>
  <c r="Q12" i="1"/>
  <c r="D54" i="3" s="1"/>
  <c r="Q13" i="1"/>
  <c r="Q14" i="1"/>
  <c r="Q15" i="1"/>
  <c r="Q16" i="1"/>
  <c r="Q17" i="1"/>
  <c r="Q18" i="1"/>
  <c r="Q19" i="1"/>
  <c r="Q20" i="1"/>
  <c r="D11" i="3" s="1"/>
  <c r="Q21" i="1"/>
  <c r="Q22" i="1"/>
  <c r="Q23" i="1"/>
  <c r="Q24" i="1"/>
  <c r="D51" i="3" s="1"/>
  <c r="Q25" i="1"/>
  <c r="Q26" i="1"/>
  <c r="D39" i="3" s="1"/>
  <c r="Q27" i="1"/>
  <c r="Q28" i="1"/>
  <c r="D3" i="3" s="1"/>
  <c r="Q29" i="1"/>
  <c r="Q30" i="1"/>
  <c r="Q31" i="1"/>
  <c r="Q32" i="1"/>
  <c r="D46" i="3" s="1"/>
  <c r="Q33" i="1"/>
  <c r="Q34" i="1"/>
  <c r="D53" i="3" s="1"/>
  <c r="Q35" i="1"/>
  <c r="Q36" i="1"/>
  <c r="D49" i="3" s="1"/>
  <c r="Q37" i="1"/>
  <c r="Q38" i="1"/>
  <c r="Q39" i="1"/>
  <c r="Q40" i="1"/>
  <c r="D5" i="3" s="1"/>
  <c r="Q41" i="1"/>
  <c r="Q42" i="1"/>
  <c r="Q43" i="1"/>
  <c r="D50" i="3" s="1"/>
  <c r="Q44" i="1"/>
  <c r="Q45" i="1"/>
  <c r="Q46" i="1"/>
  <c r="Q47" i="1"/>
  <c r="Q48" i="1"/>
  <c r="D23" i="3" s="1"/>
  <c r="Q49" i="1"/>
  <c r="Q50" i="1"/>
  <c r="D29" i="3" s="1"/>
  <c r="Q51" i="1"/>
  <c r="Q52" i="1"/>
  <c r="D21" i="3" s="1"/>
  <c r="Q53" i="1"/>
  <c r="Q54" i="1"/>
  <c r="D33" i="3" s="1"/>
  <c r="Q3" i="1"/>
  <c r="I13" i="3"/>
  <c r="I43" i="3"/>
  <c r="I17" i="3"/>
  <c r="I9" i="3"/>
  <c r="I47" i="3"/>
  <c r="I27" i="3"/>
  <c r="I48" i="3"/>
  <c r="I42" i="3"/>
  <c r="I54" i="3"/>
  <c r="I12" i="3"/>
  <c r="I22" i="3"/>
  <c r="I35" i="3"/>
  <c r="I4" i="3"/>
  <c r="I41" i="3"/>
  <c r="I24" i="3"/>
  <c r="I25" i="3"/>
  <c r="I11" i="3"/>
  <c r="I7" i="3"/>
  <c r="I10" i="3"/>
  <c r="I19" i="3"/>
  <c r="I51" i="3"/>
  <c r="I44" i="3"/>
  <c r="I39" i="3"/>
  <c r="I52" i="3"/>
  <c r="I3" i="3"/>
  <c r="I18" i="3"/>
  <c r="I28" i="3"/>
  <c r="I26" i="3"/>
  <c r="I46" i="3"/>
  <c r="I32" i="3"/>
  <c r="I53" i="3"/>
  <c r="I15" i="3"/>
  <c r="I49" i="3"/>
  <c r="I14" i="3"/>
  <c r="I30" i="3"/>
  <c r="I36" i="3"/>
  <c r="I5" i="3"/>
  <c r="I34" i="3"/>
  <c r="I40" i="3"/>
  <c r="I50" i="3"/>
  <c r="I16" i="3"/>
  <c r="I8" i="3"/>
  <c r="I6" i="3"/>
  <c r="I20" i="3"/>
  <c r="I23" i="3"/>
  <c r="I31" i="3"/>
  <c r="I29" i="3"/>
  <c r="I45" i="3"/>
  <c r="I21" i="3"/>
  <c r="I38" i="3"/>
  <c r="I33" i="3"/>
  <c r="I37" i="3"/>
  <c r="K13" i="3"/>
  <c r="K43" i="3"/>
  <c r="K17" i="3"/>
  <c r="K9" i="3"/>
  <c r="K47" i="3"/>
  <c r="K27" i="3"/>
  <c r="K48" i="3"/>
  <c r="K42" i="3"/>
  <c r="K54" i="3"/>
  <c r="K12" i="3"/>
  <c r="K22" i="3"/>
  <c r="K35" i="3"/>
  <c r="K4" i="3"/>
  <c r="K41" i="3"/>
  <c r="K24" i="3"/>
  <c r="K25" i="3"/>
  <c r="K11" i="3"/>
  <c r="K7" i="3"/>
  <c r="K10" i="3"/>
  <c r="K19" i="3"/>
  <c r="K51" i="3"/>
  <c r="K44" i="3"/>
  <c r="K39" i="3"/>
  <c r="K52" i="3"/>
  <c r="K3" i="3"/>
  <c r="K18" i="3"/>
  <c r="K28" i="3"/>
  <c r="K26" i="3"/>
  <c r="K46" i="3"/>
  <c r="K32" i="3"/>
  <c r="K53" i="3"/>
  <c r="K15" i="3"/>
  <c r="K49" i="3"/>
  <c r="K14" i="3"/>
  <c r="K30" i="3"/>
  <c r="K36" i="3"/>
  <c r="K5" i="3"/>
  <c r="K34" i="3"/>
  <c r="K40" i="3"/>
  <c r="K50" i="3"/>
  <c r="K16" i="3"/>
  <c r="K8" i="3"/>
  <c r="K6" i="3"/>
  <c r="K20" i="3"/>
  <c r="K23" i="3"/>
  <c r="K31" i="3"/>
  <c r="K29" i="3"/>
  <c r="K45" i="3"/>
  <c r="K21" i="3"/>
  <c r="K38" i="3"/>
  <c r="K33" i="3"/>
  <c r="K37" i="3"/>
  <c r="L4" i="1"/>
  <c r="D13" i="4" s="1"/>
  <c r="L5" i="1"/>
  <c r="L6" i="1"/>
  <c r="D17" i="4" s="1"/>
  <c r="L7" i="1"/>
  <c r="L8" i="1"/>
  <c r="L9" i="1"/>
  <c r="L10" i="1"/>
  <c r="L11" i="1"/>
  <c r="L12" i="1"/>
  <c r="L13" i="1"/>
  <c r="L14" i="1"/>
  <c r="L15" i="1"/>
  <c r="L16" i="1"/>
  <c r="L17" i="1"/>
  <c r="L18" i="1"/>
  <c r="L19" i="1"/>
  <c r="L20" i="1"/>
  <c r="D11" i="4" s="1"/>
  <c r="L21" i="1"/>
  <c r="L22" i="1"/>
  <c r="L23" i="1"/>
  <c r="L24" i="1"/>
  <c r="L25" i="1"/>
  <c r="L26" i="1"/>
  <c r="L27" i="1"/>
  <c r="L28" i="1"/>
  <c r="D3" i="4" s="1"/>
  <c r="L29" i="1"/>
  <c r="L30" i="1"/>
  <c r="L31" i="1"/>
  <c r="L32" i="1"/>
  <c r="L33" i="1"/>
  <c r="L34" i="1"/>
  <c r="L35" i="1"/>
  <c r="L36" i="1"/>
  <c r="L37" i="1"/>
  <c r="L38" i="1"/>
  <c r="L39" i="1"/>
  <c r="L40" i="1"/>
  <c r="L41" i="1"/>
  <c r="L42" i="1"/>
  <c r="L43" i="1"/>
  <c r="L44" i="1"/>
  <c r="L45" i="1"/>
  <c r="L46" i="1"/>
  <c r="L47" i="1"/>
  <c r="L48" i="1"/>
  <c r="L49" i="1"/>
  <c r="L50" i="1"/>
  <c r="L51" i="1"/>
  <c r="L52" i="1"/>
  <c r="L53" i="1"/>
  <c r="L54" i="1"/>
  <c r="L3" i="1"/>
  <c r="K13" i="4"/>
  <c r="K43" i="4"/>
  <c r="K17" i="4"/>
  <c r="K9" i="4"/>
  <c r="K47" i="4"/>
  <c r="K27" i="4"/>
  <c r="K48" i="4"/>
  <c r="K42" i="4"/>
  <c r="K54" i="4"/>
  <c r="K12" i="4"/>
  <c r="K22" i="4"/>
  <c r="K35" i="4"/>
  <c r="K4" i="4"/>
  <c r="K41" i="4"/>
  <c r="K24" i="4"/>
  <c r="K25" i="4"/>
  <c r="K11" i="4"/>
  <c r="K7" i="4"/>
  <c r="K10" i="4"/>
  <c r="K19" i="4"/>
  <c r="K51" i="4"/>
  <c r="K44" i="4"/>
  <c r="K39" i="4"/>
  <c r="K52" i="4"/>
  <c r="K18" i="4"/>
  <c r="K28" i="4"/>
  <c r="K26" i="4"/>
  <c r="K46" i="4"/>
  <c r="K32" i="4"/>
  <c r="K53" i="4"/>
  <c r="K15" i="4"/>
  <c r="K49" i="4"/>
  <c r="K14" i="4"/>
  <c r="K30" i="4"/>
  <c r="K36" i="4"/>
  <c r="K5" i="4"/>
  <c r="K34" i="4"/>
  <c r="K40" i="4"/>
  <c r="K50" i="4"/>
  <c r="K16" i="4"/>
  <c r="K8" i="4"/>
  <c r="K6" i="4"/>
  <c r="K20" i="4"/>
  <c r="K23" i="4"/>
  <c r="K31" i="4"/>
  <c r="K29" i="4"/>
  <c r="K45" i="4"/>
  <c r="K21" i="4"/>
  <c r="K38" i="4"/>
  <c r="K33" i="4"/>
  <c r="K37" i="4"/>
  <c r="G4" i="1"/>
  <c r="G5" i="1"/>
  <c r="G6" i="1"/>
  <c r="G7" i="1"/>
  <c r="G8" i="1"/>
  <c r="G9" i="1"/>
  <c r="G10" i="1"/>
  <c r="G11" i="1"/>
  <c r="G12" i="1"/>
  <c r="G13" i="1"/>
  <c r="G14" i="1"/>
  <c r="G15" i="1"/>
  <c r="G16" i="1"/>
  <c r="C16" i="2" s="1"/>
  <c r="G17" i="1"/>
  <c r="G18" i="1"/>
  <c r="G19" i="1"/>
  <c r="G20" i="1"/>
  <c r="G21" i="1"/>
  <c r="G22" i="1"/>
  <c r="G23" i="1"/>
  <c r="G24" i="1"/>
  <c r="G25" i="1"/>
  <c r="G26" i="1"/>
  <c r="G27" i="1"/>
  <c r="G28" i="1"/>
  <c r="C28" i="2" s="1"/>
  <c r="G29" i="1"/>
  <c r="G30" i="1"/>
  <c r="G31" i="1"/>
  <c r="G32" i="1"/>
  <c r="G33" i="1"/>
  <c r="G34" i="1"/>
  <c r="G35" i="1"/>
  <c r="G36" i="1"/>
  <c r="G37" i="1"/>
  <c r="G38" i="1"/>
  <c r="G39" i="1"/>
  <c r="G40" i="1"/>
  <c r="G41" i="1"/>
  <c r="G42" i="1"/>
  <c r="G43" i="1"/>
  <c r="G44" i="1"/>
  <c r="G45" i="1"/>
  <c r="G46" i="1"/>
  <c r="G47" i="1"/>
  <c r="G48" i="1"/>
  <c r="G49" i="1"/>
  <c r="G50" i="1"/>
  <c r="G51" i="1"/>
  <c r="G52" i="1"/>
  <c r="G53" i="1"/>
  <c r="G54" i="1"/>
  <c r="H52" i="3" l="1"/>
  <c r="H44" i="3"/>
  <c r="H40" i="3"/>
  <c r="H48" i="3"/>
  <c r="H37" i="3"/>
  <c r="H38" i="3"/>
  <c r="H45" i="3"/>
  <c r="H31" i="3"/>
  <c r="H20" i="3"/>
  <c r="H8" i="3"/>
  <c r="H34" i="3"/>
  <c r="H36" i="3"/>
  <c r="H14" i="3"/>
  <c r="H15" i="3"/>
  <c r="H32" i="3"/>
  <c r="H26" i="3"/>
  <c r="H18" i="3"/>
  <c r="H19" i="3"/>
  <c r="H7" i="3"/>
  <c r="H25" i="3"/>
  <c r="H41" i="3"/>
  <c r="H35" i="3"/>
  <c r="H12" i="3"/>
  <c r="H27" i="3"/>
  <c r="H9" i="3"/>
  <c r="H43" i="3"/>
  <c r="F37" i="5"/>
  <c r="F38" i="5"/>
  <c r="F45" i="5"/>
  <c r="F31" i="5"/>
  <c r="F20" i="5"/>
  <c r="F8" i="5"/>
  <c r="F50" i="5"/>
  <c r="F34" i="5"/>
  <c r="F36" i="5"/>
  <c r="F14" i="5"/>
  <c r="F15" i="5"/>
  <c r="F32" i="5"/>
  <c r="F26" i="5"/>
  <c r="F18" i="5"/>
  <c r="F52" i="5"/>
  <c r="F44" i="5"/>
  <c r="F19" i="5"/>
  <c r="F7" i="5"/>
  <c r="F25" i="5"/>
  <c r="F41" i="5"/>
  <c r="F35" i="5"/>
  <c r="F12" i="5"/>
  <c r="F42" i="5"/>
  <c r="F27" i="5"/>
  <c r="F9" i="5"/>
  <c r="F43" i="5"/>
  <c r="H37" i="5"/>
  <c r="D37" i="5"/>
  <c r="H38" i="5"/>
  <c r="D38" i="5"/>
  <c r="H45" i="5"/>
  <c r="D45" i="5"/>
  <c r="H31" i="5"/>
  <c r="D31" i="5"/>
  <c r="H20" i="5"/>
  <c r="D20" i="5"/>
  <c r="H8" i="5"/>
  <c r="D8" i="5"/>
  <c r="H50" i="5"/>
  <c r="D50" i="5"/>
  <c r="H34" i="5"/>
  <c r="D34" i="5"/>
  <c r="H36" i="5"/>
  <c r="D36" i="5"/>
  <c r="H14" i="5"/>
  <c r="D14" i="5"/>
  <c r="H15" i="5"/>
  <c r="D15" i="5"/>
  <c r="H32" i="5"/>
  <c r="D32" i="5"/>
  <c r="H26" i="5"/>
  <c r="D26" i="5"/>
  <c r="H18" i="5"/>
  <c r="D18" i="5"/>
  <c r="H52" i="5"/>
  <c r="D52" i="5"/>
  <c r="H44" i="5"/>
  <c r="D44" i="5"/>
  <c r="H19" i="5"/>
  <c r="D19" i="5"/>
  <c r="H7" i="5"/>
  <c r="D7" i="5"/>
  <c r="H25" i="5"/>
  <c r="D25" i="5"/>
  <c r="H41" i="5"/>
  <c r="D41" i="5"/>
  <c r="H35" i="5"/>
  <c r="D35" i="5"/>
  <c r="H12" i="5"/>
  <c r="D12" i="5"/>
  <c r="H42" i="5"/>
  <c r="D42" i="5"/>
  <c r="H27" i="5"/>
  <c r="D27" i="5"/>
  <c r="H9" i="5"/>
  <c r="D9" i="5"/>
  <c r="H43" i="5"/>
  <c r="D43" i="5"/>
  <c r="I37" i="6"/>
  <c r="F37" i="6"/>
  <c r="I38" i="6"/>
  <c r="F38" i="6"/>
  <c r="I45" i="6"/>
  <c r="F45" i="6"/>
  <c r="I31" i="6"/>
  <c r="F31" i="6"/>
  <c r="I20" i="6"/>
  <c r="F20" i="6"/>
  <c r="I8" i="6"/>
  <c r="F8" i="6"/>
  <c r="I50" i="6"/>
  <c r="F50" i="6"/>
  <c r="I34" i="6"/>
  <c r="F34" i="6"/>
  <c r="I36" i="6"/>
  <c r="F36" i="6"/>
  <c r="I14" i="6"/>
  <c r="F14" i="6"/>
  <c r="I15" i="6"/>
  <c r="F15" i="6"/>
  <c r="I32" i="6"/>
  <c r="F32" i="6"/>
  <c r="I26" i="6"/>
  <c r="F26" i="6"/>
  <c r="I18" i="6"/>
  <c r="F18" i="6"/>
  <c r="I52" i="6"/>
  <c r="F52" i="6"/>
  <c r="I44" i="6"/>
  <c r="F44" i="6"/>
  <c r="I19" i="6"/>
  <c r="F19" i="6"/>
  <c r="I7" i="6"/>
  <c r="F7" i="6"/>
  <c r="I25" i="6"/>
  <c r="F25" i="6"/>
  <c r="I41" i="6"/>
  <c r="F41" i="6"/>
  <c r="I35" i="6"/>
  <c r="F35" i="6"/>
  <c r="I12" i="6"/>
  <c r="F12" i="6"/>
  <c r="I42" i="6"/>
  <c r="F42" i="6"/>
  <c r="I27" i="6"/>
  <c r="F27" i="6"/>
  <c r="I9" i="6"/>
  <c r="F9" i="6"/>
  <c r="I43" i="6"/>
  <c r="F43" i="6"/>
  <c r="H37" i="6"/>
  <c r="D37" i="6"/>
  <c r="H38" i="6"/>
  <c r="D38" i="6"/>
  <c r="H45" i="6"/>
  <c r="D45" i="6"/>
  <c r="H31" i="6"/>
  <c r="D31" i="6"/>
  <c r="H20" i="6"/>
  <c r="D20" i="6"/>
  <c r="H8" i="6"/>
  <c r="D8" i="6"/>
  <c r="H50" i="6"/>
  <c r="D50" i="6"/>
  <c r="H34" i="6"/>
  <c r="D34" i="6"/>
  <c r="H36" i="6"/>
  <c r="D36" i="6"/>
  <c r="H14" i="6"/>
  <c r="D14" i="6"/>
  <c r="H15" i="6"/>
  <c r="D15" i="6"/>
  <c r="H32" i="6"/>
  <c r="D32" i="6"/>
  <c r="H26" i="6"/>
  <c r="D26" i="6"/>
  <c r="H18" i="6"/>
  <c r="D18" i="6"/>
  <c r="H52" i="6"/>
  <c r="D52" i="6"/>
  <c r="H44" i="6"/>
  <c r="D44" i="6"/>
  <c r="H19" i="6"/>
  <c r="D19" i="6"/>
  <c r="H7" i="6"/>
  <c r="D7" i="6"/>
  <c r="H25" i="6"/>
  <c r="D25" i="6"/>
  <c r="H41" i="6"/>
  <c r="D41" i="6"/>
  <c r="H35" i="6"/>
  <c r="D35" i="6"/>
  <c r="H12" i="6"/>
  <c r="D12" i="6"/>
  <c r="H42" i="6"/>
  <c r="D42" i="6"/>
  <c r="H27" i="6"/>
  <c r="D27" i="6"/>
  <c r="H9" i="6"/>
  <c r="D9" i="6"/>
  <c r="H43" i="6"/>
  <c r="D43" i="6"/>
  <c r="D45" i="3"/>
  <c r="D43" i="3"/>
  <c r="D41" i="3"/>
  <c r="D37" i="3"/>
  <c r="D35" i="3"/>
  <c r="D31" i="3"/>
  <c r="D27" i="3"/>
  <c r="D25" i="3"/>
  <c r="D19" i="3"/>
  <c r="D15" i="3"/>
  <c r="D9" i="3"/>
  <c r="D7" i="3"/>
  <c r="F54" i="3"/>
  <c r="F52" i="3"/>
  <c r="F50" i="3"/>
  <c r="F48" i="3"/>
  <c r="F46" i="3"/>
  <c r="F44" i="3"/>
  <c r="F42" i="3"/>
  <c r="F40" i="3"/>
  <c r="F38" i="3"/>
  <c r="F36" i="3"/>
  <c r="F34" i="3"/>
  <c r="F32" i="3"/>
  <c r="F30" i="3"/>
  <c r="F28" i="3"/>
  <c r="F26" i="3"/>
  <c r="F24" i="3"/>
  <c r="F22" i="3"/>
  <c r="F20" i="3"/>
  <c r="F18" i="3"/>
  <c r="F16" i="3"/>
  <c r="F14" i="3"/>
  <c r="F12" i="3"/>
  <c r="F10" i="3"/>
  <c r="F8" i="3"/>
  <c r="F6" i="3"/>
  <c r="F4" i="3"/>
  <c r="H54" i="3"/>
  <c r="H50" i="3"/>
  <c r="H46" i="3"/>
  <c r="H42" i="3"/>
  <c r="H33" i="3"/>
  <c r="H21" i="3"/>
  <c r="H29" i="3"/>
  <c r="H23" i="3"/>
  <c r="H6" i="3"/>
  <c r="H16" i="3"/>
  <c r="H5" i="3"/>
  <c r="H30" i="3"/>
  <c r="H49" i="3"/>
  <c r="H53" i="3"/>
  <c r="H28" i="3"/>
  <c r="H3" i="3"/>
  <c r="H39" i="3"/>
  <c r="H51" i="3"/>
  <c r="H10" i="3"/>
  <c r="H11" i="3"/>
  <c r="H24" i="3"/>
  <c r="H4" i="3"/>
  <c r="H22" i="3"/>
  <c r="H47" i="3"/>
  <c r="H17" i="3"/>
  <c r="H13" i="3"/>
  <c r="F33" i="5"/>
  <c r="F21" i="5"/>
  <c r="F29" i="5"/>
  <c r="F23" i="5"/>
  <c r="F6" i="5"/>
  <c r="F16" i="5"/>
  <c r="F40" i="5"/>
  <c r="F5" i="5"/>
  <c r="F30" i="5"/>
  <c r="F49" i="5"/>
  <c r="F53" i="5"/>
  <c r="F46" i="5"/>
  <c r="F28" i="5"/>
  <c r="I3" i="5"/>
  <c r="F3" i="5"/>
  <c r="F39" i="5"/>
  <c r="F51" i="5"/>
  <c r="F10" i="5"/>
  <c r="F11" i="5"/>
  <c r="F24" i="5"/>
  <c r="F4" i="5"/>
  <c r="F22" i="5"/>
  <c r="F54" i="5"/>
  <c r="F48" i="5"/>
  <c r="F47" i="5"/>
  <c r="F17" i="5"/>
  <c r="F13" i="5"/>
  <c r="H33" i="5"/>
  <c r="D33" i="5"/>
  <c r="H21" i="5"/>
  <c r="D21" i="5"/>
  <c r="H29" i="5"/>
  <c r="D29" i="5"/>
  <c r="H23" i="5"/>
  <c r="D23" i="5"/>
  <c r="H6" i="5"/>
  <c r="D6" i="5"/>
  <c r="H16" i="5"/>
  <c r="D16" i="5"/>
  <c r="H40" i="5"/>
  <c r="D40" i="5"/>
  <c r="H5" i="5"/>
  <c r="D5" i="5"/>
  <c r="H30" i="5"/>
  <c r="D30" i="5"/>
  <c r="H49" i="5"/>
  <c r="D49" i="5"/>
  <c r="H53" i="5"/>
  <c r="D53" i="5"/>
  <c r="H46" i="5"/>
  <c r="D46" i="5"/>
  <c r="H28" i="5"/>
  <c r="D28" i="5"/>
  <c r="H3" i="5"/>
  <c r="H39" i="5"/>
  <c r="D39" i="5"/>
  <c r="H51" i="5"/>
  <c r="D51" i="5"/>
  <c r="H10" i="5"/>
  <c r="D10" i="5"/>
  <c r="H11" i="5"/>
  <c r="D11" i="5"/>
  <c r="H24" i="5"/>
  <c r="D24" i="5"/>
  <c r="H4" i="5"/>
  <c r="D4" i="5"/>
  <c r="H22" i="5"/>
  <c r="D22" i="5"/>
  <c r="H54" i="5"/>
  <c r="D54" i="5"/>
  <c r="H48" i="5"/>
  <c r="D48" i="5"/>
  <c r="H47" i="5"/>
  <c r="D47" i="5"/>
  <c r="H17" i="5"/>
  <c r="D17" i="5"/>
  <c r="H13" i="5"/>
  <c r="D13" i="5"/>
  <c r="I33" i="6"/>
  <c r="F33" i="6"/>
  <c r="I21" i="6"/>
  <c r="F21" i="6"/>
  <c r="I29" i="6"/>
  <c r="F29" i="6"/>
  <c r="I23" i="6"/>
  <c r="F23" i="6"/>
  <c r="I6" i="6"/>
  <c r="F6" i="6"/>
  <c r="I16" i="6"/>
  <c r="F16" i="6"/>
  <c r="I40" i="6"/>
  <c r="F40" i="6"/>
  <c r="I5" i="6"/>
  <c r="F5" i="6"/>
  <c r="I30" i="6"/>
  <c r="F30" i="6"/>
  <c r="I49" i="6"/>
  <c r="F49" i="6"/>
  <c r="I53" i="6"/>
  <c r="F53" i="6"/>
  <c r="I46" i="6"/>
  <c r="F46" i="6"/>
  <c r="I28" i="6"/>
  <c r="F28" i="6"/>
  <c r="I3" i="6"/>
  <c r="F3" i="6"/>
  <c r="I39" i="6"/>
  <c r="F39" i="6"/>
  <c r="I51" i="6"/>
  <c r="F51" i="6"/>
  <c r="I10" i="6"/>
  <c r="F10" i="6"/>
  <c r="I11" i="6"/>
  <c r="F11" i="6"/>
  <c r="I24" i="6"/>
  <c r="F24" i="6"/>
  <c r="I4" i="6"/>
  <c r="F4" i="6"/>
  <c r="I22" i="6"/>
  <c r="F22" i="6"/>
  <c r="I54" i="6"/>
  <c r="F54" i="6"/>
  <c r="I48" i="6"/>
  <c r="F48" i="6"/>
  <c r="I47" i="6"/>
  <c r="F47" i="6"/>
  <c r="I17" i="6"/>
  <c r="F17" i="6"/>
  <c r="I13" i="6"/>
  <c r="F13" i="6"/>
  <c r="H33" i="6"/>
  <c r="D33" i="6"/>
  <c r="H21" i="6"/>
  <c r="D21" i="6"/>
  <c r="H29" i="6"/>
  <c r="D29" i="6"/>
  <c r="H23" i="6"/>
  <c r="D23" i="6"/>
  <c r="H6" i="6"/>
  <c r="D6" i="6"/>
  <c r="H16" i="6"/>
  <c r="D16" i="6"/>
  <c r="H40" i="6"/>
  <c r="D40" i="6"/>
  <c r="H5" i="6"/>
  <c r="D5" i="6"/>
  <c r="H30" i="6"/>
  <c r="D30" i="6"/>
  <c r="H49" i="6"/>
  <c r="D49" i="6"/>
  <c r="H53" i="6"/>
  <c r="D53" i="6"/>
  <c r="H46" i="6"/>
  <c r="D46" i="6"/>
  <c r="H28" i="6"/>
  <c r="D28" i="6"/>
  <c r="H3" i="6"/>
  <c r="H39" i="6"/>
  <c r="D39" i="6"/>
  <c r="H51" i="6"/>
  <c r="D51" i="6"/>
  <c r="H10" i="6"/>
  <c r="D10" i="6"/>
  <c r="H11" i="6"/>
  <c r="D11" i="6"/>
  <c r="H24" i="6"/>
  <c r="D24" i="6"/>
  <c r="H4" i="6"/>
  <c r="D4" i="6"/>
  <c r="H22" i="6"/>
  <c r="D22" i="6"/>
  <c r="H54" i="6"/>
  <c r="D54" i="6"/>
  <c r="H48" i="6"/>
  <c r="D48" i="6"/>
  <c r="H47" i="6"/>
  <c r="D47" i="6"/>
  <c r="H17" i="6"/>
  <c r="D17" i="6"/>
  <c r="H13" i="6"/>
  <c r="D13" i="6"/>
  <c r="D52" i="3"/>
  <c r="D48" i="3"/>
  <c r="D44" i="3"/>
  <c r="D40" i="3"/>
  <c r="D38" i="3"/>
  <c r="D36" i="3"/>
  <c r="D34" i="3"/>
  <c r="D32" i="3"/>
  <c r="D30" i="3"/>
  <c r="D28" i="3"/>
  <c r="D26" i="3"/>
  <c r="D24" i="3"/>
  <c r="D22" i="3"/>
  <c r="D20" i="3"/>
  <c r="D18" i="3"/>
  <c r="D16" i="3"/>
  <c r="D14" i="3"/>
  <c r="D12" i="3"/>
  <c r="D10" i="3"/>
  <c r="D8" i="3"/>
  <c r="D6" i="3"/>
  <c r="D4" i="3"/>
  <c r="F53" i="3"/>
  <c r="F51" i="3"/>
  <c r="F49" i="3"/>
  <c r="F47" i="3"/>
  <c r="F45" i="3"/>
  <c r="F43" i="3"/>
  <c r="F41" i="3"/>
  <c r="F39" i="3"/>
  <c r="F37" i="3"/>
  <c r="F35" i="3"/>
  <c r="F33" i="3"/>
  <c r="F31" i="3"/>
  <c r="F29" i="3"/>
  <c r="F27" i="3"/>
  <c r="F25" i="3"/>
  <c r="F23" i="3"/>
  <c r="F21" i="3"/>
  <c r="F19" i="3"/>
  <c r="F17" i="3"/>
  <c r="F15" i="3"/>
  <c r="F13" i="3"/>
  <c r="F11" i="3"/>
  <c r="F9" i="3"/>
  <c r="F7" i="3"/>
  <c r="F5" i="3"/>
  <c r="F3" i="3"/>
  <c r="I37" i="4"/>
  <c r="F37" i="4"/>
  <c r="I38" i="4"/>
  <c r="F38" i="4"/>
  <c r="I45" i="4"/>
  <c r="F45" i="4"/>
  <c r="I31" i="4"/>
  <c r="F31" i="4"/>
  <c r="I20" i="4"/>
  <c r="F20" i="4"/>
  <c r="I8" i="4"/>
  <c r="F8" i="4"/>
  <c r="I50" i="4"/>
  <c r="F50" i="4"/>
  <c r="I34" i="4"/>
  <c r="F34" i="4"/>
  <c r="I36" i="4"/>
  <c r="F36" i="4"/>
  <c r="I14" i="4"/>
  <c r="F14" i="4"/>
  <c r="I15" i="4"/>
  <c r="F15" i="4"/>
  <c r="I32" i="4"/>
  <c r="F32" i="4"/>
  <c r="I26" i="4"/>
  <c r="F26" i="4"/>
  <c r="I18" i="4"/>
  <c r="F18" i="4"/>
  <c r="I52" i="4"/>
  <c r="F52" i="4"/>
  <c r="I44" i="4"/>
  <c r="F44" i="4"/>
  <c r="I19" i="4"/>
  <c r="F19" i="4"/>
  <c r="I7" i="4"/>
  <c r="F7" i="4"/>
  <c r="I25" i="4"/>
  <c r="F25" i="4"/>
  <c r="I41" i="4"/>
  <c r="F41" i="4"/>
  <c r="I35" i="4"/>
  <c r="F35" i="4"/>
  <c r="I12" i="4"/>
  <c r="F12" i="4"/>
  <c r="I42" i="4"/>
  <c r="F42" i="4"/>
  <c r="I27" i="4"/>
  <c r="F27" i="4"/>
  <c r="I9" i="4"/>
  <c r="F9" i="4"/>
  <c r="I43" i="4"/>
  <c r="F43" i="4"/>
  <c r="H37" i="4"/>
  <c r="D37" i="4"/>
  <c r="H38" i="4"/>
  <c r="D38" i="4"/>
  <c r="H45" i="4"/>
  <c r="D45" i="4"/>
  <c r="H31" i="4"/>
  <c r="D31" i="4"/>
  <c r="H20" i="4"/>
  <c r="D20" i="4"/>
  <c r="H8" i="4"/>
  <c r="D8" i="4"/>
  <c r="H50" i="4"/>
  <c r="D50" i="4"/>
  <c r="H34" i="4"/>
  <c r="D34" i="4"/>
  <c r="H36" i="4"/>
  <c r="D36" i="4"/>
  <c r="H14" i="4"/>
  <c r="D14" i="4"/>
  <c r="H15" i="4"/>
  <c r="D15" i="4"/>
  <c r="I33" i="4"/>
  <c r="F33" i="4"/>
  <c r="I21" i="4"/>
  <c r="F21" i="4"/>
  <c r="I29" i="4"/>
  <c r="F29" i="4"/>
  <c r="I23" i="4"/>
  <c r="F23" i="4"/>
  <c r="I6" i="4"/>
  <c r="F6" i="4"/>
  <c r="I16" i="4"/>
  <c r="F16" i="4"/>
  <c r="I40" i="4"/>
  <c r="F40" i="4"/>
  <c r="I5" i="4"/>
  <c r="F5" i="4"/>
  <c r="I30" i="4"/>
  <c r="F30" i="4"/>
  <c r="I49" i="4"/>
  <c r="F49" i="4"/>
  <c r="I53" i="4"/>
  <c r="F53" i="4"/>
  <c r="I46" i="4"/>
  <c r="F46" i="4"/>
  <c r="I28" i="4"/>
  <c r="F28" i="4"/>
  <c r="I3" i="4"/>
  <c r="F3" i="4"/>
  <c r="I39" i="4"/>
  <c r="F39" i="4"/>
  <c r="I51" i="4"/>
  <c r="F51" i="4"/>
  <c r="I10" i="4"/>
  <c r="F10" i="4"/>
  <c r="I11" i="4"/>
  <c r="F11" i="4"/>
  <c r="I24" i="4"/>
  <c r="F24" i="4"/>
  <c r="I4" i="4"/>
  <c r="F4" i="4"/>
  <c r="I22" i="4"/>
  <c r="F22" i="4"/>
  <c r="I54" i="4"/>
  <c r="F54" i="4"/>
  <c r="I48" i="4"/>
  <c r="F48" i="4"/>
  <c r="I47" i="4"/>
  <c r="F47" i="4"/>
  <c r="I17" i="4"/>
  <c r="F17" i="4"/>
  <c r="I13" i="4"/>
  <c r="F13" i="4"/>
  <c r="H33" i="4"/>
  <c r="D33" i="4"/>
  <c r="H21" i="4"/>
  <c r="D21" i="4"/>
  <c r="H29" i="4"/>
  <c r="D29" i="4"/>
  <c r="H23" i="4"/>
  <c r="D23" i="4"/>
  <c r="H6" i="4"/>
  <c r="D6" i="4"/>
  <c r="D16" i="4"/>
  <c r="H16" i="4"/>
  <c r="H40" i="4"/>
  <c r="D40" i="4"/>
  <c r="H5" i="4"/>
  <c r="D5" i="4"/>
  <c r="H30" i="4"/>
  <c r="D30" i="4"/>
  <c r="H49" i="4"/>
  <c r="D49" i="4"/>
  <c r="H53" i="4"/>
  <c r="D53" i="4"/>
  <c r="H3" i="4"/>
  <c r="H39" i="4"/>
  <c r="H51" i="4"/>
  <c r="H47" i="4"/>
  <c r="H7" i="4"/>
  <c r="H9" i="4"/>
  <c r="D51" i="4"/>
  <c r="D47" i="4"/>
  <c r="D43" i="4"/>
  <c r="D41" i="4"/>
  <c r="D39" i="4"/>
  <c r="D35" i="4"/>
  <c r="D27" i="4"/>
  <c r="D25" i="4"/>
  <c r="D19" i="4"/>
  <c r="D9" i="4"/>
  <c r="D7" i="4"/>
  <c r="H43" i="4"/>
  <c r="H41" i="4"/>
  <c r="H35" i="4"/>
  <c r="H27" i="4"/>
  <c r="H25" i="4"/>
  <c r="H19" i="4"/>
  <c r="H12" i="4"/>
  <c r="H11" i="4"/>
  <c r="H4" i="4"/>
  <c r="H17" i="4"/>
  <c r="H13" i="4"/>
  <c r="D54" i="4"/>
  <c r="D52" i="4"/>
  <c r="D48" i="4"/>
  <c r="D46" i="4"/>
  <c r="D44" i="4"/>
  <c r="D42" i="4"/>
  <c r="D32" i="4"/>
  <c r="D28" i="4"/>
  <c r="D26" i="4"/>
  <c r="D24" i="4"/>
  <c r="D22" i="4"/>
  <c r="D18" i="4"/>
  <c r="D12" i="4"/>
  <c r="D10" i="4"/>
  <c r="D4" i="4"/>
  <c r="H54" i="4"/>
  <c r="H52" i="4"/>
  <c r="H48" i="4"/>
  <c r="H46" i="4"/>
  <c r="H44" i="4"/>
  <c r="H42" i="4"/>
  <c r="H32" i="4"/>
  <c r="H28" i="4"/>
  <c r="H26" i="4"/>
  <c r="H24" i="4"/>
  <c r="H22" i="4"/>
  <c r="H18" i="4"/>
  <c r="H10" i="4"/>
  <c r="C54" i="2" l="1"/>
  <c r="C53" i="2"/>
  <c r="C49" i="2"/>
  <c r="C48" i="2"/>
  <c r="C45" i="2"/>
  <c r="C43" i="2"/>
  <c r="C41" i="2"/>
  <c r="C39" i="2"/>
  <c r="C31" i="2"/>
  <c r="C37" i="2"/>
  <c r="C34" i="2"/>
  <c r="C36" i="2"/>
  <c r="C29" i="2"/>
  <c r="C25" i="2"/>
  <c r="C23" i="2"/>
  <c r="C21" i="2"/>
  <c r="C19" i="2"/>
  <c r="C18" i="2"/>
  <c r="C13" i="2"/>
  <c r="C10" i="2"/>
  <c r="C9" i="2"/>
  <c r="C7" i="2"/>
  <c r="C6" i="2"/>
  <c r="C4" i="2"/>
  <c r="C52" i="2"/>
  <c r="C51" i="2"/>
  <c r="C50" i="2"/>
  <c r="C46" i="2"/>
  <c r="C44" i="2"/>
  <c r="C42" i="2"/>
  <c r="C40" i="2"/>
  <c r="C38" i="2"/>
  <c r="C30" i="2"/>
  <c r="C35" i="2"/>
  <c r="C33" i="2"/>
  <c r="C32" i="2"/>
  <c r="C27" i="2"/>
  <c r="C26" i="2"/>
  <c r="C22" i="2"/>
  <c r="C24" i="2"/>
  <c r="C20" i="2"/>
  <c r="C15" i="2"/>
  <c r="C17" i="2"/>
  <c r="C14" i="2"/>
  <c r="C12" i="2"/>
  <c r="C11" i="2"/>
  <c r="C8" i="2"/>
  <c r="C5" i="2"/>
  <c r="C3" i="2"/>
  <c r="C47" i="2"/>
  <c r="G28" i="2"/>
  <c r="J47" i="2"/>
  <c r="J52" i="2"/>
  <c r="J51" i="2"/>
  <c r="J50" i="2"/>
  <c r="J46" i="2"/>
  <c r="J44" i="2"/>
  <c r="J42" i="2"/>
  <c r="J40" i="2"/>
  <c r="J38" i="2"/>
  <c r="J30" i="2"/>
  <c r="J35" i="2"/>
  <c r="J33" i="2"/>
  <c r="J32" i="2"/>
  <c r="J27" i="2"/>
  <c r="J26" i="2"/>
  <c r="J22" i="2"/>
  <c r="J24" i="2"/>
  <c r="J20" i="2"/>
  <c r="J15" i="2"/>
  <c r="J17" i="2"/>
  <c r="J14" i="2"/>
  <c r="J12" i="2"/>
  <c r="J11" i="2"/>
  <c r="J8" i="2"/>
  <c r="J5" i="2"/>
  <c r="J3" i="2"/>
  <c r="G47" i="2"/>
  <c r="E47" i="2"/>
  <c r="E52" i="2"/>
  <c r="G52" i="2"/>
  <c r="G51" i="2"/>
  <c r="E51" i="2"/>
  <c r="G50" i="2"/>
  <c r="E50" i="2"/>
  <c r="E46" i="2"/>
  <c r="G46" i="2"/>
  <c r="E44" i="2"/>
  <c r="G44" i="2"/>
  <c r="E42" i="2"/>
  <c r="G42" i="2"/>
  <c r="E40" i="2"/>
  <c r="G40" i="2"/>
  <c r="E38" i="2"/>
  <c r="G38" i="2"/>
  <c r="E30" i="2"/>
  <c r="G30" i="2"/>
  <c r="G35" i="2"/>
  <c r="E35" i="2"/>
  <c r="E33" i="2"/>
  <c r="G33" i="2"/>
  <c r="E32" i="2"/>
  <c r="G32" i="2"/>
  <c r="E27" i="2"/>
  <c r="G27" i="2"/>
  <c r="E26" i="2"/>
  <c r="G26" i="2"/>
  <c r="E22" i="2"/>
  <c r="G22" i="2"/>
  <c r="G24" i="2"/>
  <c r="E24" i="2"/>
  <c r="G20" i="2"/>
  <c r="E20" i="2"/>
  <c r="G15" i="2"/>
  <c r="E15" i="2"/>
  <c r="G17" i="2"/>
  <c r="E17" i="2"/>
  <c r="G14" i="2"/>
  <c r="E14" i="2"/>
  <c r="E12" i="2"/>
  <c r="G12" i="2"/>
  <c r="E11" i="2"/>
  <c r="G11" i="2"/>
  <c r="G8" i="2"/>
  <c r="E8" i="2"/>
  <c r="G5" i="2"/>
  <c r="E5" i="2"/>
  <c r="G3" i="2"/>
  <c r="E3" i="2"/>
  <c r="J54" i="2"/>
  <c r="J53" i="2"/>
  <c r="J49" i="2"/>
  <c r="J48" i="2"/>
  <c r="J45" i="2"/>
  <c r="J43" i="2"/>
  <c r="J41" i="2"/>
  <c r="J39" i="2"/>
  <c r="J31" i="2"/>
  <c r="J37" i="2"/>
  <c r="J34" i="2"/>
  <c r="J36" i="2"/>
  <c r="J29" i="2"/>
  <c r="J25" i="2"/>
  <c r="J23" i="2"/>
  <c r="J21" i="2"/>
  <c r="J19" i="2"/>
  <c r="J18" i="2"/>
  <c r="J16" i="2"/>
  <c r="J13" i="2"/>
  <c r="J10" i="2"/>
  <c r="J9" i="2"/>
  <c r="J7" i="2"/>
  <c r="J6" i="2"/>
  <c r="J4" i="2"/>
  <c r="G54" i="2"/>
  <c r="E54" i="2"/>
  <c r="G53" i="2"/>
  <c r="E53" i="2"/>
  <c r="G49" i="2"/>
  <c r="E49" i="2"/>
  <c r="G48" i="2"/>
  <c r="E48" i="2"/>
  <c r="E45" i="2"/>
  <c r="G45" i="2"/>
  <c r="E43" i="2"/>
  <c r="G43" i="2"/>
  <c r="E41" i="2"/>
  <c r="G41" i="2"/>
  <c r="G39" i="2"/>
  <c r="E39" i="2"/>
  <c r="E31" i="2"/>
  <c r="G31" i="2"/>
  <c r="G37" i="2"/>
  <c r="E37" i="2"/>
  <c r="G34" i="2"/>
  <c r="E34" i="2"/>
  <c r="E36" i="2"/>
  <c r="G36" i="2"/>
  <c r="E29" i="2"/>
  <c r="G29" i="2"/>
  <c r="G25" i="2"/>
  <c r="E25" i="2"/>
  <c r="G23" i="2"/>
  <c r="E23" i="2"/>
  <c r="E21" i="2"/>
  <c r="G21" i="2"/>
  <c r="G19" i="2"/>
  <c r="E19" i="2"/>
  <c r="E18" i="2"/>
  <c r="G18" i="2"/>
  <c r="E16" i="2"/>
  <c r="G16" i="2"/>
  <c r="E13" i="2"/>
  <c r="G13" i="2"/>
  <c r="E10" i="2"/>
  <c r="G10" i="2"/>
  <c r="E9" i="2"/>
  <c r="G9" i="2"/>
  <c r="G7" i="2"/>
  <c r="E7" i="2"/>
  <c r="G6" i="2"/>
  <c r="E6" i="2"/>
  <c r="G4" i="2"/>
  <c r="E4" i="2"/>
  <c r="E4" i="1" l="1"/>
  <c r="L4" i="2" l="1"/>
  <c r="N4" i="2"/>
</calcChain>
</file>

<file path=xl/sharedStrings.xml><?xml version="1.0" encoding="utf-8"?>
<sst xmlns="http://schemas.openxmlformats.org/spreadsheetml/2006/main" count="1029" uniqueCount="221">
  <si>
    <t>Code</t>
  </si>
  <si>
    <t xml:space="preserve">State </t>
  </si>
  <si>
    <t>Population</t>
  </si>
  <si>
    <t xml:space="preserve">Potentially Eligible Population </t>
  </si>
  <si>
    <t xml:space="preserve">Eligible Population </t>
  </si>
  <si>
    <t>Total Expenditures</t>
  </si>
  <si>
    <t>US</t>
  </si>
  <si>
    <t>United States</t>
  </si>
  <si>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</si>
  <si>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</si>
  <si>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</si>
  <si>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</si>
  <si>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</si>
  <si>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</si>
  <si>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</si>
  <si>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</si>
  <si>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</si>
  <si>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</si>
  <si>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</si>
  <si>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</si>
  <si>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</si>
  <si>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</si>
  <si>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</si>
  <si>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</si>
  <si>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</si>
  <si>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</si>
  <si>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</si>
  <si>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</si>
  <si>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</si>
  <si>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</si>
  <si>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</si>
  <si>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</si>
  <si>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</si>
  <si>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</si>
  <si>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</si>
  <si>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</si>
  <si>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</si>
  <si>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</si>
  <si>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</si>
  <si>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</si>
  <si>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</si>
  <si>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</si>
  <si>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</si>
  <si>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</si>
  <si>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</si>
  <si>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</si>
  <si>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</si>
  <si>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</si>
  <si>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</si>
  <si>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</si>
  <si>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</si>
  <si>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</si>
  <si>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</si>
  <si>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</si>
  <si>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</si>
  <si>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</si>
  <si>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</si>
  <si>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</si>
  <si>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</si>
  <si>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</si>
  <si>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</si>
  <si>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</si>
  <si>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</si>
  <si>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</si>
  <si>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</si>
  <si>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</si>
  <si>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</si>
  <si>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</si>
  <si>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</si>
  <si>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</si>
  <si>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</si>
  <si>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</si>
  <si>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</si>
  <si>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</si>
  <si>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</si>
  <si>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</si>
  <si>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</si>
  <si>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</si>
  <si>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</si>
  <si>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</si>
  <si>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</si>
  <si>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</si>
  <si>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</si>
  <si>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</si>
  <si>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</si>
  <si>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</si>
  <si>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</si>
  <si>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</si>
  <si>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</si>
  <si>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</si>
  <si>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</si>
  <si>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</si>
  <si>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</si>
  <si>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</si>
  <si>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</si>
  <si>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</si>
  <si>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</si>
  <si>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</si>
  <si>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</si>
  <si>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</si>
  <si>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</si>
  <si>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</si>
  <si>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</si>
  <si>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</si>
  <si>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</si>
  <si>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</si>
  <si>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</si>
  <si>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</si>
  <si>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</si>
  <si>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</si>
  <si>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Recipients</t>
  </si>
  <si>
    <t>(1)</t>
  </si>
  <si>
    <t>(2)</t>
  </si>
  <si>
    <t>Spending Per Capita</t>
  </si>
  <si>
    <t>=</t>
  </si>
  <si>
    <t>Recipient Per Capita</t>
  </si>
  <si>
    <t>*</t>
  </si>
  <si>
    <t>Spending Per Recipient</t>
  </si>
  <si>
    <t>Recipients Per Capita</t>
  </si>
  <si>
    <t>Potentially Eligible Population Per Capita</t>
  </si>
  <si>
    <t>Eligible Population Per Potentially Elegible Population</t>
  </si>
  <si>
    <t xml:space="preserve">Recipient Per Eligible Population </t>
  </si>
  <si>
    <t xml:space="preserve">Term </t>
  </si>
  <si>
    <t>Source</t>
  </si>
  <si>
    <t>U.S. and state population</t>
  </si>
  <si>
    <t>Expenditures</t>
  </si>
  <si>
    <t>Potentially Eligible Population</t>
  </si>
  <si>
    <t>Eligible Population</t>
  </si>
  <si>
    <t>Federal and state spending on Medicaid</t>
  </si>
  <si>
    <t>Federal and state spending on Medicaid for children age 0 - 18</t>
  </si>
  <si>
    <t>U.S. and state population of non-disabled adults age 19 - 64</t>
  </si>
  <si>
    <t>The population of low-income non-disabled adults age 19 - 64 in the U.S. and each state, defined as having household incomes below 200% FPL</t>
  </si>
  <si>
    <t>The population of non-disabled adults age 19 - 64 eligible for Medicaid in the U.S. and each state, according to current federal and state eligibility rules</t>
  </si>
  <si>
    <t>The population of non-disabled adults age 19 - 64 enrolled in Medicaid in the U.S. and each state.</t>
  </si>
  <si>
    <t>Federal and state spending on Medicaid for non-disabled adults age 19 - 64</t>
  </si>
  <si>
    <t>U.S. and state population of elderly adults age 65 and over</t>
  </si>
  <si>
    <t>The population of low-income elderly adults age 65 and over in the U.S. and each state, defined as having household incomes below 200% FPL</t>
  </si>
  <si>
    <t>The population of elderly adults age 65 and over eligible for Medicaid in the U.S. and each state, according to current federal and state eligibility rules</t>
  </si>
  <si>
    <t>The population of elderly adults age 65 and over enrolled in Medicaid in the U.S. and each state.</t>
  </si>
  <si>
    <t>Federal and state spending on Medicaid for elderly adults age 65 and over</t>
  </si>
  <si>
    <t>Spending per capita</t>
  </si>
  <si>
    <t>Expenditures/Population</t>
  </si>
  <si>
    <t>Recipients per capita</t>
  </si>
  <si>
    <t>Recipients/Population</t>
  </si>
  <si>
    <t>Spending per recipient</t>
  </si>
  <si>
    <t>Expenditures/Recipients</t>
  </si>
  <si>
    <t>Potentially Eligible Population/Population</t>
  </si>
  <si>
    <t>Eligible Population Per Potentially Eligible Population</t>
  </si>
  <si>
    <t>Function of generosity of state eligibility rules</t>
  </si>
  <si>
    <t>Recipient per Eligible Population</t>
  </si>
  <si>
    <t>Recipients/Eligible Population</t>
  </si>
  <si>
    <t>Ratios</t>
  </si>
  <si>
    <t>Total (All subroups)</t>
  </si>
  <si>
    <t>Subgroup 2: Non-disabled Adults (19 - 64)</t>
  </si>
  <si>
    <t>Subgroup 4: Elderly (65 and over)</t>
  </si>
  <si>
    <t>Total (All Subgroups)</t>
  </si>
  <si>
    <t>Subgroup 2: Non-disabled adults (19 - 64)</t>
  </si>
  <si>
    <t>Subgroup 4: Elderly adults (65 and over)</t>
  </si>
  <si>
    <t>Function of service utilization and price per service, not decomposed here.</t>
  </si>
  <si>
    <t>Takeup rate, function of state outreach and application practices, as well as other internal conditions unique to each state.</t>
  </si>
  <si>
    <t>Share of Population</t>
  </si>
  <si>
    <t>Subgroup population/Total Population</t>
  </si>
  <si>
    <t>Function of demographics.</t>
  </si>
  <si>
    <t xml:space="preserve">Description </t>
  </si>
  <si>
    <t>The total population eligible for Medicaid in the U.S. and each state, according to current federal and state eligibility rules</t>
  </si>
  <si>
    <t>Link</t>
  </si>
  <si>
    <t>http://kff.org/medicaid/state-indicator/medicaid-spending-by-enrollment-group/</t>
  </si>
  <si>
    <t>Urban Institute TRIM3, CY 2010</t>
  </si>
  <si>
    <t>http://trim3.urban.org/T3Welcome.php</t>
  </si>
  <si>
    <t>Subgroup 1: Non-disabled Children (0 - 18)</t>
  </si>
  <si>
    <t>Subgroup 3: Disabled Adults and Children (0 - 64)</t>
  </si>
  <si>
    <t>The population of children age 0 - 18 eligible for Medicaid or CHIP in the U.S. and each state, according to current federal and state eligibility rules</t>
  </si>
  <si>
    <t>U.S. and state population of children age 0 - 18 without a disability</t>
  </si>
  <si>
    <t>Notes</t>
  </si>
  <si>
    <t>TRIM3 Medicaid and CHIP participation data are currently unavailable for CYs 2011 and 2012. The most recent participation data avialable through TRIM3 are for CY 2010. To maintain consistency, we also used eligibility estimates for CY 2010.</t>
  </si>
  <si>
    <t>TRIM3 Medicaid and CHIP participation data are currently unavailable for CYs 2011 and 2012. The most recent participation data avialable through TRIM3 are for CY 2010.</t>
  </si>
  <si>
    <t>The population of children age 0 - 18 participating in Medicaid in the U.S. and each state.</t>
  </si>
  <si>
    <t>Kaiser Family Foundation and Urban Institute analysis of CMS-64 and MSIS from FY 2011</t>
  </si>
  <si>
    <t>Subgroup 3: Disabled adults and children (0 - 64)</t>
  </si>
  <si>
    <t>U.S. and state population of disabled adults and children age 0 - 64</t>
  </si>
  <si>
    <t>The population of low-income disabled adults and children age 0 - 64 in the U.S. and each state, defined as having household incomes below 200% FPL</t>
  </si>
  <si>
    <t>The population of disabled adults and children age 0 - 64 eligible for Medicaid in the U.S. and each state, according to current federal and state eligibility rules</t>
  </si>
  <si>
    <t>The population of disabled adults and children age 0 - 64 enrolled in Medicaid in the U.S. and each state.</t>
  </si>
  <si>
    <t>Federal and state spending on Medicaid for disabled adults and children age 0 - 64</t>
  </si>
  <si>
    <t>Share of Total Population</t>
  </si>
  <si>
    <t>Managed Care Expenditures (FY 2011)</t>
  </si>
  <si>
    <t>Medicaid Fee Index (2012)</t>
  </si>
  <si>
    <t>Primary Care</t>
  </si>
  <si>
    <t>All Services</t>
  </si>
  <si>
    <t>Obstetric Care</t>
  </si>
  <si>
    <t>Other Services</t>
  </si>
  <si>
    <t>Medicaid-to-Medicare Fee Index (2012)</t>
  </si>
  <si>
    <t>Urban Institute TRIM3 estimates, using CPS, CY 2010</t>
  </si>
  <si>
    <t>Urban Institute TRIM3 estimates, using CPS, 2-year average (2010 - 2011)</t>
  </si>
  <si>
    <t>The population of low-income persons in the U.S. and each state, defined as having household income below 200% FPL</t>
  </si>
  <si>
    <t>Average monthly counts of the population enrolled in Medicaid in the U.S. and each state.</t>
  </si>
  <si>
    <t>Administrative data adjusted to match the TRIM3 and CPS eligibility universe</t>
  </si>
  <si>
    <t>The population of low-income children age 0 - 18 in the U.S. and each state, defined as having household income below 200% FPL</t>
  </si>
  <si>
    <t>Administrative data adjusted to match the TRIM3 and CPS eligibility universe, CY 2010</t>
  </si>
  <si>
    <t>CY 2010 is the most recent year for which caseload data are available.</t>
  </si>
  <si>
    <t>We used 2010 - 2011 estimates to align with FY 2011 expenditure data.</t>
  </si>
  <si>
    <t>Other</t>
  </si>
  <si>
    <t>Group</t>
  </si>
  <si>
    <t>We used 2010 - 2011 estimates to align with FY 2011 expenditure data. Margins of error are present.</t>
  </si>
  <si>
    <t>CY 2010 is the most recent year for which caseload data are available, so we used CY 2010 eligibility estimates to align with the recipient data. Margins of error may be higher than usual from using single-year estimates</t>
  </si>
  <si>
    <t>Medicaid expenditure data for FY 2012 from the MSIS are currently unavailable. Additionall, the state spending data do not sum to the national total due to ommission of cells with fewer than 50 enrollees for data security purposes. See Kaiser website for additional data footnotes.</t>
  </si>
  <si>
    <t>Administrative data from TRIM3 and Urban's Income and Benefits Policy Center</t>
  </si>
  <si>
    <t>Function of how many people are enrolled and how much money is being spent per enrollee. For subgroups, per capita refers is equivalent to per person in that subgroup.</t>
  </si>
  <si>
    <t>Function of demographics, eligibility rules, and takeup rate. For subgroups, per capita refers is equivalent to per person in that subgroup.</t>
  </si>
  <si>
    <t>Function of demographic conditions, i.e. the number of people who likely need services. For subgroups, per capita refers is equivalent to per person in that subgroup.</t>
  </si>
  <si>
    <t>Eligible population/Potentially Eligible Population</t>
  </si>
  <si>
    <t>Medicaid Managed Care Expenditures</t>
  </si>
  <si>
    <t>Total Spending on MCOs.</t>
  </si>
  <si>
    <t>Summed from disaggregated state numbers in the CMS-64 files, FY 2011.</t>
  </si>
  <si>
    <t>I tried to track down enrollment counts, as well, but could not find a source that aligned with the CMS-64 spending data. If we want to do an analysis of managed care enrollment, this may require access to MSIS or another data source. I would check with the Health Policy Center people before moving forward with this. I (Megan) left it in here because I totalled the numbers, and thought it would be good to have just in case.</t>
  </si>
  <si>
    <t>Medicaid Fee Index</t>
  </si>
  <si>
    <r>
      <t xml:space="preserve">Stephen Zuckerman and Dana Zoin, </t>
    </r>
    <r>
      <rPr>
        <i/>
        <sz val="11"/>
        <color theme="1"/>
        <rFont val="Calibri"/>
        <family val="2"/>
        <scheme val="minor"/>
      </rPr>
      <t>How Much Will Medicaid Physician Fees for Primary Care Rise in 2013? Evidence from a 2012 Survey of Medicaid Physician Fees</t>
    </r>
    <r>
      <rPr>
        <sz val="11"/>
        <color theme="1"/>
        <rFont val="Calibri"/>
        <family val="2"/>
        <scheme val="minor"/>
      </rPr>
      <t>, Urban Institute and Kaiser Family Foundation, December 2012.</t>
    </r>
  </si>
  <si>
    <t>Shows how each state’s fees compare to national average Medicaid fees for the surveyed services.</t>
  </si>
  <si>
    <t>I could not locate a prior number for 2010 or 2011. It is possible that Urban has the 2011 index internally, but I could not locate it in a publication.</t>
  </si>
  <si>
    <t>Medicaid-to-Medicare Fee Index</t>
  </si>
  <si>
    <t>Ratio of a state’s Medicaid fees to Medicare’s fees for the same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</si>
</sst>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quot;$&quot;* #,##0_);_(&quot;$&quot;* \(#,##0\);_(&quot;$&quot;* &quot;-&quot;??_);_(@_)"/>
  </numFmts>
  <fonts count="9" x14ac:knownFonts="1">
    <font>
      <sz val="11"/>
      <color theme="1"/>
      <name val="Calibri"/>
      <family val="2"/>
      <scheme val="minor"/>
    </font>
    <font>
      <sz val="11"/>
      <color theme="1"/>
      <name val="Calibri"/>
      <family val="2"/>
      <scheme val="minor"/>
    </font>
    <font>
      <b/>
      <sz val="11"/>
      <name val="Cambria"/>
      <family val="1"/>
      <scheme val="major"/>
    </font>
    <font>
      <sz val="11"/>
      <name val="Cambria"/>
      <family val="1"/>
      <scheme val="major"/>
    </font>
    <font>
      <b/>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ck">
        <color indexed="64"/>
      </right>
      <top style="thin">
        <color indexed="64"/>
      </top>
      <bottom/>
      <diagonal/>
    </border>
    <border>
      <left style="thin">
        <color indexed="64"/>
      </left>
      <right style="thin">
        <color indexed="64"/>
      </right>
      <top style="thin">
        <color indexed="64"/>
      </top>
      <bottom/>
      <diagonal/>
    </border>
    <border>
      <left/>
      <right style="thick">
        <color auto="1"/>
      </right>
      <top/>
      <bottom/>
      <diagonal/>
    </border>
    <border>
      <left style="thin">
        <color indexed="64"/>
      </left>
      <right style="thick">
        <color auto="1"/>
      </right>
      <top style="thin">
        <color indexed="64"/>
      </top>
      <bottom/>
      <diagonal/>
    </border>
    <border>
      <left/>
      <right style="thick">
        <color auto="1"/>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diagonal/>
    </border>
    <border>
      <left/>
      <right style="thick">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ck">
        <color indexed="64"/>
      </right>
      <top/>
      <bottom style="thin">
        <color indexed="64"/>
      </bottom>
      <diagonal/>
    </border>
  </borders>
  <cellStyleXfs count="3">
    <xf numFmtId="0" fontId="0" fillId="0" borderId="0"/>
    <xf numFmtId="43" fontId="1" fillId="0" borderId="0" applyFont="0" applyFill="0" applyBorder="0" applyAlignment="0" applyProtection="0"/>
    <xf numFmtId="0" fontId="8" fillId="0" borderId="0" applyNumberFormat="0" applyFill="0" applyBorder="0" applyAlignment="0" applyProtection="0"/>
  </cellStyleXfs>
  <cellXfs count="150">
    <xf numFmtId="0" fontId="0" fillId="0" borderId="0" xfId="0"/>
    <xf numFmtId="0" fontId="2" fillId="0" borderId="1" xfId="0" applyFont="1" applyBorder="1" applyAlignment="1">
      <alignment horizontal="center"/>
    </xf>
    <xf numFmtId="164" fontId="0" fillId="0" borderId="0" xfId="1" applyNumberFormat="1" applyFont="1"/>
    <xf numFmtId="0" fontId="3" fillId="0" borderId="0" xfId="0" applyFont="1"/>
    <xf numFmtId="43" fontId="0" fillId="0" borderId="0" xfId="1" applyFont="1" applyBorder="1"/>
    <xf numFmtId="43" fontId="0" fillId="0" borderId="11" xfId="1" applyFont="1" applyBorder="1"/>
    <xf numFmtId="165" fontId="0" fillId="0" borderId="8" xfId="1" applyNumberFormat="1" applyFont="1" applyBorder="1"/>
    <xf numFmtId="165" fontId="0" fillId="0" borderId="0" xfId="0" applyNumberFormat="1"/>
    <xf numFmtId="165" fontId="0" fillId="0" borderId="9" xfId="1" applyNumberFormat="1" applyFont="1" applyBorder="1"/>
    <xf numFmtId="0" fontId="2" fillId="0" borderId="1" xfId="0" applyFont="1" applyBorder="1" applyAlignment="1">
      <alignment horizontal="center" wrapText="1"/>
    </xf>
    <xf numFmtId="165" fontId="2" fillId="0" borderId="1" xfId="0" applyNumberFormat="1" applyFont="1" applyBorder="1" applyAlignment="1">
      <alignment horizontal="center" wrapText="1"/>
    </xf>
    <xf numFmtId="0" fontId="0" fillId="0" borderId="0" xfId="0" applyAlignment="1">
      <alignment wrapText="1"/>
    </xf>
    <xf numFmtId="165" fontId="0" fillId="0" borderId="13" xfId="1" applyNumberFormat="1" applyFont="1" applyBorder="1"/>
    <xf numFmtId="2" fontId="2" fillId="0" borderId="1" xfId="0" applyNumberFormat="1" applyFont="1" applyBorder="1" applyAlignment="1">
      <alignment horizontal="center" wrapText="1"/>
    </xf>
    <xf numFmtId="2" fontId="0" fillId="0" borderId="8" xfId="1" applyNumberFormat="1" applyFont="1" applyBorder="1"/>
    <xf numFmtId="2" fontId="0" fillId="0" borderId="0" xfId="0" applyNumberFormat="1"/>
    <xf numFmtId="0" fontId="4" fillId="0" borderId="0" xfId="0" applyFont="1"/>
    <xf numFmtId="0" fontId="2" fillId="0" borderId="14" xfId="0" applyFont="1" applyBorder="1" applyAlignment="1">
      <alignment horizontal="center"/>
    </xf>
    <xf numFmtId="165" fontId="0" fillId="0" borderId="15" xfId="1" applyNumberFormat="1" applyFont="1" applyBorder="1"/>
    <xf numFmtId="0" fontId="0" fillId="0" borderId="3" xfId="0" applyBorder="1" applyAlignment="1"/>
    <xf numFmtId="0" fontId="0" fillId="0" borderId="3" xfId="0" applyBorder="1" applyAlignment="1">
      <alignment wrapText="1"/>
    </xf>
    <xf numFmtId="0" fontId="0" fillId="0" borderId="4" xfId="0" applyBorder="1" applyAlignment="1">
      <alignment wrapText="1"/>
    </xf>
    <xf numFmtId="0" fontId="0" fillId="0" borderId="0" xfId="0" applyBorder="1"/>
    <xf numFmtId="0" fontId="0" fillId="0" borderId="0" xfId="0" applyBorder="1" applyAlignment="1">
      <alignment wrapText="1"/>
    </xf>
    <xf numFmtId="0" fontId="0" fillId="0" borderId="9" xfId="0" applyBorder="1" applyAlignment="1">
      <alignment wrapText="1"/>
    </xf>
    <xf numFmtId="0" fontId="0" fillId="0" borderId="9" xfId="0" applyBorder="1"/>
    <xf numFmtId="0" fontId="0" fillId="0" borderId="11" xfId="0" applyBorder="1" applyAlignment="1">
      <alignment wrapText="1"/>
    </xf>
    <xf numFmtId="0" fontId="0" fillId="0" borderId="12" xfId="0" applyBorder="1" applyAlignment="1">
      <alignment wrapText="1"/>
    </xf>
    <xf numFmtId="0" fontId="0" fillId="0" borderId="0" xfId="0" applyBorder="1" applyAlignment="1"/>
    <xf numFmtId="0" fontId="0" fillId="0" borderId="0" xfId="0" applyFill="1" applyBorder="1" applyAlignment="1">
      <alignment wrapText="1"/>
    </xf>
    <xf numFmtId="0" fontId="0" fillId="0" borderId="11" xfId="0" applyFill="1" applyBorder="1" applyAlignment="1">
      <alignment wrapText="1"/>
    </xf>
    <xf numFmtId="0" fontId="2" fillId="0" borderId="5" xfId="0" applyFont="1" applyBorder="1" applyAlignment="1">
      <alignment horizontal="center"/>
    </xf>
    <xf numFmtId="0" fontId="0" fillId="0" borderId="9" xfId="0" applyFill="1" applyBorder="1"/>
    <xf numFmtId="0" fontId="0" fillId="0" borderId="0" xfId="0" applyFill="1"/>
    <xf numFmtId="0" fontId="2" fillId="0" borderId="14" xfId="0" applyFont="1" applyFill="1" applyBorder="1" applyAlignment="1">
      <alignment horizontal="center"/>
    </xf>
    <xf numFmtId="0" fontId="2" fillId="0" borderId="4" xfId="0" applyFont="1" applyFill="1" applyBorder="1" applyAlignment="1">
      <alignment horizontal="center"/>
    </xf>
    <xf numFmtId="164" fontId="0" fillId="0" borderId="0" xfId="1" applyNumberFormat="1" applyFont="1" applyFill="1" applyBorder="1"/>
    <xf numFmtId="164" fontId="0" fillId="0" borderId="0" xfId="1" applyNumberFormat="1" applyFont="1" applyBorder="1"/>
    <xf numFmtId="165" fontId="0" fillId="0" borderId="0" xfId="1" applyNumberFormat="1" applyFont="1" applyBorder="1"/>
    <xf numFmtId="164" fontId="0" fillId="0" borderId="2" xfId="1" applyNumberFormat="1" applyFont="1" applyFill="1" applyBorder="1"/>
    <xf numFmtId="164" fontId="0" fillId="0" borderId="3" xfId="1" applyNumberFormat="1" applyFont="1" applyFill="1" applyBorder="1"/>
    <xf numFmtId="164" fontId="0" fillId="0" borderId="3" xfId="1" applyNumberFormat="1" applyFont="1" applyBorder="1"/>
    <xf numFmtId="165" fontId="0" fillId="0" borderId="4" xfId="1" applyNumberFormat="1" applyFont="1" applyBorder="1"/>
    <xf numFmtId="164" fontId="0" fillId="0" borderId="8" xfId="1" applyNumberFormat="1" applyFont="1" applyFill="1" applyBorder="1"/>
    <xf numFmtId="164" fontId="0" fillId="0" borderId="10" xfId="1" applyNumberFormat="1" applyFont="1" applyFill="1" applyBorder="1"/>
    <xf numFmtId="164" fontId="0" fillId="0" borderId="11" xfId="1" applyNumberFormat="1" applyFont="1" applyFill="1" applyBorder="1"/>
    <xf numFmtId="164" fontId="0" fillId="0" borderId="11" xfId="1" applyNumberFormat="1" applyFont="1" applyBorder="1"/>
    <xf numFmtId="165" fontId="0" fillId="0" borderId="12" xfId="1" applyNumberFormat="1" applyFont="1" applyBorder="1"/>
    <xf numFmtId="0" fontId="2" fillId="0" borderId="16" xfId="0" applyFont="1" applyBorder="1" applyAlignment="1">
      <alignment horizontal="center"/>
    </xf>
    <xf numFmtId="165" fontId="0" fillId="0" borderId="17" xfId="1" applyNumberFormat="1" applyFont="1" applyBorder="1"/>
    <xf numFmtId="0" fontId="0" fillId="0" borderId="15" xfId="0" applyBorder="1"/>
    <xf numFmtId="165" fontId="2" fillId="0" borderId="7" xfId="0" applyNumberFormat="1" applyFont="1" applyBorder="1" applyAlignment="1">
      <alignment horizontal="center" wrapText="1"/>
    </xf>
    <xf numFmtId="165" fontId="2" fillId="0" borderId="18" xfId="0" applyNumberFormat="1" applyFont="1" applyBorder="1" applyAlignment="1">
      <alignment horizontal="center" wrapText="1"/>
    </xf>
    <xf numFmtId="165" fontId="0" fillId="0" borderId="15" xfId="0" applyNumberFormat="1" applyBorder="1"/>
    <xf numFmtId="43" fontId="0" fillId="0" borderId="0" xfId="0" applyNumberFormat="1"/>
    <xf numFmtId="0" fontId="2" fillId="0" borderId="7" xfId="0" applyFont="1" applyBorder="1" applyAlignment="1">
      <alignment horizontal="center" wrapText="1"/>
    </xf>
    <xf numFmtId="0" fontId="2" fillId="0" borderId="18" xfId="0" applyFont="1" applyBorder="1" applyAlignment="1">
      <alignment horizontal="center"/>
    </xf>
    <xf numFmtId="0" fontId="2" fillId="0" borderId="18" xfId="0" applyFont="1" applyBorder="1" applyAlignment="1">
      <alignment horizontal="center" wrapText="1"/>
    </xf>
    <xf numFmtId="2" fontId="0" fillId="0" borderId="0" xfId="1" applyNumberFormat="1" applyFont="1" applyBorder="1"/>
    <xf numFmtId="164" fontId="2" fillId="0" borderId="1" xfId="1" applyNumberFormat="1" applyFont="1" applyBorder="1" applyAlignment="1">
      <alignment horizontal="center" wrapText="1"/>
    </xf>
    <xf numFmtId="164" fontId="2" fillId="0" borderId="7" xfId="1" applyNumberFormat="1" applyFont="1" applyBorder="1" applyAlignment="1">
      <alignment horizontal="center" wrapText="1"/>
    </xf>
    <xf numFmtId="0" fontId="0" fillId="0" borderId="0" xfId="0" applyFill="1" applyBorder="1"/>
    <xf numFmtId="0" fontId="0" fillId="0" borderId="4" xfId="0" applyBorder="1"/>
    <xf numFmtId="0" fontId="0" fillId="0" borderId="12" xfId="0" applyBorder="1"/>
    <xf numFmtId="43" fontId="0" fillId="0" borderId="15" xfId="1" applyFont="1" applyBorder="1"/>
    <xf numFmtId="0" fontId="3" fillId="0" borderId="2" xfId="0" applyFont="1" applyBorder="1"/>
    <xf numFmtId="0" fontId="3" fillId="0" borderId="3" xfId="0" applyFont="1" applyBorder="1"/>
    <xf numFmtId="165" fontId="0" fillId="0" borderId="2" xfId="1" applyNumberFormat="1" applyFont="1" applyBorder="1"/>
    <xf numFmtId="43" fontId="0" fillId="0" borderId="3" xfId="1" applyFont="1" applyBorder="1"/>
    <xf numFmtId="0" fontId="3" fillId="0" borderId="8" xfId="0" applyFont="1" applyBorder="1"/>
    <xf numFmtId="0" fontId="3" fillId="0" borderId="0" xfId="0" applyFont="1" applyBorder="1"/>
    <xf numFmtId="0" fontId="3" fillId="0" borderId="10" xfId="0" applyFont="1" applyBorder="1"/>
    <xf numFmtId="0" fontId="3" fillId="0" borderId="11" xfId="0" applyFont="1" applyBorder="1"/>
    <xf numFmtId="165" fontId="0" fillId="0" borderId="10" xfId="1" applyNumberFormat="1" applyFont="1" applyBorder="1"/>
    <xf numFmtId="165" fontId="0" fillId="0" borderId="9" xfId="0" applyNumberFormat="1" applyBorder="1"/>
    <xf numFmtId="43" fontId="0" fillId="0" borderId="13" xfId="1" applyFont="1" applyBorder="1"/>
    <xf numFmtId="43" fontId="0" fillId="0" borderId="17" xfId="1" applyFont="1" applyBorder="1"/>
    <xf numFmtId="0" fontId="5" fillId="0" borderId="18" xfId="0" applyFont="1" applyBorder="1" applyAlignment="1">
      <alignment horizontal="center"/>
    </xf>
    <xf numFmtId="2" fontId="6" fillId="0" borderId="15" xfId="0" applyNumberFormat="1" applyFont="1" applyBorder="1"/>
    <xf numFmtId="0" fontId="0" fillId="0" borderId="15" xfId="0" applyFont="1" applyBorder="1"/>
    <xf numFmtId="43" fontId="0" fillId="2" borderId="0" xfId="1" applyFont="1" applyFill="1" applyBorder="1"/>
    <xf numFmtId="0" fontId="2" fillId="0" borderId="4" xfId="0" applyFont="1" applyBorder="1" applyAlignment="1">
      <alignment horizontal="center" wrapText="1"/>
    </xf>
    <xf numFmtId="0" fontId="2" fillId="0" borderId="14" xfId="0" applyFont="1" applyBorder="1" applyAlignment="1">
      <alignment horizontal="center" wrapText="1"/>
    </xf>
    <xf numFmtId="2" fontId="2" fillId="0" borderId="14" xfId="0" applyNumberFormat="1" applyFont="1" applyBorder="1" applyAlignment="1">
      <alignment horizontal="center" wrapText="1"/>
    </xf>
    <xf numFmtId="165" fontId="2" fillId="0" borderId="16" xfId="0" applyNumberFormat="1" applyFont="1" applyBorder="1" applyAlignment="1">
      <alignment horizontal="center" wrapText="1"/>
    </xf>
    <xf numFmtId="2" fontId="0" fillId="0" borderId="3" xfId="1" applyNumberFormat="1" applyFont="1" applyBorder="1"/>
    <xf numFmtId="2" fontId="0" fillId="0" borderId="11" xfId="1" applyNumberFormat="1" applyFont="1" applyBorder="1"/>
    <xf numFmtId="165" fontId="0" fillId="0" borderId="3" xfId="1" applyNumberFormat="1" applyFont="1" applyBorder="1"/>
    <xf numFmtId="165" fontId="0" fillId="0" borderId="11" xfId="1" applyNumberFormat="1" applyFont="1" applyBorder="1"/>
    <xf numFmtId="2" fontId="6" fillId="0" borderId="13" xfId="0" applyNumberFormat="1" applyFont="1" applyBorder="1"/>
    <xf numFmtId="165" fontId="2" fillId="0" borderId="14" xfId="0" applyNumberFormat="1" applyFont="1" applyBorder="1" applyAlignment="1">
      <alignment horizontal="center" wrapText="1"/>
    </xf>
    <xf numFmtId="2" fontId="0" fillId="2" borderId="0" xfId="1" applyNumberFormat="1" applyFont="1" applyFill="1" applyBorder="1"/>
    <xf numFmtId="165" fontId="2" fillId="0" borderId="4" xfId="0" applyNumberFormat="1" applyFont="1" applyBorder="1" applyAlignment="1">
      <alignment horizontal="center" wrapText="1"/>
    </xf>
    <xf numFmtId="2" fontId="0" fillId="0" borderId="2" xfId="1" applyNumberFormat="1" applyFont="1" applyBorder="1"/>
    <xf numFmtId="2" fontId="0" fillId="0" borderId="9" xfId="1" applyNumberFormat="1" applyFont="1" applyBorder="1"/>
    <xf numFmtId="2" fontId="0" fillId="2" borderId="9" xfId="1" applyNumberFormat="1" applyFont="1" applyFill="1" applyBorder="1"/>
    <xf numFmtId="2" fontId="0" fillId="0" borderId="10" xfId="1" applyNumberFormat="1" applyFont="1" applyBorder="1"/>
    <xf numFmtId="2" fontId="0" fillId="0" borderId="12" xfId="1" applyNumberFormat="1" applyFont="1" applyBorder="1"/>
    <xf numFmtId="2" fontId="0" fillId="0" borderId="13" xfId="1" applyNumberFormat="1" applyFont="1" applyBorder="1"/>
    <xf numFmtId="2" fontId="0" fillId="0" borderId="15" xfId="1" applyNumberFormat="1" applyFont="1" applyBorder="1"/>
    <xf numFmtId="2" fontId="0" fillId="2" borderId="15" xfId="1" applyNumberFormat="1" applyFont="1" applyFill="1" applyBorder="1"/>
    <xf numFmtId="2" fontId="0" fillId="0" borderId="17" xfId="1" applyNumberFormat="1" applyFont="1" applyBorder="1"/>
    <xf numFmtId="2" fontId="6" fillId="0" borderId="17" xfId="0" applyNumberFormat="1" applyFont="1" applyBorder="1"/>
    <xf numFmtId="2" fontId="0" fillId="2" borderId="11" xfId="1" applyNumberFormat="1" applyFont="1" applyFill="1" applyBorder="1"/>
    <xf numFmtId="0" fontId="2" fillId="0" borderId="2" xfId="0" applyFont="1" applyBorder="1" applyAlignment="1">
      <alignment horizontal="center" wrapText="1"/>
    </xf>
    <xf numFmtId="2" fontId="0" fillId="2" borderId="4" xfId="1" applyNumberFormat="1" applyFont="1" applyFill="1" applyBorder="1"/>
    <xf numFmtId="0" fontId="2" fillId="0" borderId="8" xfId="0" applyFont="1" applyBorder="1"/>
    <xf numFmtId="0" fontId="2" fillId="0" borderId="9" xfId="0" applyFont="1" applyBorder="1"/>
    <xf numFmtId="0" fontId="2" fillId="0" borderId="10" xfId="0" applyFont="1" applyBorder="1"/>
    <xf numFmtId="0" fontId="2" fillId="0" borderId="12" xfId="0" applyFont="1" applyBorder="1"/>
    <xf numFmtId="0" fontId="4" fillId="3" borderId="0" xfId="0" applyFont="1" applyFill="1"/>
    <xf numFmtId="0" fontId="4" fillId="3" borderId="0" xfId="0" applyFont="1" applyFill="1" applyBorder="1"/>
    <xf numFmtId="0" fontId="4" fillId="3" borderId="0" xfId="0" applyFont="1" applyFill="1" applyBorder="1" applyAlignment="1"/>
    <xf numFmtId="0" fontId="0" fillId="0" borderId="3" xfId="0" applyFill="1" applyBorder="1" applyAlignment="1">
      <alignment wrapText="1"/>
    </xf>
    <xf numFmtId="0" fontId="0" fillId="0" borderId="3" xfId="0" applyFill="1" applyBorder="1" applyAlignment="1"/>
    <xf numFmtId="0" fontId="0" fillId="3" borderId="0" xfId="0" applyFill="1"/>
    <xf numFmtId="0" fontId="4" fillId="3" borderId="0" xfId="0" applyFont="1" applyFill="1" applyBorder="1" applyAlignment="1">
      <alignment wrapText="1"/>
    </xf>
    <xf numFmtId="164" fontId="2" fillId="0" borderId="18" xfId="1" applyNumberFormat="1" applyFont="1" applyBorder="1" applyAlignment="1">
      <alignment horizontal="center" wrapText="1"/>
    </xf>
    <xf numFmtId="165" fontId="6" fillId="0" borderId="19" xfId="1" applyNumberFormat="1" applyFont="1" applyBorder="1"/>
    <xf numFmtId="164" fontId="2" fillId="0" borderId="20" xfId="1" applyNumberFormat="1" applyFont="1" applyBorder="1" applyAlignment="1">
      <alignment horizontal="center" wrapText="1"/>
    </xf>
    <xf numFmtId="165" fontId="6" fillId="0" borderId="23" xfId="1" applyNumberFormat="1" applyFont="1" applyBorder="1"/>
    <xf numFmtId="0" fontId="0" fillId="0" borderId="11" xfId="0" applyBorder="1"/>
    <xf numFmtId="0" fontId="0" fillId="0" borderId="17" xfId="0" applyBorder="1"/>
    <xf numFmtId="0" fontId="8" fillId="0" borderId="9" xfId="2" applyBorder="1"/>
    <xf numFmtId="43" fontId="0" fillId="2" borderId="15" xfId="1" applyFont="1" applyFill="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11" xfId="0" quotePrefix="1" applyFont="1" applyBorder="1" applyAlignment="1">
      <alignment horizontal="center"/>
    </xf>
    <xf numFmtId="0" fontId="4" fillId="0" borderId="12" xfId="0" quotePrefix="1"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164" fontId="2" fillId="0" borderId="5" xfId="1" applyNumberFormat="1" applyFont="1" applyBorder="1" applyAlignment="1">
      <alignment horizontal="center" wrapText="1"/>
    </xf>
    <xf numFmtId="164" fontId="2" fillId="0" borderId="6" xfId="1" applyNumberFormat="1" applyFont="1" applyBorder="1" applyAlignment="1">
      <alignment horizontal="center" wrapText="1"/>
    </xf>
    <xf numFmtId="164" fontId="2" fillId="0" borderId="7" xfId="1" applyNumberFormat="1" applyFont="1" applyBorder="1" applyAlignment="1">
      <alignment horizontal="center" wrapText="1"/>
    </xf>
    <xf numFmtId="0" fontId="0" fillId="0" borderId="3" xfId="0" applyBorder="1" applyAlignment="1">
      <alignment horizontal="center" wrapText="1"/>
    </xf>
    <xf numFmtId="0" fontId="0" fillId="0" borderId="0" xfId="0" applyBorder="1" applyAlignment="1">
      <alignment horizontal="center" wrapText="1"/>
    </xf>
    <xf numFmtId="0" fontId="0" fillId="0" borderId="11" xfId="0" applyBorder="1" applyAlignment="1">
      <alignment horizontal="center" wrapText="1"/>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22" xfId="0" applyFont="1" applyBorder="1" applyAlignment="1">
      <alignment horizontal="center" vertical="center" wrapText="1"/>
    </xf>
    <xf numFmtId="0" fontId="4" fillId="0" borderId="14" xfId="0" applyFont="1" applyBorder="1" applyAlignment="1">
      <alignment horizontal="center" vertical="center"/>
    </xf>
    <xf numFmtId="0" fontId="4" fillId="0" borderId="22" xfId="0" applyFont="1" applyBorder="1" applyAlignment="1">
      <alignment horizontal="center" vertical="center"/>
    </xf>
    <xf numFmtId="0" fontId="4" fillId="0" borderId="21"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PC/CENTER/SLFI/WebInteractive/Webtool%20Data/TRIM%20Data%20Extract/State%20Weighted%20TRIM%20Counts%20(1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PC/CENTER/SLFI/WebInteractive/Webtool%20Data/TRIM%20Eligibility%20and%20Participation%20Estimat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PC/CENTER/SLFI/WebInteractive/Webtool%20Data/Health%20and%20Hospitals/Medicaid/Medicaid%20Spending%20by%20Enrollment%20Group_KFF_FY20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PC/CENTER/SLFI/WebInteractive/Webtool%20Data/Health%20and%20Hospitals/Medicaid/Medicaid%20Managed%20Care%20Data_FY20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PC/CENTER/SLFI/WebInteractive/Webtool%20Data/Health%20and%20Hospitals/Medicaid/Medicaid%20Physician%20Fee%20Report_Urban_2012_p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Medicaid - Totals"/>
    </sheetNames>
    <sheetDataSet>
      <sheetData sheetId="0"/>
      <sheetData sheetId="1">
        <row r="3">
          <cell r="A3" t="str">
            <v>AK</v>
          </cell>
          <cell r="B3">
            <v>703106.375</v>
          </cell>
          <cell r="C3">
            <v>197530.035205603</v>
          </cell>
          <cell r="D3">
            <v>417571.26503688103</v>
          </cell>
          <cell r="E3">
            <v>57451.669979870298</v>
          </cell>
          <cell r="F3">
            <v>30553.429977416999</v>
          </cell>
          <cell r="G3">
            <v>446701.34039276832</v>
          </cell>
          <cell r="H3">
            <v>110665.720173597</v>
          </cell>
          <cell r="I3">
            <v>295661.60516637599</v>
          </cell>
          <cell r="J3">
            <v>31658.9900283813</v>
          </cell>
          <cell r="K3">
            <v>8715.0250244140607</v>
          </cell>
        </row>
        <row r="4">
          <cell r="A4" t="str">
            <v>AL</v>
          </cell>
          <cell r="B4">
            <v>4718503.5</v>
          </cell>
          <cell r="C4">
            <v>1184574.71578979</v>
          </cell>
          <cell r="D4">
            <v>2493358.5635223398</v>
          </cell>
          <cell r="E4">
            <v>632628.669036865</v>
          </cell>
          <cell r="F4">
            <v>407941.64430999802</v>
          </cell>
          <cell r="G4">
            <v>2533870.9437217722</v>
          </cell>
          <cell r="H4">
            <v>558699.10546493495</v>
          </cell>
          <cell r="I4">
            <v>1561616.92427826</v>
          </cell>
          <cell r="J4">
            <v>309799.55392456101</v>
          </cell>
          <cell r="K4">
            <v>103755.360054016</v>
          </cell>
        </row>
        <row r="5">
          <cell r="A5" t="str">
            <v>AR</v>
          </cell>
          <cell r="B5">
            <v>2894530.25</v>
          </cell>
          <cell r="C5">
            <v>714895.49962186802</v>
          </cell>
          <cell r="D5">
            <v>1504833.50932121</v>
          </cell>
          <cell r="E5">
            <v>444691.05895233201</v>
          </cell>
          <cell r="F5">
            <v>230110.21480941799</v>
          </cell>
          <cell r="G5">
            <v>1411911.253579139</v>
          </cell>
          <cell r="H5">
            <v>275047.605052948</v>
          </cell>
          <cell r="I5">
            <v>873234.73379993404</v>
          </cell>
          <cell r="J5">
            <v>210780.06501769999</v>
          </cell>
          <cell r="K5">
            <v>52848.8497085571</v>
          </cell>
        </row>
        <row r="6">
          <cell r="A6" t="str">
            <v>AZ</v>
          </cell>
          <cell r="B6">
            <v>6632165</v>
          </cell>
          <cell r="C6">
            <v>1766418.69707775</v>
          </cell>
          <cell r="D6">
            <v>3722731.5651440602</v>
          </cell>
          <cell r="E6">
            <v>820856.09290313697</v>
          </cell>
          <cell r="F6">
            <v>322158.42481517798</v>
          </cell>
          <cell r="G6">
            <v>3517099.7731132526</v>
          </cell>
          <cell r="H6">
            <v>700662.69133758498</v>
          </cell>
          <cell r="I6">
            <v>2270113.81814194</v>
          </cell>
          <cell r="J6">
            <v>474686.46315002401</v>
          </cell>
          <cell r="K6">
            <v>71636.800483703599</v>
          </cell>
        </row>
        <row r="7">
          <cell r="A7" t="str">
            <v>CA</v>
          </cell>
          <cell r="B7">
            <v>37428844</v>
          </cell>
          <cell r="C7">
            <v>9808021.2744259797</v>
          </cell>
          <cell r="D7">
            <v>21629165.8067942</v>
          </cell>
          <cell r="E7">
            <v>4330561.0754589997</v>
          </cell>
          <cell r="F7">
            <v>1661096.62585974</v>
          </cell>
          <cell r="G7">
            <v>20075759.894365348</v>
          </cell>
          <cell r="H7">
            <v>4267502.4962716103</v>
          </cell>
          <cell r="I7">
            <v>12862095.9438744</v>
          </cell>
          <cell r="J7">
            <v>2472114.50901222</v>
          </cell>
          <cell r="K7">
            <v>474046.94520711899</v>
          </cell>
        </row>
        <row r="8">
          <cell r="A8" t="str">
            <v>CO</v>
          </cell>
          <cell r="B8">
            <v>5038697.5</v>
          </cell>
          <cell r="C8">
            <v>1303816.5863995601</v>
          </cell>
          <cell r="D8">
            <v>2979522.5190808801</v>
          </cell>
          <cell r="E8">
            <v>577597.16434383404</v>
          </cell>
          <cell r="F8">
            <v>177761.349988937</v>
          </cell>
          <cell r="G8">
            <v>3274164.3195550493</v>
          </cell>
          <cell r="H8">
            <v>782133.59023022698</v>
          </cell>
          <cell r="I8">
            <v>2084609.1051316301</v>
          </cell>
          <cell r="J8">
            <v>352143.13916206401</v>
          </cell>
          <cell r="K8">
            <v>55278.485031127901</v>
          </cell>
        </row>
        <row r="9">
          <cell r="A9" t="str">
            <v>CT</v>
          </cell>
          <cell r="B9">
            <v>3507134.25</v>
          </cell>
          <cell r="C9">
            <v>857812.36055243004</v>
          </cell>
          <cell r="D9">
            <v>2033363.3316355899</v>
          </cell>
          <cell r="E9">
            <v>478890.54498481803</v>
          </cell>
          <cell r="F9">
            <v>137068.08491706799</v>
          </cell>
          <cell r="G9">
            <v>2466601.6219564704</v>
          </cell>
          <cell r="H9">
            <v>569198.445755839</v>
          </cell>
          <cell r="I9">
            <v>1551351.63639808</v>
          </cell>
          <cell r="J9">
            <v>306133.53990936303</v>
          </cell>
          <cell r="K9">
            <v>39917.999893188498</v>
          </cell>
        </row>
        <row r="10">
          <cell r="A10" t="str">
            <v>DC</v>
          </cell>
          <cell r="B10">
            <v>613821.5</v>
          </cell>
          <cell r="C10">
            <v>112192.329996645</v>
          </cell>
          <cell r="D10">
            <v>393953.71933335101</v>
          </cell>
          <cell r="E10">
            <v>76992.404714584394</v>
          </cell>
          <cell r="F10">
            <v>30683.039962709001</v>
          </cell>
          <cell r="G10">
            <v>359409.68931454385</v>
          </cell>
          <cell r="H10">
            <v>49499.615039288998</v>
          </cell>
          <cell r="I10">
            <v>265345.18941974599</v>
          </cell>
          <cell r="J10">
            <v>40754.619863748601</v>
          </cell>
          <cell r="K10">
            <v>3810.2649917602498</v>
          </cell>
        </row>
        <row r="11">
          <cell r="A11" t="str">
            <v>DE</v>
          </cell>
          <cell r="B11">
            <v>891979.4375</v>
          </cell>
          <cell r="C11">
            <v>217337.03492319601</v>
          </cell>
          <cell r="D11">
            <v>497210.25052118301</v>
          </cell>
          <cell r="E11">
            <v>129091.80532073999</v>
          </cell>
          <cell r="F11">
            <v>48340.345089316397</v>
          </cell>
          <cell r="G11">
            <v>543190.43085098267</v>
          </cell>
          <cell r="H11">
            <v>108441.774985015</v>
          </cell>
          <cell r="I11">
            <v>339722.820542634</v>
          </cell>
          <cell r="J11">
            <v>78964.655281066895</v>
          </cell>
          <cell r="K11">
            <v>16061.1800422668</v>
          </cell>
        </row>
        <row r="12">
          <cell r="A12" t="str">
            <v>FL</v>
          </cell>
          <cell r="B12">
            <v>18771256</v>
          </cell>
          <cell r="C12">
            <v>4139806.16353655</v>
          </cell>
          <cell r="D12">
            <v>10431398.121139999</v>
          </cell>
          <cell r="E12">
            <v>3285176.9388723401</v>
          </cell>
          <cell r="F12">
            <v>914875.27445888496</v>
          </cell>
          <cell r="G12">
            <v>10337392.151321409</v>
          </cell>
          <cell r="H12">
            <v>1871634.7848324799</v>
          </cell>
          <cell r="I12">
            <v>6450355.8428463899</v>
          </cell>
          <cell r="J12">
            <v>1752652.14375019</v>
          </cell>
          <cell r="K12">
            <v>262749.37989234901</v>
          </cell>
        </row>
        <row r="13">
          <cell r="A13" t="str">
            <v>GA</v>
          </cell>
          <cell r="B13">
            <v>9757314</v>
          </cell>
          <cell r="C13">
            <v>2654234.9208259601</v>
          </cell>
          <cell r="D13">
            <v>5639004.9873018302</v>
          </cell>
          <cell r="E13">
            <v>960961.15947341896</v>
          </cell>
          <cell r="F13">
            <v>503112.93423223501</v>
          </cell>
          <cell r="G13">
            <v>5151394.4813075075</v>
          </cell>
          <cell r="H13">
            <v>1193495.98427486</v>
          </cell>
          <cell r="I13">
            <v>3393716.7367291502</v>
          </cell>
          <cell r="J13">
            <v>468776.10558700602</v>
          </cell>
          <cell r="K13">
            <v>95405.654716491699</v>
          </cell>
        </row>
        <row r="14">
          <cell r="A14" t="str">
            <v>HI</v>
          </cell>
          <cell r="B14">
            <v>1298291.25</v>
          </cell>
          <cell r="C14">
            <v>320559.39022433799</v>
          </cell>
          <cell r="D14">
            <v>737888.33562409901</v>
          </cell>
          <cell r="E14">
            <v>192789.33008813899</v>
          </cell>
          <cell r="F14">
            <v>47054.160055637403</v>
          </cell>
          <cell r="G14">
            <v>788617.19088041841</v>
          </cell>
          <cell r="H14">
            <v>154162.94008123901</v>
          </cell>
          <cell r="I14">
            <v>501058.39550650102</v>
          </cell>
          <cell r="J14">
            <v>117715.375281692</v>
          </cell>
          <cell r="K14">
            <v>15680.480010986301</v>
          </cell>
        </row>
        <row r="15">
          <cell r="A15" t="str">
            <v>IA</v>
          </cell>
          <cell r="B15">
            <v>2997905</v>
          </cell>
          <cell r="C15">
            <v>752415.54499292397</v>
          </cell>
          <cell r="D15">
            <v>1736260.7459084999</v>
          </cell>
          <cell r="E15">
            <v>379694.36573409999</v>
          </cell>
          <cell r="F15">
            <v>129534.354842424</v>
          </cell>
          <cell r="G15">
            <v>1834077.71282458</v>
          </cell>
          <cell r="H15">
            <v>414482.59050059301</v>
          </cell>
          <cell r="I15">
            <v>1187453.6868648501</v>
          </cell>
          <cell r="J15">
            <v>202672.76529693601</v>
          </cell>
          <cell r="K15">
            <v>29468.670162200899</v>
          </cell>
        </row>
        <row r="16">
          <cell r="A16" t="str">
            <v>ID</v>
          </cell>
          <cell r="B16">
            <v>1552785.125</v>
          </cell>
          <cell r="C16">
            <v>440668.77990651102</v>
          </cell>
          <cell r="D16">
            <v>848503.74146103906</v>
          </cell>
          <cell r="E16">
            <v>203686.16040801999</v>
          </cell>
          <cell r="F16">
            <v>59926.489967346199</v>
          </cell>
          <cell r="G16">
            <v>775891.04042911518</v>
          </cell>
          <cell r="H16">
            <v>160927.28466820699</v>
          </cell>
          <cell r="I16">
            <v>481255.12533450098</v>
          </cell>
          <cell r="J16">
            <v>116073.890371323</v>
          </cell>
          <cell r="K16">
            <v>17634.740055084199</v>
          </cell>
        </row>
        <row r="17">
          <cell r="A17" t="str">
            <v>IL</v>
          </cell>
          <cell r="B17">
            <v>12805608</v>
          </cell>
          <cell r="C17">
            <v>3250849.35839224</v>
          </cell>
          <cell r="D17">
            <v>7360913.0672664596</v>
          </cell>
          <cell r="E17">
            <v>1625058.7711691901</v>
          </cell>
          <cell r="F17">
            <v>568786.63519954705</v>
          </cell>
          <cell r="G17">
            <v>7362620.979228016</v>
          </cell>
          <cell r="H17">
            <v>1571482.5222477899</v>
          </cell>
          <cell r="I17">
            <v>4719687.5314455004</v>
          </cell>
          <cell r="J17">
            <v>896490.56087255501</v>
          </cell>
          <cell r="K17">
            <v>174960.36466217</v>
          </cell>
        </row>
        <row r="18">
          <cell r="A18" t="str">
            <v>IN</v>
          </cell>
          <cell r="B18">
            <v>6356050.5</v>
          </cell>
          <cell r="C18">
            <v>1695261.2120089501</v>
          </cell>
          <cell r="D18">
            <v>3444737.04946423</v>
          </cell>
          <cell r="E18">
            <v>880291.91648101795</v>
          </cell>
          <cell r="F18">
            <v>335760.32135009801</v>
          </cell>
          <cell r="G18">
            <v>3543807.136253831</v>
          </cell>
          <cell r="H18">
            <v>794513.63099145901</v>
          </cell>
          <cell r="I18">
            <v>2193968.5752239199</v>
          </cell>
          <cell r="J18">
            <v>465588.35993957502</v>
          </cell>
          <cell r="K18">
            <v>89736.570098876997</v>
          </cell>
        </row>
        <row r="19">
          <cell r="A19" t="str">
            <v>KS</v>
          </cell>
          <cell r="B19">
            <v>2785742.25</v>
          </cell>
          <cell r="C19">
            <v>739354.70543169999</v>
          </cell>
          <cell r="D19">
            <v>1527806.0796990399</v>
          </cell>
          <cell r="E19">
            <v>388277.43946838402</v>
          </cell>
          <cell r="F19">
            <v>130304.105052948</v>
          </cell>
          <cell r="G19">
            <v>1570344.8751740453</v>
          </cell>
          <cell r="H19">
            <v>331308.16041707998</v>
          </cell>
          <cell r="I19">
            <v>984608.02522373199</v>
          </cell>
          <cell r="J19">
            <v>226257.63472366301</v>
          </cell>
          <cell r="K19">
            <v>28171.054809570302</v>
          </cell>
        </row>
        <row r="20">
          <cell r="A20" t="str">
            <v>KY</v>
          </cell>
          <cell r="B20">
            <v>4301251</v>
          </cell>
          <cell r="C20">
            <v>1053134.50954771</v>
          </cell>
          <cell r="D20">
            <v>2355658.2230939898</v>
          </cell>
          <cell r="E20">
            <v>560849.68015289295</v>
          </cell>
          <cell r="F20">
            <v>331608.56944274902</v>
          </cell>
          <cell r="G20">
            <v>2176437.2411308265</v>
          </cell>
          <cell r="H20">
            <v>450501.70525169402</v>
          </cell>
          <cell r="I20">
            <v>1406207.04536247</v>
          </cell>
          <cell r="J20">
            <v>245442.500556946</v>
          </cell>
          <cell r="K20">
            <v>74285.989959716797</v>
          </cell>
        </row>
        <row r="21">
          <cell r="A21" t="str">
            <v>LA</v>
          </cell>
          <cell r="B21">
            <v>4468767</v>
          </cell>
          <cell r="C21">
            <v>1177023.4402675601</v>
          </cell>
          <cell r="D21">
            <v>2364775.1252350798</v>
          </cell>
          <cell r="E21">
            <v>576628.03989791905</v>
          </cell>
          <cell r="F21">
            <v>350340.35487365699</v>
          </cell>
          <cell r="G21">
            <v>2249887.944792273</v>
          </cell>
          <cell r="H21">
            <v>520324.29022216803</v>
          </cell>
          <cell r="I21">
            <v>1403646.3305420901</v>
          </cell>
          <cell r="J21">
            <v>250827.48925018299</v>
          </cell>
          <cell r="K21">
            <v>75089.834777832002</v>
          </cell>
        </row>
        <row r="22">
          <cell r="A22" t="str">
            <v>MA</v>
          </cell>
          <cell r="B22">
            <v>6569638.5</v>
          </cell>
          <cell r="C22">
            <v>1516198.5465393099</v>
          </cell>
          <cell r="D22">
            <v>3759492.8954906501</v>
          </cell>
          <cell r="E22">
            <v>940774.375232697</v>
          </cell>
          <cell r="F22">
            <v>353172.60368728603</v>
          </cell>
          <cell r="G22">
            <v>4443357.6373343449</v>
          </cell>
          <cell r="H22">
            <v>950033.37122249603</v>
          </cell>
          <cell r="I22">
            <v>2848222.08556318</v>
          </cell>
          <cell r="J22">
            <v>583587.82610893296</v>
          </cell>
          <cell r="K22">
            <v>61514.354439735398</v>
          </cell>
        </row>
        <row r="23">
          <cell r="A23" t="str">
            <v>MD</v>
          </cell>
          <cell r="B23">
            <v>5769205</v>
          </cell>
          <cell r="C23">
            <v>1414443.9946053</v>
          </cell>
          <cell r="D23">
            <v>3428284.1782395798</v>
          </cell>
          <cell r="E23">
            <v>718021.90635395097</v>
          </cell>
          <cell r="F23">
            <v>208454.684832573</v>
          </cell>
          <cell r="G23">
            <v>3973154.1688084607</v>
          </cell>
          <cell r="H23">
            <v>877139.82478189503</v>
          </cell>
          <cell r="I23">
            <v>2564234.6435241699</v>
          </cell>
          <cell r="J23">
            <v>467069.66058921802</v>
          </cell>
          <cell r="K23">
            <v>64710.039913177498</v>
          </cell>
        </row>
        <row r="24">
          <cell r="A24" t="str">
            <v>ME</v>
          </cell>
          <cell r="B24">
            <v>1307175</v>
          </cell>
          <cell r="C24">
            <v>278326.33501243597</v>
          </cell>
          <cell r="D24">
            <v>731560.31756806397</v>
          </cell>
          <cell r="E24">
            <v>207672.279842377</v>
          </cell>
          <cell r="F24">
            <v>89616.129625320405</v>
          </cell>
          <cell r="G24">
            <v>776243.51776218391</v>
          </cell>
          <cell r="H24">
            <v>149663.90006446801</v>
          </cell>
          <cell r="I24">
            <v>495219.793114662</v>
          </cell>
          <cell r="J24">
            <v>108019.169750214</v>
          </cell>
          <cell r="K24">
            <v>23340.654832839999</v>
          </cell>
        </row>
        <row r="25">
          <cell r="A25" t="str">
            <v>MI</v>
          </cell>
          <cell r="B25">
            <v>9737212</v>
          </cell>
          <cell r="C25">
            <v>2407943.7602214799</v>
          </cell>
          <cell r="D25">
            <v>5351134.0579614602</v>
          </cell>
          <cell r="E25">
            <v>1361897.2298278799</v>
          </cell>
          <cell r="F25">
            <v>616237.20036888099</v>
          </cell>
          <cell r="G25">
            <v>5639716.8463373221</v>
          </cell>
          <cell r="H25">
            <v>1231375.2246227299</v>
          </cell>
          <cell r="I25">
            <v>3492028.9969892502</v>
          </cell>
          <cell r="J25">
            <v>757550.01966857899</v>
          </cell>
          <cell r="K25">
            <v>158762.60505676299</v>
          </cell>
        </row>
        <row r="26">
          <cell r="A26" t="str">
            <v>MN</v>
          </cell>
          <cell r="B26">
            <v>5235715.5</v>
          </cell>
          <cell r="C26">
            <v>1318512.10018468</v>
          </cell>
          <cell r="D26">
            <v>3031458.0290751499</v>
          </cell>
          <cell r="E26">
            <v>697239.50052309001</v>
          </cell>
          <cell r="F26">
            <v>188505.78455400499</v>
          </cell>
          <cell r="G26">
            <v>3462750.0085201222</v>
          </cell>
          <cell r="H26">
            <v>803979.92439365399</v>
          </cell>
          <cell r="I26">
            <v>2231475.3337869602</v>
          </cell>
          <cell r="J26">
            <v>377298.56033325201</v>
          </cell>
          <cell r="K26">
            <v>49996.190006256104</v>
          </cell>
        </row>
        <row r="27">
          <cell r="A27" t="str">
            <v>MO</v>
          </cell>
          <cell r="B27">
            <v>5938243</v>
          </cell>
          <cell r="C27">
            <v>1449592.7857332199</v>
          </cell>
          <cell r="D27">
            <v>3209630.1315584201</v>
          </cell>
          <cell r="E27">
            <v>821445.89489030803</v>
          </cell>
          <cell r="F27">
            <v>457573.95924758899</v>
          </cell>
          <cell r="G27">
            <v>3462866.6262707692</v>
          </cell>
          <cell r="H27">
            <v>730369.31001377106</v>
          </cell>
          <cell r="I27">
            <v>2163705.5707960101</v>
          </cell>
          <cell r="J27">
            <v>461442.75548601203</v>
          </cell>
          <cell r="K27">
            <v>107348.98997497599</v>
          </cell>
        </row>
        <row r="28">
          <cell r="A28" t="str">
            <v>MS</v>
          </cell>
          <cell r="B28">
            <v>2931505.75</v>
          </cell>
          <cell r="C28">
            <v>797646.77897882496</v>
          </cell>
          <cell r="D28">
            <v>1548643.32426167</v>
          </cell>
          <cell r="E28">
            <v>383535.13571166998</v>
          </cell>
          <cell r="F28">
            <v>201680.53034973101</v>
          </cell>
          <cell r="G28">
            <v>1441896.1287727361</v>
          </cell>
          <cell r="H28">
            <v>310387.14396667498</v>
          </cell>
          <cell r="I28">
            <v>898159.72914505005</v>
          </cell>
          <cell r="J28">
            <v>183546.10064697301</v>
          </cell>
          <cell r="K28">
            <v>49803.1550140381</v>
          </cell>
        </row>
        <row r="29">
          <cell r="A29" t="str">
            <v>MT</v>
          </cell>
          <cell r="B29">
            <v>978695.25</v>
          </cell>
          <cell r="C29">
            <v>222522.815139771</v>
          </cell>
          <cell r="D29">
            <v>542227.90441131603</v>
          </cell>
          <cell r="E29">
            <v>167903.47027587899</v>
          </cell>
          <cell r="F29">
            <v>46041.089990615801</v>
          </cell>
          <cell r="G29">
            <v>501078.13454055809</v>
          </cell>
          <cell r="H29">
            <v>92189.214992523193</v>
          </cell>
          <cell r="I29">
            <v>312723.81949615502</v>
          </cell>
          <cell r="J29">
            <v>86540.335067748994</v>
          </cell>
          <cell r="K29">
            <v>9624.7649841308594</v>
          </cell>
        </row>
        <row r="30">
          <cell r="A30" t="str">
            <v>NC</v>
          </cell>
          <cell r="B30">
            <v>9376616</v>
          </cell>
          <cell r="C30">
            <v>2386848.1349873501</v>
          </cell>
          <cell r="D30">
            <v>5206733.3570213299</v>
          </cell>
          <cell r="E30">
            <v>1228814.9411086999</v>
          </cell>
          <cell r="F30">
            <v>554219.19531631505</v>
          </cell>
          <cell r="G30">
            <v>5098422.231726639</v>
          </cell>
          <cell r="H30">
            <v>1051568.48368549</v>
          </cell>
          <cell r="I30">
            <v>3279977.43187141</v>
          </cell>
          <cell r="J30">
            <v>633213.69570922898</v>
          </cell>
          <cell r="K30">
            <v>133662.62046050999</v>
          </cell>
        </row>
        <row r="31">
          <cell r="A31" t="str">
            <v>ND</v>
          </cell>
          <cell r="B31">
            <v>654970.9375</v>
          </cell>
          <cell r="C31">
            <v>157711.575065315</v>
          </cell>
          <cell r="D31">
            <v>392221.96047872299</v>
          </cell>
          <cell r="E31">
            <v>87041.834972381606</v>
          </cell>
          <cell r="F31">
            <v>17995.550075054201</v>
          </cell>
          <cell r="G31">
            <v>430014.71042376745</v>
          </cell>
          <cell r="H31">
            <v>98552.995014846296</v>
          </cell>
          <cell r="I31">
            <v>279171.62541639799</v>
          </cell>
          <cell r="J31">
            <v>47343.419956207297</v>
          </cell>
          <cell r="K31">
            <v>4946.6700363159198</v>
          </cell>
        </row>
        <row r="32">
          <cell r="A32" t="str">
            <v>NE</v>
          </cell>
          <cell r="B32">
            <v>1806568.625</v>
          </cell>
          <cell r="C32">
            <v>476216.91013395798</v>
          </cell>
          <cell r="D32">
            <v>1040057.09960985</v>
          </cell>
          <cell r="E32">
            <v>228788.46147942499</v>
          </cell>
          <cell r="F32">
            <v>61506.210189223297</v>
          </cell>
          <cell r="G32">
            <v>1115204.4802653787</v>
          </cell>
          <cell r="H32">
            <v>255799.080028772</v>
          </cell>
          <cell r="I32">
            <v>702799.28453588497</v>
          </cell>
          <cell r="J32">
            <v>135912.29060554499</v>
          </cell>
          <cell r="K32">
            <v>20693.8250951767</v>
          </cell>
        </row>
        <row r="33">
          <cell r="A33" t="str">
            <v>NH</v>
          </cell>
          <cell r="B33">
            <v>1301366.75</v>
          </cell>
          <cell r="C33">
            <v>295111.06505644298</v>
          </cell>
          <cell r="D33">
            <v>775062.19506192196</v>
          </cell>
          <cell r="E33">
            <v>177257.84462094301</v>
          </cell>
          <cell r="F33">
            <v>53935.609968662298</v>
          </cell>
          <cell r="G33">
            <v>952690.08485782123</v>
          </cell>
          <cell r="H33">
            <v>211017.04494607399</v>
          </cell>
          <cell r="I33">
            <v>617806.21522855805</v>
          </cell>
          <cell r="J33">
            <v>103499.164670944</v>
          </cell>
          <cell r="K33">
            <v>20367.6600122452</v>
          </cell>
        </row>
        <row r="34">
          <cell r="A34" t="str">
            <v>NJ</v>
          </cell>
          <cell r="B34">
            <v>8661772</v>
          </cell>
          <cell r="C34">
            <v>2129076.5588984499</v>
          </cell>
          <cell r="D34">
            <v>4983804.0587921096</v>
          </cell>
          <cell r="E34">
            <v>1164608.3486537901</v>
          </cell>
          <cell r="F34">
            <v>384283.04980087298</v>
          </cell>
          <cell r="G34">
            <v>5826286.8986740075</v>
          </cell>
          <cell r="H34">
            <v>1328306.5494818699</v>
          </cell>
          <cell r="I34">
            <v>3660719.8186459499</v>
          </cell>
          <cell r="J34">
            <v>698206.850675583</v>
          </cell>
          <cell r="K34">
            <v>139053.679870605</v>
          </cell>
        </row>
        <row r="35">
          <cell r="A35" t="str">
            <v>NM</v>
          </cell>
          <cell r="B35">
            <v>2026684.125</v>
          </cell>
          <cell r="C35">
            <v>526454.87493491196</v>
          </cell>
          <cell r="D35">
            <v>1082455.10967207</v>
          </cell>
          <cell r="E35">
            <v>298909.49041748</v>
          </cell>
          <cell r="F35">
            <v>118864.689851761</v>
          </cell>
          <cell r="G35">
            <v>995764.68444728933</v>
          </cell>
          <cell r="H35">
            <v>205365.609765053</v>
          </cell>
          <cell r="I35">
            <v>611273.26933860802</v>
          </cell>
          <cell r="J35">
            <v>157813.44049072301</v>
          </cell>
          <cell r="K35">
            <v>21312.364852905299</v>
          </cell>
        </row>
        <row r="36">
          <cell r="A36" t="str">
            <v>NV</v>
          </cell>
          <cell r="B36">
            <v>2661854</v>
          </cell>
          <cell r="C36">
            <v>690293.12552595104</v>
          </cell>
          <cell r="D36">
            <v>1546191.49666464</v>
          </cell>
          <cell r="E36">
            <v>329180.06504130398</v>
          </cell>
          <cell r="F36">
            <v>96189.289492607102</v>
          </cell>
          <cell r="G36">
            <v>1450313.7621289482</v>
          </cell>
          <cell r="H36">
            <v>297997.25514411897</v>
          </cell>
          <cell r="I36">
            <v>928555.11730325199</v>
          </cell>
          <cell r="J36">
            <v>194684.80977129901</v>
          </cell>
          <cell r="K36">
            <v>29076.579910278298</v>
          </cell>
        </row>
        <row r="37">
          <cell r="A37" t="str">
            <v>NY</v>
          </cell>
          <cell r="B37">
            <v>19314646</v>
          </cell>
          <cell r="C37">
            <v>4520010.1004781704</v>
          </cell>
          <cell r="D37">
            <v>11121686.481300799</v>
          </cell>
          <cell r="E37">
            <v>2578653.1257600798</v>
          </cell>
          <cell r="F37">
            <v>1094296.8678369501</v>
          </cell>
          <cell r="G37">
            <v>11286396.02544928</v>
          </cell>
          <cell r="H37">
            <v>2241171.5854439698</v>
          </cell>
          <cell r="I37">
            <v>7344754.6224088697</v>
          </cell>
          <cell r="J37">
            <v>1404520.8439903299</v>
          </cell>
          <cell r="K37">
            <v>295948.97360611003</v>
          </cell>
        </row>
        <row r="38">
          <cell r="A38" t="str">
            <v>OH</v>
          </cell>
          <cell r="B38">
            <v>11334251</v>
          </cell>
          <cell r="C38">
            <v>2763683.59237719</v>
          </cell>
          <cell r="D38">
            <v>6340496.6777157802</v>
          </cell>
          <cell r="E38">
            <v>1581410.82157898</v>
          </cell>
          <cell r="F38">
            <v>648659.87492609001</v>
          </cell>
          <cell r="G38">
            <v>6406586.3920488432</v>
          </cell>
          <cell r="H38">
            <v>1300785.7229690601</v>
          </cell>
          <cell r="I38">
            <v>4121991.3888673801</v>
          </cell>
          <cell r="J38">
            <v>827284.85569763195</v>
          </cell>
          <cell r="K38">
            <v>156524.424514771</v>
          </cell>
        </row>
        <row r="39">
          <cell r="A39" t="str">
            <v>OK</v>
          </cell>
          <cell r="B39">
            <v>3720317.5</v>
          </cell>
          <cell r="C39">
            <v>965605.75990438496</v>
          </cell>
          <cell r="D39">
            <v>2017206.50960779</v>
          </cell>
          <cell r="E39">
            <v>522644.04165649402</v>
          </cell>
          <cell r="F39">
            <v>214861.15943145801</v>
          </cell>
          <cell r="G39">
            <v>2043630.2145366694</v>
          </cell>
          <cell r="H39">
            <v>424587.79497337301</v>
          </cell>
          <cell r="I39">
            <v>1268331.6192398099</v>
          </cell>
          <cell r="J39">
            <v>290872.51567840599</v>
          </cell>
          <cell r="K39">
            <v>59838.284645080603</v>
          </cell>
        </row>
        <row r="40">
          <cell r="A40" t="str">
            <v>OR</v>
          </cell>
          <cell r="B40">
            <v>3816614.25</v>
          </cell>
          <cell r="C40">
            <v>891733.94478702499</v>
          </cell>
          <cell r="D40">
            <v>2207180.1099138302</v>
          </cell>
          <cell r="E40">
            <v>538911.986330032</v>
          </cell>
          <cell r="F40">
            <v>178788.29023122799</v>
          </cell>
          <cell r="G40">
            <v>2197973.0566444425</v>
          </cell>
          <cell r="H40">
            <v>421667.49958705902</v>
          </cell>
          <cell r="I40">
            <v>1384388.8260374099</v>
          </cell>
          <cell r="J40">
            <v>335308.45111274702</v>
          </cell>
          <cell r="K40">
            <v>56608.279907226599</v>
          </cell>
        </row>
        <row r="41">
          <cell r="A41" t="str">
            <v>PA</v>
          </cell>
          <cell r="B41">
            <v>12584384</v>
          </cell>
          <cell r="C41">
            <v>2826086.9506683401</v>
          </cell>
          <cell r="D41">
            <v>7014890.63795185</v>
          </cell>
          <cell r="E41">
            <v>2006250.2834034001</v>
          </cell>
          <cell r="F41">
            <v>737156.44551658595</v>
          </cell>
          <cell r="G41">
            <v>7625439.460720052</v>
          </cell>
          <cell r="H41">
            <v>1542583.0047454799</v>
          </cell>
          <cell r="I41">
            <v>4863699.8479194604</v>
          </cell>
          <cell r="J41">
            <v>1059115.5578002899</v>
          </cell>
          <cell r="K41">
            <v>160041.05025482201</v>
          </cell>
        </row>
        <row r="42">
          <cell r="A42" t="str">
            <v>RI</v>
          </cell>
          <cell r="B42">
            <v>1042956.1875</v>
          </cell>
          <cell r="C42">
            <v>237095.26502782101</v>
          </cell>
          <cell r="D42">
            <v>588126.676197469</v>
          </cell>
          <cell r="E42">
            <v>156081.03469562501</v>
          </cell>
          <cell r="F42">
            <v>61653.190134704098</v>
          </cell>
          <cell r="G42">
            <v>642217.61108881235</v>
          </cell>
          <cell r="H42">
            <v>130477.33508527299</v>
          </cell>
          <cell r="I42">
            <v>416437.93599098898</v>
          </cell>
          <cell r="J42">
            <v>80556.284975051894</v>
          </cell>
          <cell r="K42">
            <v>14746.0550374985</v>
          </cell>
        </row>
        <row r="43">
          <cell r="A43" t="str">
            <v>SC</v>
          </cell>
          <cell r="B43">
            <v>4569375.5</v>
          </cell>
          <cell r="C43">
            <v>1105194.7446584699</v>
          </cell>
          <cell r="D43">
            <v>2497100.6900253301</v>
          </cell>
          <cell r="E43">
            <v>644674.61488342297</v>
          </cell>
          <cell r="F43">
            <v>322405.41501998901</v>
          </cell>
          <cell r="G43">
            <v>2297842.459383483</v>
          </cell>
          <cell r="H43">
            <v>443323.14494323701</v>
          </cell>
          <cell r="I43">
            <v>1472228.2119469601</v>
          </cell>
          <cell r="J43">
            <v>297150.69276428199</v>
          </cell>
          <cell r="K43">
            <v>85140.409729003906</v>
          </cell>
        </row>
        <row r="44">
          <cell r="A44" t="str">
            <v>SD</v>
          </cell>
          <cell r="B44">
            <v>808996.875</v>
          </cell>
          <cell r="C44">
            <v>206183.74507117301</v>
          </cell>
          <cell r="D44">
            <v>459416.69552815001</v>
          </cell>
          <cell r="E44">
            <v>111843.519939423</v>
          </cell>
          <cell r="F44">
            <v>31552.944999694799</v>
          </cell>
          <cell r="G44">
            <v>462029.7754564283</v>
          </cell>
          <cell r="H44">
            <v>99134.774961471601</v>
          </cell>
          <cell r="I44">
            <v>293124.52048778499</v>
          </cell>
          <cell r="J44">
            <v>63523.009967803999</v>
          </cell>
          <cell r="K44">
            <v>6247.4700393676803</v>
          </cell>
        </row>
        <row r="45">
          <cell r="A45" t="str">
            <v>TN</v>
          </cell>
          <cell r="B45">
            <v>6323933.5</v>
          </cell>
          <cell r="C45">
            <v>1538183.3424358401</v>
          </cell>
          <cell r="D45">
            <v>3517440.8628954901</v>
          </cell>
          <cell r="E45">
            <v>817837.42478132201</v>
          </cell>
          <cell r="F45">
            <v>450471.77513122599</v>
          </cell>
          <cell r="G45">
            <v>3215312.1324729919</v>
          </cell>
          <cell r="H45">
            <v>667790.41110992397</v>
          </cell>
          <cell r="I45">
            <v>2078011.6966814999</v>
          </cell>
          <cell r="J45">
            <v>355193.04970598198</v>
          </cell>
          <cell r="K45">
            <v>114316.974975586</v>
          </cell>
        </row>
        <row r="46">
          <cell r="A46" t="str">
            <v>TX</v>
          </cell>
          <cell r="B46">
            <v>25373166</v>
          </cell>
          <cell r="C46">
            <v>7214932.2335195504</v>
          </cell>
          <cell r="D46">
            <v>14362007.138918901</v>
          </cell>
          <cell r="E46">
            <v>2619848.2962193498</v>
          </cell>
          <cell r="F46">
            <v>1176378.1404023201</v>
          </cell>
          <cell r="G46">
            <v>13106161.257021897</v>
          </cell>
          <cell r="H46">
            <v>2832999.3106784802</v>
          </cell>
          <cell r="I46">
            <v>8561972.2705302201</v>
          </cell>
          <cell r="J46">
            <v>1448285.2405075999</v>
          </cell>
          <cell r="K46">
            <v>262904.43530559499</v>
          </cell>
        </row>
        <row r="47">
          <cell r="A47" t="str">
            <v>UT</v>
          </cell>
          <cell r="B47">
            <v>2821433.75</v>
          </cell>
          <cell r="C47">
            <v>912755.66535115195</v>
          </cell>
          <cell r="D47">
            <v>1533779.2205026201</v>
          </cell>
          <cell r="E47">
            <v>284421.59054565401</v>
          </cell>
          <cell r="F47">
            <v>90477.325211048097</v>
          </cell>
          <cell r="G47">
            <v>1635295.925413609</v>
          </cell>
          <cell r="H47">
            <v>446479.56485080702</v>
          </cell>
          <cell r="I47">
            <v>996328.20010137605</v>
          </cell>
          <cell r="J47">
            <v>156375.90547180199</v>
          </cell>
          <cell r="K47">
            <v>36112.254989624002</v>
          </cell>
        </row>
        <row r="48">
          <cell r="A48" t="str">
            <v>VA</v>
          </cell>
          <cell r="B48">
            <v>7873385.5</v>
          </cell>
          <cell r="C48">
            <v>1946126.27903366</v>
          </cell>
          <cell r="D48">
            <v>4641902.5516405096</v>
          </cell>
          <cell r="E48">
            <v>974465.96182346297</v>
          </cell>
          <cell r="F48">
            <v>310890.75035572099</v>
          </cell>
          <cell r="G48">
            <v>5164473.982846735</v>
          </cell>
          <cell r="H48">
            <v>1177692.75481987</v>
          </cell>
          <cell r="I48">
            <v>3311292.23647642</v>
          </cell>
          <cell r="J48">
            <v>585113.14155960095</v>
          </cell>
          <cell r="K48">
            <v>90375.849990844697</v>
          </cell>
        </row>
        <row r="49">
          <cell r="A49" t="str">
            <v>VT</v>
          </cell>
          <cell r="B49">
            <v>619353.375</v>
          </cell>
          <cell r="C49">
            <v>126655.154966652</v>
          </cell>
          <cell r="D49">
            <v>372147.41470068699</v>
          </cell>
          <cell r="E49">
            <v>86984.744199037596</v>
          </cell>
          <cell r="F49">
            <v>33566.059931158998</v>
          </cell>
          <cell r="G49">
            <v>395740.63415384281</v>
          </cell>
          <cell r="H49">
            <v>73061.2549794316</v>
          </cell>
          <cell r="I49">
            <v>267417.51454824198</v>
          </cell>
          <cell r="J49">
            <v>47365.994611978502</v>
          </cell>
          <cell r="K49">
            <v>7895.8700141906702</v>
          </cell>
        </row>
        <row r="50">
          <cell r="A50" t="str">
            <v>WA</v>
          </cell>
          <cell r="B50">
            <v>6770326</v>
          </cell>
          <cell r="C50">
            <v>1704084.9999265701</v>
          </cell>
          <cell r="D50">
            <v>3923108.5721359299</v>
          </cell>
          <cell r="E50">
            <v>872289.48227310204</v>
          </cell>
          <cell r="F50">
            <v>270842.96459579503</v>
          </cell>
          <cell r="G50">
            <v>4078566.369532112</v>
          </cell>
          <cell r="H50">
            <v>834194.47557878494</v>
          </cell>
          <cell r="I50">
            <v>2606330.3827571901</v>
          </cell>
          <cell r="J50">
            <v>545886.446376801</v>
          </cell>
          <cell r="K50">
            <v>92155.064819335894</v>
          </cell>
        </row>
        <row r="51">
          <cell r="A51" t="str">
            <v>WI</v>
          </cell>
          <cell r="B51">
            <v>5648114</v>
          </cell>
          <cell r="C51">
            <v>1358661.84505391</v>
          </cell>
          <cell r="D51">
            <v>3235175.1267242399</v>
          </cell>
          <cell r="E51">
            <v>823024.94528389</v>
          </cell>
          <cell r="F51">
            <v>231251.869998932</v>
          </cell>
          <cell r="G51">
            <v>3536887.977611063</v>
          </cell>
          <cell r="H51">
            <v>731309.97964620602</v>
          </cell>
          <cell r="I51">
            <v>2246660.5923099499</v>
          </cell>
          <cell r="J51">
            <v>493748.100883484</v>
          </cell>
          <cell r="K51">
            <v>65169.304771423303</v>
          </cell>
        </row>
        <row r="52">
          <cell r="A52" t="str">
            <v>WV</v>
          </cell>
          <cell r="B52">
            <v>1816362</v>
          </cell>
          <cell r="C52">
            <v>403030.12023925799</v>
          </cell>
          <cell r="D52">
            <v>955174.25743222202</v>
          </cell>
          <cell r="E52">
            <v>245981.470039368</v>
          </cell>
          <cell r="F52">
            <v>212176.18006896999</v>
          </cell>
          <cell r="G52">
            <v>963587.93747329677</v>
          </cell>
          <cell r="H52">
            <v>177912.71986770601</v>
          </cell>
          <cell r="I52">
            <v>610414.497810364</v>
          </cell>
          <cell r="J52">
            <v>124706.379859924</v>
          </cell>
          <cell r="K52">
            <v>50554.339935302698</v>
          </cell>
        </row>
        <row r="53">
          <cell r="A53" t="str">
            <v>WY</v>
          </cell>
          <cell r="B53">
            <v>549871.625</v>
          </cell>
          <cell r="C53">
            <v>140695.29506832399</v>
          </cell>
          <cell r="D53">
            <v>326491.63497507601</v>
          </cell>
          <cell r="E53">
            <v>62154.444747447997</v>
          </cell>
          <cell r="F53">
            <v>20530.2349739075</v>
          </cell>
          <cell r="G53">
            <v>338841.74967312842</v>
          </cell>
          <cell r="H53">
            <v>75458.825020015196</v>
          </cell>
          <cell r="I53">
            <v>221382.269785941</v>
          </cell>
          <cell r="J53">
            <v>34922.739896774299</v>
          </cell>
          <cell r="K53">
            <v>7077.9149703979501</v>
          </cell>
        </row>
        <row r="54">
          <cell r="A54" t="str">
            <v>US</v>
          </cell>
          <cell r="B54">
            <v>307468461.4375</v>
          </cell>
          <cell r="C54">
            <v>77313524.958712161</v>
          </cell>
          <cell r="D54">
            <v>173860943.38061759</v>
          </cell>
          <cell r="E54">
            <v>40342742.854552567</v>
          </cell>
          <cell r="F54">
            <v>15951251.425321583</v>
          </cell>
          <cell r="G54">
            <v>175385922.9025884</v>
          </cell>
          <cell r="H54">
            <v>37099060.029183201</v>
          </cell>
          <cell r="I54">
            <v>111976548.44048747</v>
          </cell>
          <cell r="J54">
            <v>22165189.671370141</v>
          </cell>
          <cell r="K54">
            <v>4145124.761547565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DF"/>
      <sheetName val="CCDF - Totals"/>
      <sheetName val="SSI-elderly"/>
      <sheetName val="SSI-disabled"/>
      <sheetName val="SSI - Totals"/>
      <sheetName val="TANF"/>
      <sheetName val="TANF - Totals"/>
      <sheetName val="Mcd-children"/>
      <sheetName val="Mcd-adults"/>
      <sheetName val="Mcd-disabled"/>
      <sheetName val="Mcd-elderly"/>
      <sheetName val="Medicaid - Totals"/>
      <sheetName val="Notes"/>
    </sheetNames>
    <sheetDataSet>
      <sheetData sheetId="0"/>
      <sheetData sheetId="1"/>
      <sheetData sheetId="2"/>
      <sheetData sheetId="3"/>
      <sheetData sheetId="4"/>
      <sheetData sheetId="5"/>
      <sheetData sheetId="6"/>
      <sheetData sheetId="7"/>
      <sheetData sheetId="8"/>
      <sheetData sheetId="9"/>
      <sheetData sheetId="10"/>
      <sheetData sheetId="11">
        <row r="4">
          <cell r="A4" t="str">
            <v>Alabama</v>
          </cell>
          <cell r="B4">
            <v>710762</v>
          </cell>
          <cell r="C4">
            <v>727712</v>
          </cell>
          <cell r="D4">
            <v>531078</v>
          </cell>
          <cell r="E4">
            <v>501629</v>
          </cell>
          <cell r="F4">
            <v>62675</v>
          </cell>
          <cell r="G4">
            <v>48848</v>
          </cell>
          <cell r="H4">
            <v>21161</v>
          </cell>
          <cell r="I4">
            <v>31048</v>
          </cell>
          <cell r="J4">
            <v>95848</v>
          </cell>
          <cell r="K4">
            <v>146187</v>
          </cell>
        </row>
        <row r="5">
          <cell r="A5" t="str">
            <v>Alaska</v>
          </cell>
          <cell r="B5">
            <v>148576</v>
          </cell>
          <cell r="C5">
            <v>110132</v>
          </cell>
          <cell r="D5">
            <v>84593</v>
          </cell>
          <cell r="E5">
            <v>68715</v>
          </cell>
          <cell r="F5">
            <v>21836</v>
          </cell>
          <cell r="G5">
            <v>20182</v>
          </cell>
          <cell r="H5">
            <v>10376</v>
          </cell>
          <cell r="I5">
            <v>7004</v>
          </cell>
          <cell r="J5">
            <v>31771</v>
          </cell>
          <cell r="K5">
            <v>14231</v>
          </cell>
        </row>
        <row r="6">
          <cell r="A6" t="str">
            <v>Arizona</v>
          </cell>
          <cell r="B6">
            <v>1780964</v>
          </cell>
          <cell r="C6">
            <v>1149975</v>
          </cell>
          <cell r="D6">
            <v>802992</v>
          </cell>
          <cell r="E6">
            <v>570107</v>
          </cell>
          <cell r="F6">
            <v>559519</v>
          </cell>
          <cell r="G6">
            <v>402219</v>
          </cell>
          <cell r="H6">
            <v>82405</v>
          </cell>
          <cell r="I6">
            <v>62178</v>
          </cell>
          <cell r="J6">
            <v>336048</v>
          </cell>
          <cell r="K6">
            <v>115471</v>
          </cell>
        </row>
        <row r="7">
          <cell r="A7" t="str">
            <v>Arkansas</v>
          </cell>
          <cell r="B7">
            <v>775534</v>
          </cell>
          <cell r="C7">
            <v>510363</v>
          </cell>
          <cell r="D7">
            <v>447346</v>
          </cell>
          <cell r="E7">
            <v>357223</v>
          </cell>
          <cell r="F7">
            <v>57491</v>
          </cell>
          <cell r="G7">
            <v>29715</v>
          </cell>
          <cell r="H7">
            <v>60969</v>
          </cell>
          <cell r="I7">
            <v>25455</v>
          </cell>
          <cell r="J7">
            <v>209728</v>
          </cell>
          <cell r="K7">
            <v>97970</v>
          </cell>
        </row>
        <row r="8">
          <cell r="A8" t="str">
            <v>California</v>
          </cell>
          <cell r="B8">
            <v>10015659</v>
          </cell>
          <cell r="C8">
            <v>7178279</v>
          </cell>
          <cell r="D8">
            <v>5238850</v>
          </cell>
          <cell r="E8">
            <v>4259070</v>
          </cell>
          <cell r="F8">
            <v>1615660</v>
          </cell>
          <cell r="G8">
            <v>1225250</v>
          </cell>
          <cell r="H8">
            <v>1053490</v>
          </cell>
          <cell r="I8">
            <v>799690</v>
          </cell>
          <cell r="J8">
            <v>2107659</v>
          </cell>
          <cell r="K8">
            <v>894269</v>
          </cell>
        </row>
        <row r="9">
          <cell r="A9" t="str">
            <v>Colorado</v>
          </cell>
          <cell r="B9">
            <v>690803</v>
          </cell>
          <cell r="C9">
            <v>504155</v>
          </cell>
          <cell r="D9">
            <v>415221</v>
          </cell>
          <cell r="E9">
            <v>339068</v>
          </cell>
          <cell r="F9">
            <v>76454</v>
          </cell>
          <cell r="G9">
            <v>68321</v>
          </cell>
          <cell r="H9">
            <v>48771</v>
          </cell>
          <cell r="I9">
            <v>29870</v>
          </cell>
          <cell r="J9">
            <v>150357</v>
          </cell>
          <cell r="K9">
            <v>66896</v>
          </cell>
        </row>
        <row r="10">
          <cell r="A10" t="str">
            <v>Connecticut</v>
          </cell>
          <cell r="B10">
            <v>763510</v>
          </cell>
          <cell r="C10">
            <v>538438</v>
          </cell>
          <cell r="D10">
            <v>312405</v>
          </cell>
          <cell r="E10">
            <v>287339</v>
          </cell>
          <cell r="F10">
            <v>198681</v>
          </cell>
          <cell r="G10">
            <v>177766</v>
          </cell>
          <cell r="H10">
            <v>105671</v>
          </cell>
          <cell r="I10">
            <v>24747</v>
          </cell>
          <cell r="J10">
            <v>146753</v>
          </cell>
          <cell r="K10">
            <v>48586</v>
          </cell>
        </row>
        <row r="11">
          <cell r="A11" t="str">
            <v>Delaware</v>
          </cell>
          <cell r="B11">
            <v>171561</v>
          </cell>
          <cell r="C11">
            <v>161973</v>
          </cell>
          <cell r="D11">
            <v>78366</v>
          </cell>
          <cell r="E11">
            <v>81335</v>
          </cell>
          <cell r="F11">
            <v>56045</v>
          </cell>
          <cell r="G11">
            <v>61244</v>
          </cell>
          <cell r="H11">
            <v>2594</v>
          </cell>
          <cell r="I11">
            <v>3473</v>
          </cell>
          <cell r="J11">
            <v>34556</v>
          </cell>
          <cell r="K11">
            <v>15921</v>
          </cell>
        </row>
        <row r="12">
          <cell r="A12" t="str">
            <v>District of Columbia</v>
          </cell>
          <cell r="B12">
            <v>232542</v>
          </cell>
          <cell r="C12">
            <v>159737</v>
          </cell>
          <cell r="D12">
            <v>73698</v>
          </cell>
          <cell r="E12">
            <v>76761</v>
          </cell>
          <cell r="F12">
            <v>80013</v>
          </cell>
          <cell r="G12">
            <v>43429</v>
          </cell>
          <cell r="H12">
            <v>24633</v>
          </cell>
          <cell r="I12">
            <v>9546</v>
          </cell>
          <cell r="J12">
            <v>54198</v>
          </cell>
          <cell r="K12">
            <v>30001</v>
          </cell>
        </row>
        <row r="13">
          <cell r="A13" t="str">
            <v>Florida</v>
          </cell>
          <cell r="B13">
            <v>3640263</v>
          </cell>
          <cell r="C13">
            <v>2792302</v>
          </cell>
          <cell r="D13">
            <v>1922888</v>
          </cell>
          <cell r="E13">
            <v>1809055</v>
          </cell>
          <cell r="F13">
            <v>382053</v>
          </cell>
          <cell r="G13">
            <v>403705</v>
          </cell>
          <cell r="H13">
            <v>371058</v>
          </cell>
          <cell r="I13">
            <v>200377</v>
          </cell>
          <cell r="J13">
            <v>964264</v>
          </cell>
          <cell r="K13">
            <v>379165</v>
          </cell>
        </row>
        <row r="14">
          <cell r="A14" t="str">
            <v>Georgia</v>
          </cell>
          <cell r="B14">
            <v>2089758</v>
          </cell>
          <cell r="C14">
            <v>1495836</v>
          </cell>
          <cell r="D14">
            <v>1251302</v>
          </cell>
          <cell r="E14">
            <v>1065149</v>
          </cell>
          <cell r="F14">
            <v>194932</v>
          </cell>
          <cell r="G14">
            <v>172789</v>
          </cell>
          <cell r="H14">
            <v>93534</v>
          </cell>
          <cell r="I14">
            <v>57812</v>
          </cell>
          <cell r="J14">
            <v>549990</v>
          </cell>
          <cell r="K14">
            <v>200086</v>
          </cell>
        </row>
        <row r="15">
          <cell r="A15" t="str">
            <v>Hawaii</v>
          </cell>
          <cell r="B15">
            <v>349354</v>
          </cell>
          <cell r="C15">
            <v>244117</v>
          </cell>
          <cell r="D15">
            <v>155637</v>
          </cell>
          <cell r="E15">
            <v>122278</v>
          </cell>
          <cell r="F15">
            <v>104583</v>
          </cell>
          <cell r="G15">
            <v>80305</v>
          </cell>
          <cell r="H15">
            <v>40272</v>
          </cell>
          <cell r="I15">
            <v>18903</v>
          </cell>
          <cell r="J15">
            <v>48862</v>
          </cell>
          <cell r="K15">
            <v>22631</v>
          </cell>
        </row>
        <row r="16">
          <cell r="A16" t="str">
            <v>Idaho</v>
          </cell>
          <cell r="B16">
            <v>268409</v>
          </cell>
          <cell r="C16">
            <v>181129</v>
          </cell>
          <cell r="D16">
            <v>175878</v>
          </cell>
          <cell r="E16">
            <v>127816</v>
          </cell>
          <cell r="F16">
            <v>30190</v>
          </cell>
          <cell r="G16">
            <v>17173</v>
          </cell>
          <cell r="H16">
            <v>9417</v>
          </cell>
          <cell r="I16">
            <v>7206</v>
          </cell>
          <cell r="J16">
            <v>52924</v>
          </cell>
          <cell r="K16">
            <v>28934</v>
          </cell>
        </row>
        <row r="17">
          <cell r="A17" t="str">
            <v>Illinois</v>
          </cell>
          <cell r="B17">
            <v>3122376</v>
          </cell>
          <cell r="C17">
            <v>2471471</v>
          </cell>
          <cell r="D17">
            <v>1523836</v>
          </cell>
          <cell r="E17">
            <v>1514831</v>
          </cell>
          <cell r="F17">
            <v>693135</v>
          </cell>
          <cell r="G17">
            <v>594689</v>
          </cell>
          <cell r="H17">
            <v>226502</v>
          </cell>
          <cell r="I17">
            <v>124420</v>
          </cell>
          <cell r="J17">
            <v>678903</v>
          </cell>
          <cell r="K17">
            <v>237531</v>
          </cell>
        </row>
        <row r="18">
          <cell r="A18" t="str">
            <v>Indiana</v>
          </cell>
          <cell r="B18">
            <v>1149886</v>
          </cell>
          <cell r="C18">
            <v>942361</v>
          </cell>
          <cell r="D18">
            <v>704526</v>
          </cell>
          <cell r="E18">
            <v>621814</v>
          </cell>
          <cell r="F18">
            <v>131451</v>
          </cell>
          <cell r="G18">
            <v>177494</v>
          </cell>
          <cell r="H18">
            <v>55919</v>
          </cell>
          <cell r="I18">
            <v>28851</v>
          </cell>
          <cell r="J18">
            <v>257990</v>
          </cell>
          <cell r="K18">
            <v>114202</v>
          </cell>
        </row>
        <row r="19">
          <cell r="A19" t="str">
            <v>Iowa</v>
          </cell>
          <cell r="B19">
            <v>634184</v>
          </cell>
          <cell r="C19">
            <v>434825</v>
          </cell>
          <cell r="D19">
            <v>315948</v>
          </cell>
          <cell r="E19">
            <v>258458</v>
          </cell>
          <cell r="F19">
            <v>86888</v>
          </cell>
          <cell r="G19">
            <v>97180</v>
          </cell>
          <cell r="H19">
            <v>65983</v>
          </cell>
          <cell r="I19">
            <v>15622</v>
          </cell>
          <cell r="J19">
            <v>165365</v>
          </cell>
          <cell r="K19">
            <v>63565</v>
          </cell>
        </row>
        <row r="20">
          <cell r="A20" t="str">
            <v>Kansas</v>
          </cell>
          <cell r="B20">
            <v>597846</v>
          </cell>
          <cell r="C20">
            <v>320310</v>
          </cell>
          <cell r="D20">
            <v>331172</v>
          </cell>
          <cell r="E20">
            <v>216166</v>
          </cell>
          <cell r="F20">
            <v>55571</v>
          </cell>
          <cell r="G20">
            <v>34599</v>
          </cell>
          <cell r="H20">
            <v>67921</v>
          </cell>
          <cell r="I20">
            <v>13565</v>
          </cell>
          <cell r="J20">
            <v>143182</v>
          </cell>
          <cell r="K20">
            <v>55980</v>
          </cell>
        </row>
        <row r="21">
          <cell r="A21" t="str">
            <v>Kentucky</v>
          </cell>
          <cell r="B21">
            <v>1082791</v>
          </cell>
          <cell r="C21">
            <v>723846</v>
          </cell>
          <cell r="D21">
            <v>490936</v>
          </cell>
          <cell r="E21">
            <v>428440</v>
          </cell>
          <cell r="F21">
            <v>111352</v>
          </cell>
          <cell r="G21">
            <v>91035</v>
          </cell>
          <cell r="H21">
            <v>76821</v>
          </cell>
          <cell r="I21">
            <v>35468</v>
          </cell>
          <cell r="J21">
            <v>403682</v>
          </cell>
          <cell r="K21">
            <v>168903</v>
          </cell>
        </row>
        <row r="22">
          <cell r="A22" t="str">
            <v>Louisiana</v>
          </cell>
          <cell r="B22">
            <v>1321977</v>
          </cell>
          <cell r="C22">
            <v>980581</v>
          </cell>
          <cell r="D22">
            <v>705591</v>
          </cell>
          <cell r="E22">
            <v>682634</v>
          </cell>
          <cell r="F22">
            <v>144073</v>
          </cell>
          <cell r="G22">
            <v>103974</v>
          </cell>
          <cell r="H22">
            <v>103701</v>
          </cell>
          <cell r="I22">
            <v>38017</v>
          </cell>
          <cell r="J22">
            <v>368612</v>
          </cell>
          <cell r="K22">
            <v>155956</v>
          </cell>
        </row>
        <row r="23">
          <cell r="A23" t="str">
            <v>Maine</v>
          </cell>
          <cell r="B23">
            <v>417975</v>
          </cell>
          <cell r="C23">
            <v>270558</v>
          </cell>
          <cell r="D23">
            <v>131530</v>
          </cell>
          <cell r="E23">
            <v>99998</v>
          </cell>
          <cell r="F23">
            <v>77272</v>
          </cell>
          <cell r="G23">
            <v>95824</v>
          </cell>
          <cell r="H23">
            <v>84398</v>
          </cell>
          <cell r="I23">
            <v>18824</v>
          </cell>
          <cell r="J23">
            <v>124775</v>
          </cell>
          <cell r="K23">
            <v>55912</v>
          </cell>
        </row>
        <row r="24">
          <cell r="A24" t="str">
            <v>Maryland</v>
          </cell>
          <cell r="B24">
            <v>1038630</v>
          </cell>
          <cell r="C24">
            <v>763998</v>
          </cell>
          <cell r="D24">
            <v>505500</v>
          </cell>
          <cell r="E24">
            <v>477701</v>
          </cell>
          <cell r="F24">
            <v>150867</v>
          </cell>
          <cell r="G24">
            <v>144706</v>
          </cell>
          <cell r="H24">
            <v>104114</v>
          </cell>
          <cell r="I24">
            <v>31867</v>
          </cell>
          <cell r="J24">
            <v>278149</v>
          </cell>
          <cell r="K24">
            <v>109724</v>
          </cell>
        </row>
        <row r="25">
          <cell r="A25" t="str">
            <v>Massachusetts</v>
          </cell>
          <cell r="B25">
            <v>1858257</v>
          </cell>
          <cell r="C25">
            <v>1046563</v>
          </cell>
          <cell r="D25">
            <v>503474</v>
          </cell>
          <cell r="E25">
            <v>489253</v>
          </cell>
          <cell r="F25">
            <v>347257</v>
          </cell>
          <cell r="G25">
            <v>231921</v>
          </cell>
          <cell r="H25">
            <v>441279</v>
          </cell>
          <cell r="I25">
            <v>89952</v>
          </cell>
          <cell r="J25">
            <v>566247</v>
          </cell>
          <cell r="K25">
            <v>235437</v>
          </cell>
        </row>
        <row r="26">
          <cell r="A26" t="str">
            <v>Michigan</v>
          </cell>
          <cell r="B26">
            <v>2291174</v>
          </cell>
          <cell r="C26">
            <v>1724772</v>
          </cell>
          <cell r="D26">
            <v>1047198</v>
          </cell>
          <cell r="E26">
            <v>1038125</v>
          </cell>
          <cell r="F26">
            <v>310687</v>
          </cell>
          <cell r="G26">
            <v>316340</v>
          </cell>
          <cell r="H26">
            <v>192333</v>
          </cell>
          <cell r="I26">
            <v>76472</v>
          </cell>
          <cell r="J26">
            <v>740956</v>
          </cell>
          <cell r="K26">
            <v>293835</v>
          </cell>
        </row>
        <row r="27">
          <cell r="A27" t="str">
            <v>Minnesota</v>
          </cell>
          <cell r="B27">
            <v>1502760</v>
          </cell>
          <cell r="C27">
            <v>666928</v>
          </cell>
          <cell r="D27">
            <v>654281</v>
          </cell>
          <cell r="E27">
            <v>353857</v>
          </cell>
          <cell r="F27">
            <v>386189</v>
          </cell>
          <cell r="G27">
            <v>166403</v>
          </cell>
          <cell r="H27">
            <v>214760</v>
          </cell>
          <cell r="I27">
            <v>39860</v>
          </cell>
          <cell r="J27">
            <v>247530</v>
          </cell>
          <cell r="K27">
            <v>106808</v>
          </cell>
        </row>
        <row r="28">
          <cell r="A28" t="str">
            <v>Mississippi</v>
          </cell>
          <cell r="B28">
            <v>772761</v>
          </cell>
          <cell r="C28">
            <v>556334</v>
          </cell>
          <cell r="D28">
            <v>440191</v>
          </cell>
          <cell r="E28">
            <v>355755</v>
          </cell>
          <cell r="F28">
            <v>72443</v>
          </cell>
          <cell r="G28">
            <v>59630</v>
          </cell>
          <cell r="H28">
            <v>23077</v>
          </cell>
          <cell r="I28">
            <v>30638</v>
          </cell>
          <cell r="J28">
            <v>237050</v>
          </cell>
          <cell r="K28">
            <v>110311</v>
          </cell>
        </row>
        <row r="29">
          <cell r="A29" t="str">
            <v>Missouri</v>
          </cell>
          <cell r="B29">
            <v>1129355</v>
          </cell>
          <cell r="C29">
            <v>843371</v>
          </cell>
          <cell r="D29">
            <v>579922</v>
          </cell>
          <cell r="E29">
            <v>530228</v>
          </cell>
          <cell r="F29">
            <v>113349</v>
          </cell>
          <cell r="G29">
            <v>112387</v>
          </cell>
          <cell r="H29">
            <v>37425</v>
          </cell>
          <cell r="I29">
            <v>46211</v>
          </cell>
          <cell r="J29">
            <v>398659</v>
          </cell>
          <cell r="K29">
            <v>154545</v>
          </cell>
        </row>
        <row r="30">
          <cell r="A30" t="str">
            <v>Montana</v>
          </cell>
          <cell r="B30">
            <v>230495</v>
          </cell>
          <cell r="C30">
            <v>99572</v>
          </cell>
          <cell r="D30">
            <v>100522</v>
          </cell>
          <cell r="E30">
            <v>74631</v>
          </cell>
          <cell r="F30">
            <v>24303</v>
          </cell>
          <cell r="G30">
            <v>5437</v>
          </cell>
          <cell r="H30">
            <v>54292</v>
          </cell>
          <cell r="I30">
            <v>3976</v>
          </cell>
          <cell r="J30">
            <v>51378</v>
          </cell>
          <cell r="K30">
            <v>15528</v>
          </cell>
        </row>
        <row r="31">
          <cell r="A31" t="str">
            <v>Nebraska</v>
          </cell>
          <cell r="B31">
            <v>347985</v>
          </cell>
          <cell r="C31">
            <v>215718</v>
          </cell>
          <cell r="D31">
            <v>172797</v>
          </cell>
          <cell r="E31">
            <v>148752</v>
          </cell>
          <cell r="F31">
            <v>27142</v>
          </cell>
          <cell r="G31">
            <v>28493</v>
          </cell>
          <cell r="H31">
            <v>65702</v>
          </cell>
          <cell r="I31">
            <v>7719</v>
          </cell>
          <cell r="J31">
            <v>82344</v>
          </cell>
          <cell r="K31">
            <v>30754</v>
          </cell>
        </row>
        <row r="32">
          <cell r="A32" t="str">
            <v>Nevada</v>
          </cell>
          <cell r="B32">
            <v>429119</v>
          </cell>
          <cell r="C32">
            <v>252118</v>
          </cell>
          <cell r="D32">
            <v>282631</v>
          </cell>
          <cell r="E32">
            <v>173555</v>
          </cell>
          <cell r="F32">
            <v>48175</v>
          </cell>
          <cell r="G32">
            <v>40360</v>
          </cell>
          <cell r="H32">
            <v>24693</v>
          </cell>
          <cell r="I32">
            <v>10869</v>
          </cell>
          <cell r="J32">
            <v>73620</v>
          </cell>
          <cell r="K32">
            <v>27334</v>
          </cell>
        </row>
        <row r="33">
          <cell r="A33" t="str">
            <v>New Hampshire</v>
          </cell>
          <cell r="B33">
            <v>228063</v>
          </cell>
          <cell r="C33">
            <v>128906</v>
          </cell>
          <cell r="D33">
            <v>86225</v>
          </cell>
          <cell r="E33">
            <v>89366</v>
          </cell>
          <cell r="F33">
            <v>15037</v>
          </cell>
          <cell r="G33">
            <v>15863</v>
          </cell>
          <cell r="H33">
            <v>63761</v>
          </cell>
          <cell r="I33">
            <v>4401</v>
          </cell>
          <cell r="J33">
            <v>63040</v>
          </cell>
          <cell r="K33">
            <v>19276</v>
          </cell>
        </row>
        <row r="34">
          <cell r="A34" t="str">
            <v>New Jersey</v>
          </cell>
          <cell r="B34">
            <v>1576749</v>
          </cell>
          <cell r="C34">
            <v>1089830</v>
          </cell>
          <cell r="D34">
            <v>776478</v>
          </cell>
          <cell r="E34">
            <v>650520</v>
          </cell>
          <cell r="F34">
            <v>158630</v>
          </cell>
          <cell r="G34">
            <v>226599</v>
          </cell>
          <cell r="H34">
            <v>244288</v>
          </cell>
          <cell r="I34">
            <v>80261</v>
          </cell>
          <cell r="J34">
            <v>397353</v>
          </cell>
          <cell r="K34">
            <v>132450</v>
          </cell>
        </row>
        <row r="35">
          <cell r="A35" t="str">
            <v>New Mexico</v>
          </cell>
          <cell r="B35">
            <v>482049</v>
          </cell>
          <cell r="C35">
            <v>441880</v>
          </cell>
          <cell r="D35">
            <v>301781</v>
          </cell>
          <cell r="E35">
            <v>309986</v>
          </cell>
          <cell r="F35">
            <v>59455</v>
          </cell>
          <cell r="G35">
            <v>60403</v>
          </cell>
          <cell r="H35">
            <v>14780</v>
          </cell>
          <cell r="I35">
            <v>21727</v>
          </cell>
          <cell r="J35">
            <v>106033</v>
          </cell>
          <cell r="K35">
            <v>49764</v>
          </cell>
        </row>
        <row r="36">
          <cell r="A36" t="str">
            <v>New York</v>
          </cell>
          <cell r="B36">
            <v>6846216</v>
          </cell>
          <cell r="C36">
            <v>4263194</v>
          </cell>
          <cell r="D36">
            <v>2415201</v>
          </cell>
          <cell r="E36">
            <v>2067129</v>
          </cell>
          <cell r="F36">
            <v>1654240</v>
          </cell>
          <cell r="G36">
            <v>1256550</v>
          </cell>
          <cell r="H36">
            <v>1298270</v>
          </cell>
          <cell r="I36">
            <v>370000</v>
          </cell>
          <cell r="J36">
            <v>1478505</v>
          </cell>
          <cell r="K36">
            <v>569515</v>
          </cell>
        </row>
        <row r="37">
          <cell r="A37" t="str">
            <v>North Carolina</v>
          </cell>
          <cell r="B37">
            <v>2330848</v>
          </cell>
          <cell r="C37">
            <v>1461915</v>
          </cell>
          <cell r="D37">
            <v>1166785</v>
          </cell>
          <cell r="E37">
            <v>934738</v>
          </cell>
          <cell r="F37">
            <v>375889</v>
          </cell>
          <cell r="G37">
            <v>185778</v>
          </cell>
          <cell r="H37">
            <v>181627</v>
          </cell>
          <cell r="I37">
            <v>98845</v>
          </cell>
          <cell r="J37">
            <v>606547</v>
          </cell>
          <cell r="K37">
            <v>242554</v>
          </cell>
        </row>
        <row r="38">
          <cell r="A38" t="str">
            <v>North Dakota</v>
          </cell>
          <cell r="B38">
            <v>104491</v>
          </cell>
          <cell r="C38">
            <v>61180</v>
          </cell>
          <cell r="D38">
            <v>47827</v>
          </cell>
          <cell r="E38">
            <v>39334</v>
          </cell>
          <cell r="F38">
            <v>19161</v>
          </cell>
          <cell r="G38">
            <v>11204</v>
          </cell>
          <cell r="H38">
            <v>17583</v>
          </cell>
          <cell r="I38">
            <v>2652</v>
          </cell>
          <cell r="J38">
            <v>19920</v>
          </cell>
          <cell r="K38">
            <v>7990</v>
          </cell>
        </row>
        <row r="39">
          <cell r="A39" t="str">
            <v>Ohio</v>
          </cell>
          <cell r="B39">
            <v>2087020</v>
          </cell>
          <cell r="C39">
            <v>1893717</v>
          </cell>
          <cell r="D39">
            <v>1161113</v>
          </cell>
          <cell r="E39">
            <v>1120965</v>
          </cell>
          <cell r="F39">
            <v>377440</v>
          </cell>
          <cell r="G39">
            <v>442217</v>
          </cell>
          <cell r="H39">
            <v>18958</v>
          </cell>
          <cell r="I39">
            <v>60753</v>
          </cell>
          <cell r="J39">
            <v>529509</v>
          </cell>
          <cell r="K39">
            <v>269782</v>
          </cell>
        </row>
        <row r="40">
          <cell r="A40" t="str">
            <v>Oklahoma</v>
          </cell>
          <cell r="B40">
            <v>790071</v>
          </cell>
          <cell r="C40">
            <v>640504</v>
          </cell>
          <cell r="D40">
            <v>437586</v>
          </cell>
          <cell r="E40">
            <v>428700</v>
          </cell>
          <cell r="F40">
            <v>83213</v>
          </cell>
          <cell r="G40">
            <v>83900</v>
          </cell>
          <cell r="H40">
            <v>46045</v>
          </cell>
          <cell r="I40">
            <v>35065</v>
          </cell>
          <cell r="J40">
            <v>223227</v>
          </cell>
          <cell r="K40">
            <v>92839</v>
          </cell>
        </row>
        <row r="41">
          <cell r="A41" t="str">
            <v>Oregon</v>
          </cell>
          <cell r="B41">
            <v>641558</v>
          </cell>
          <cell r="C41">
            <v>475351</v>
          </cell>
          <cell r="D41">
            <v>380950</v>
          </cell>
          <cell r="E41">
            <v>310395</v>
          </cell>
          <cell r="F41">
            <v>101585</v>
          </cell>
          <cell r="G41">
            <v>66119</v>
          </cell>
          <cell r="H41">
            <v>21326</v>
          </cell>
          <cell r="I41">
            <v>27914</v>
          </cell>
          <cell r="J41">
            <v>137697</v>
          </cell>
          <cell r="K41">
            <v>70923</v>
          </cell>
        </row>
        <row r="42">
          <cell r="A42" t="str">
            <v>Pennsylvania</v>
          </cell>
          <cell r="B42">
            <v>2763456</v>
          </cell>
          <cell r="C42">
            <v>2009918</v>
          </cell>
          <cell r="D42">
            <v>1132893</v>
          </cell>
          <cell r="E42">
            <v>1101047</v>
          </cell>
          <cell r="F42">
            <v>272219</v>
          </cell>
          <cell r="G42">
            <v>293054</v>
          </cell>
          <cell r="H42">
            <v>326619</v>
          </cell>
          <cell r="I42">
            <v>117393</v>
          </cell>
          <cell r="J42">
            <v>1031725</v>
          </cell>
          <cell r="K42">
            <v>498424</v>
          </cell>
        </row>
        <row r="43">
          <cell r="A43" t="str">
            <v>Rhode Island</v>
          </cell>
          <cell r="B43">
            <v>311273</v>
          </cell>
          <cell r="C43">
            <v>164357</v>
          </cell>
          <cell r="D43">
            <v>101992</v>
          </cell>
          <cell r="E43">
            <v>89139</v>
          </cell>
          <cell r="F43">
            <v>54555</v>
          </cell>
          <cell r="G43">
            <v>29707</v>
          </cell>
          <cell r="H43">
            <v>72215</v>
          </cell>
          <cell r="I43">
            <v>11309</v>
          </cell>
          <cell r="J43">
            <v>82511</v>
          </cell>
          <cell r="K43">
            <v>34202</v>
          </cell>
        </row>
        <row r="44">
          <cell r="A44" t="str">
            <v>South Carolina</v>
          </cell>
          <cell r="B44">
            <v>1033251</v>
          </cell>
          <cell r="C44">
            <v>743898</v>
          </cell>
          <cell r="D44">
            <v>544972</v>
          </cell>
          <cell r="E44">
            <v>450282</v>
          </cell>
          <cell r="F44">
            <v>116619</v>
          </cell>
          <cell r="G44">
            <v>112543</v>
          </cell>
          <cell r="H44">
            <v>75937</v>
          </cell>
          <cell r="I44">
            <v>52436</v>
          </cell>
          <cell r="J44">
            <v>295723</v>
          </cell>
          <cell r="K44">
            <v>128637</v>
          </cell>
        </row>
        <row r="45">
          <cell r="A45" t="str">
            <v>South Dakota</v>
          </cell>
          <cell r="B45">
            <v>118988</v>
          </cell>
          <cell r="C45">
            <v>105289</v>
          </cell>
          <cell r="D45">
            <v>73507</v>
          </cell>
          <cell r="E45">
            <v>74943</v>
          </cell>
          <cell r="F45">
            <v>14802</v>
          </cell>
          <cell r="G45">
            <v>14164</v>
          </cell>
          <cell r="H45">
            <v>3576</v>
          </cell>
          <cell r="I45">
            <v>3467</v>
          </cell>
          <cell r="J45">
            <v>27103</v>
          </cell>
          <cell r="K45">
            <v>12715</v>
          </cell>
        </row>
        <row r="46">
          <cell r="A46" t="str">
            <v>Tennessee</v>
          </cell>
          <cell r="B46">
            <v>1622113</v>
          </cell>
          <cell r="C46">
            <v>1221298</v>
          </cell>
          <cell r="D46">
            <v>829207</v>
          </cell>
          <cell r="E46">
            <v>750637</v>
          </cell>
          <cell r="F46">
            <v>246994</v>
          </cell>
          <cell r="G46">
            <v>236453</v>
          </cell>
          <cell r="H46">
            <v>84635</v>
          </cell>
          <cell r="I46">
            <v>49066</v>
          </cell>
          <cell r="J46">
            <v>461277</v>
          </cell>
          <cell r="K46">
            <v>185142</v>
          </cell>
        </row>
        <row r="47">
          <cell r="A47" t="str">
            <v>Texas</v>
          </cell>
          <cell r="B47">
            <v>5222182</v>
          </cell>
          <cell r="C47">
            <v>3743707</v>
          </cell>
          <cell r="D47">
            <v>3591870</v>
          </cell>
          <cell r="E47">
            <v>2883249</v>
          </cell>
          <cell r="F47">
            <v>515732</v>
          </cell>
          <cell r="G47">
            <v>224664</v>
          </cell>
          <cell r="H47">
            <v>159696</v>
          </cell>
          <cell r="I47">
            <v>183146</v>
          </cell>
          <cell r="J47">
            <v>954884</v>
          </cell>
          <cell r="K47">
            <v>452648</v>
          </cell>
        </row>
        <row r="48">
          <cell r="A48" t="str">
            <v>Utah</v>
          </cell>
          <cell r="B48">
            <v>529528</v>
          </cell>
          <cell r="C48">
            <v>260186</v>
          </cell>
          <cell r="D48">
            <v>293762</v>
          </cell>
          <cell r="E48">
            <v>183213</v>
          </cell>
          <cell r="F48">
            <v>90196</v>
          </cell>
          <cell r="G48">
            <v>35721</v>
          </cell>
          <cell r="H48">
            <v>47638</v>
          </cell>
          <cell r="I48">
            <v>9080</v>
          </cell>
          <cell r="J48">
            <v>97932</v>
          </cell>
          <cell r="K48">
            <v>32172</v>
          </cell>
        </row>
        <row r="49">
          <cell r="A49" t="str">
            <v>Vermont</v>
          </cell>
          <cell r="B49">
            <v>200860</v>
          </cell>
          <cell r="C49">
            <v>132449</v>
          </cell>
          <cell r="D49">
            <v>63698</v>
          </cell>
          <cell r="E49">
            <v>61603</v>
          </cell>
          <cell r="F49">
            <v>71730</v>
          </cell>
          <cell r="G49">
            <v>45954</v>
          </cell>
          <cell r="H49">
            <v>18101</v>
          </cell>
          <cell r="I49">
            <v>6328</v>
          </cell>
          <cell r="J49">
            <v>47331</v>
          </cell>
          <cell r="K49">
            <v>18564</v>
          </cell>
        </row>
        <row r="50">
          <cell r="A50" t="str">
            <v>Virginia</v>
          </cell>
          <cell r="B50">
            <v>1107222</v>
          </cell>
          <cell r="C50">
            <v>852387</v>
          </cell>
          <cell r="D50">
            <v>572935</v>
          </cell>
          <cell r="E50">
            <v>567213</v>
          </cell>
          <cell r="F50">
            <v>97952</v>
          </cell>
          <cell r="G50">
            <v>109742</v>
          </cell>
          <cell r="H50">
            <v>121494</v>
          </cell>
          <cell r="I50">
            <v>50360</v>
          </cell>
          <cell r="J50">
            <v>314841</v>
          </cell>
          <cell r="K50">
            <v>125072</v>
          </cell>
        </row>
        <row r="51">
          <cell r="A51" t="str">
            <v>Washington</v>
          </cell>
          <cell r="B51">
            <v>1594726</v>
          </cell>
          <cell r="C51">
            <v>992662</v>
          </cell>
          <cell r="D51">
            <v>916523</v>
          </cell>
          <cell r="E51">
            <v>661252</v>
          </cell>
          <cell r="F51">
            <v>172897</v>
          </cell>
          <cell r="G51">
            <v>125274</v>
          </cell>
          <cell r="H51">
            <v>167704</v>
          </cell>
          <cell r="I51">
            <v>54092</v>
          </cell>
          <cell r="J51">
            <v>337602</v>
          </cell>
          <cell r="K51">
            <v>152044</v>
          </cell>
        </row>
        <row r="52">
          <cell r="A52" t="str">
            <v>West Virginia</v>
          </cell>
          <cell r="B52">
            <v>594262</v>
          </cell>
          <cell r="C52">
            <v>319608</v>
          </cell>
          <cell r="D52">
            <v>174399</v>
          </cell>
          <cell r="E52">
            <v>181575</v>
          </cell>
          <cell r="F52">
            <v>45158</v>
          </cell>
          <cell r="G52">
            <v>37372</v>
          </cell>
          <cell r="H52">
            <v>141115</v>
          </cell>
          <cell r="I52">
            <v>15168</v>
          </cell>
          <cell r="J52">
            <v>233590</v>
          </cell>
          <cell r="K52">
            <v>85493</v>
          </cell>
        </row>
        <row r="53">
          <cell r="A53" t="str">
            <v>Wisconsin</v>
          </cell>
          <cell r="B53">
            <v>1233993</v>
          </cell>
          <cell r="C53">
            <v>1012757</v>
          </cell>
          <cell r="D53">
            <v>466198</v>
          </cell>
          <cell r="E53">
            <v>466874</v>
          </cell>
          <cell r="F53">
            <v>344378</v>
          </cell>
          <cell r="G53">
            <v>318163</v>
          </cell>
          <cell r="H53">
            <v>134332</v>
          </cell>
          <cell r="I53">
            <v>93108</v>
          </cell>
          <cell r="J53">
            <v>289085</v>
          </cell>
          <cell r="K53">
            <v>134612</v>
          </cell>
        </row>
        <row r="54">
          <cell r="A54" t="str">
            <v>Wyoming</v>
          </cell>
          <cell r="B54">
            <v>70790</v>
          </cell>
          <cell r="C54">
            <v>66306</v>
          </cell>
          <cell r="D54">
            <v>45176</v>
          </cell>
          <cell r="E54">
            <v>49232</v>
          </cell>
          <cell r="F54">
            <v>9189</v>
          </cell>
          <cell r="G54">
            <v>7703</v>
          </cell>
          <cell r="H54">
            <v>2512</v>
          </cell>
          <cell r="I54">
            <v>1534</v>
          </cell>
          <cell r="J54">
            <v>13913</v>
          </cell>
          <cell r="K54">
            <v>7837</v>
          </cell>
        </row>
        <row r="55">
          <cell r="A55" t="str">
            <v>United States</v>
          </cell>
          <cell r="B55">
            <v>71201090</v>
          </cell>
          <cell r="C55">
            <v>50148749</v>
          </cell>
          <cell r="D55">
            <v>35561350</v>
          </cell>
          <cell r="E55">
            <v>30601100</v>
          </cell>
          <cell r="F55">
            <v>11117320</v>
          </cell>
          <cell r="G55">
            <v>8990569</v>
          </cell>
          <cell r="H55">
            <v>7025490</v>
          </cell>
          <cell r="I55">
            <v>3237750</v>
          </cell>
          <cell r="J55">
            <v>17496930</v>
          </cell>
          <cell r="K55">
            <v>7319330</v>
          </cell>
        </row>
      </sheetData>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_data (4)"/>
      <sheetName val="Notes"/>
      <sheetName val="Footnotes"/>
    </sheetNames>
    <sheetDataSet>
      <sheetData sheetId="0">
        <row r="5">
          <cell r="A5" t="str">
            <v>United States</v>
          </cell>
          <cell r="B5">
            <v>85354980224</v>
          </cell>
          <cell r="C5">
            <v>168816660740</v>
          </cell>
          <cell r="D5">
            <v>61059207151</v>
          </cell>
          <cell r="E5">
            <v>82401330673</v>
          </cell>
          <cell r="F5">
            <v>397635211448</v>
          </cell>
        </row>
        <row r="6">
          <cell r="A6" t="str">
            <v>Alabama</v>
          </cell>
          <cell r="B6">
            <v>986626553.10000002</v>
          </cell>
          <cell r="C6">
            <v>1770162281</v>
          </cell>
          <cell r="D6">
            <v>440897430</v>
          </cell>
          <cell r="E6">
            <v>1169533759</v>
          </cell>
          <cell r="F6">
            <v>4367220023</v>
          </cell>
        </row>
        <row r="7">
          <cell r="A7" t="str">
            <v>Alaska</v>
          </cell>
          <cell r="B7">
            <v>220475948.5</v>
          </cell>
          <cell r="C7">
            <v>513294327.5</v>
          </cell>
          <cell r="D7">
            <v>202735870.90000001</v>
          </cell>
          <cell r="E7">
            <v>376891481.10000002</v>
          </cell>
          <cell r="F7">
            <v>1313397628</v>
          </cell>
        </row>
        <row r="8">
          <cell r="A8" t="str">
            <v>Arizona</v>
          </cell>
          <cell r="B8">
            <v>1136216142</v>
          </cell>
          <cell r="C8">
            <v>3170480373</v>
          </cell>
          <cell r="D8">
            <v>2830447068</v>
          </cell>
          <cell r="E8">
            <v>1741295967</v>
          </cell>
          <cell r="F8">
            <v>8878439551</v>
          </cell>
        </row>
        <row r="9">
          <cell r="A9" t="str">
            <v>Arkansas</v>
          </cell>
          <cell r="B9">
            <v>917531521.10000002</v>
          </cell>
          <cell r="C9">
            <v>1750466847</v>
          </cell>
          <cell r="D9">
            <v>186850404.30000001</v>
          </cell>
          <cell r="E9">
            <v>924061274.5</v>
          </cell>
          <cell r="F9">
            <v>3778910047</v>
          </cell>
        </row>
        <row r="10">
          <cell r="A10" t="str">
            <v>California</v>
          </cell>
          <cell r="B10">
            <v>12198596840</v>
          </cell>
          <cell r="C10">
            <v>21384615493</v>
          </cell>
          <cell r="D10">
            <v>7770433532</v>
          </cell>
          <cell r="E10">
            <v>10775014641</v>
          </cell>
          <cell r="F10">
            <v>52128660506</v>
          </cell>
        </row>
        <row r="11">
          <cell r="A11" t="str">
            <v>Colorado</v>
          </cell>
          <cell r="B11">
            <v>873400338.10000002</v>
          </cell>
          <cell r="C11">
            <v>1803188390</v>
          </cell>
          <cell r="D11">
            <v>570201263</v>
          </cell>
          <cell r="E11">
            <v>984398560.5</v>
          </cell>
          <cell r="F11">
            <v>4231188552</v>
          </cell>
        </row>
        <row r="12">
          <cell r="A12" t="str">
            <v>Connecticut</v>
          </cell>
          <cell r="B12">
            <v>1586841079</v>
          </cell>
          <cell r="C12">
            <v>2015220422</v>
          </cell>
          <cell r="D12">
            <v>1259752381</v>
          </cell>
          <cell r="E12">
            <v>1006084781</v>
          </cell>
          <cell r="F12">
            <v>5867898663</v>
          </cell>
        </row>
        <row r="13">
          <cell r="A13" t="str">
            <v>Delaware</v>
          </cell>
          <cell r="B13">
            <v>203502880.5</v>
          </cell>
          <cell r="C13">
            <v>455171890</v>
          </cell>
          <cell r="D13">
            <v>502717762.19999999</v>
          </cell>
          <cell r="E13">
            <v>281603748.19999999</v>
          </cell>
          <cell r="F13">
            <v>1442996281</v>
          </cell>
        </row>
        <row r="14">
          <cell r="A14" t="str">
            <v>District of Columbia</v>
          </cell>
          <cell r="B14">
            <v>383360490.10000002</v>
          </cell>
          <cell r="C14">
            <v>1035111521</v>
          </cell>
          <cell r="D14">
            <v>416529634.89999998</v>
          </cell>
          <cell r="E14">
            <v>238261060.19999999</v>
          </cell>
          <cell r="F14">
            <v>2073262706</v>
          </cell>
        </row>
        <row r="15">
          <cell r="A15" t="str">
            <v>Florida</v>
          </cell>
          <cell r="B15">
            <v>4136102243</v>
          </cell>
          <cell r="C15">
            <v>7315572922</v>
          </cell>
          <cell r="D15">
            <v>2338386212</v>
          </cell>
          <cell r="E15">
            <v>3467371692</v>
          </cell>
          <cell r="F15">
            <v>17257433069</v>
          </cell>
        </row>
        <row r="16">
          <cell r="A16" t="str">
            <v>Georgia</v>
          </cell>
          <cell r="B16">
            <v>1384022121</v>
          </cell>
          <cell r="C16">
            <v>2769397079</v>
          </cell>
          <cell r="D16">
            <v>1254258010</v>
          </cell>
          <cell r="E16">
            <v>2295602955</v>
          </cell>
          <cell r="F16">
            <v>7703280165</v>
          </cell>
        </row>
        <row r="17">
          <cell r="A17" t="str">
            <v>Hawaii</v>
          </cell>
          <cell r="B17">
            <v>424597035.80000001</v>
          </cell>
          <cell r="C17">
            <v>459471278.10000002</v>
          </cell>
          <cell r="D17">
            <v>413397671</v>
          </cell>
          <cell r="E17">
            <v>247366767.40000001</v>
          </cell>
          <cell r="F17">
            <v>1544832752</v>
          </cell>
        </row>
        <row r="18">
          <cell r="A18" t="str">
            <v>Idaho</v>
          </cell>
          <cell r="B18">
            <v>198134931.09999999</v>
          </cell>
          <cell r="C18">
            <v>808460824.10000002</v>
          </cell>
          <cell r="D18">
            <v>199503533.09999999</v>
          </cell>
          <cell r="E18">
            <v>343380527.69999999</v>
          </cell>
          <cell r="F18">
            <v>1550009910</v>
          </cell>
        </row>
        <row r="19">
          <cell r="A19" t="str">
            <v>Illinois</v>
          </cell>
          <cell r="B19">
            <v>2235703239</v>
          </cell>
          <cell r="C19">
            <v>5227096586</v>
          </cell>
          <cell r="D19">
            <v>2307590164</v>
          </cell>
          <cell r="E19">
            <v>3337910560</v>
          </cell>
          <cell r="F19">
            <v>13108300549</v>
          </cell>
        </row>
        <row r="20">
          <cell r="A20" t="str">
            <v>Indiana</v>
          </cell>
          <cell r="B20">
            <v>1393726034</v>
          </cell>
          <cell r="C20">
            <v>2876006492</v>
          </cell>
          <cell r="D20">
            <v>904107020.39999998</v>
          </cell>
          <cell r="E20">
            <v>1299620950</v>
          </cell>
          <cell r="F20">
            <v>6473460496</v>
          </cell>
        </row>
        <row r="21">
          <cell r="A21" t="str">
            <v>Iowa</v>
          </cell>
          <cell r="B21">
            <v>702489015.70000005</v>
          </cell>
          <cell r="C21">
            <v>1605876908</v>
          </cell>
          <cell r="D21">
            <v>376168150</v>
          </cell>
          <cell r="E21">
            <v>601172130.39999998</v>
          </cell>
          <cell r="F21">
            <v>3285706204</v>
          </cell>
        </row>
        <row r="22">
          <cell r="A22" t="str">
            <v>Kansas</v>
          </cell>
          <cell r="B22">
            <v>572878139.60000002</v>
          </cell>
          <cell r="C22">
            <v>1270930080</v>
          </cell>
          <cell r="D22">
            <v>227757387</v>
          </cell>
          <cell r="E22">
            <v>549074018.60000002</v>
          </cell>
          <cell r="F22">
            <v>2620639625</v>
          </cell>
        </row>
        <row r="23">
          <cell r="A23" t="str">
            <v>Kentucky</v>
          </cell>
          <cell r="B23">
            <v>944166351.70000005</v>
          </cell>
          <cell r="C23">
            <v>2610882353</v>
          </cell>
          <cell r="D23">
            <v>722925949.39999998</v>
          </cell>
          <cell r="E23">
            <v>1345119035</v>
          </cell>
          <cell r="F23">
            <v>5623093689</v>
          </cell>
        </row>
        <row r="24">
          <cell r="A24" t="str">
            <v>Louisiana</v>
          </cell>
          <cell r="B24">
            <v>1009340905</v>
          </cell>
          <cell r="C24">
            <v>3096102505</v>
          </cell>
          <cell r="D24">
            <v>733177772.39999998</v>
          </cell>
          <cell r="E24">
            <v>1420323107</v>
          </cell>
          <cell r="F24">
            <v>6258944289</v>
          </cell>
        </row>
        <row r="25">
          <cell r="A25" t="str">
            <v>Maine</v>
          </cell>
          <cell r="B25">
            <v>581997557</v>
          </cell>
          <cell r="C25">
            <v>1084700401</v>
          </cell>
          <cell r="D25">
            <v>242880676.59999999</v>
          </cell>
          <cell r="E25">
            <v>324799167.19999999</v>
          </cell>
          <cell r="F25">
            <v>2234377802</v>
          </cell>
        </row>
        <row r="26">
          <cell r="A26" t="str">
            <v>Maryland</v>
          </cell>
          <cell r="B26">
            <v>1331112792</v>
          </cell>
          <cell r="C26">
            <v>3358882325</v>
          </cell>
          <cell r="D26">
            <v>1257845653</v>
          </cell>
          <cell r="E26">
            <v>1451820678</v>
          </cell>
          <cell r="F26">
            <v>7399661449</v>
          </cell>
        </row>
        <row r="27">
          <cell r="A27" t="str">
            <v>Massachusetts</v>
          </cell>
          <cell r="B27">
            <v>3273628993</v>
          </cell>
          <cell r="C27">
            <v>5797951377</v>
          </cell>
          <cell r="D27">
            <v>2538126997</v>
          </cell>
          <cell r="E27">
            <v>1540298277</v>
          </cell>
          <cell r="F27">
            <v>13152502102</v>
          </cell>
        </row>
        <row r="28">
          <cell r="A28" t="str">
            <v>Michigan</v>
          </cell>
          <cell r="B28">
            <v>2276991456</v>
          </cell>
          <cell r="C28">
            <v>5409190818</v>
          </cell>
          <cell r="D28">
            <v>1935233522</v>
          </cell>
          <cell r="E28">
            <v>2273764347</v>
          </cell>
          <cell r="F28">
            <v>11895180142</v>
          </cell>
        </row>
        <row r="29">
          <cell r="A29" t="str">
            <v>Minnesota</v>
          </cell>
          <cell r="B29">
            <v>1694032262</v>
          </cell>
          <cell r="C29">
            <v>3580828207</v>
          </cell>
          <cell r="D29">
            <v>1425650452</v>
          </cell>
          <cell r="E29">
            <v>1586475501</v>
          </cell>
          <cell r="F29">
            <v>8286986422</v>
          </cell>
        </row>
        <row r="30">
          <cell r="A30" t="str">
            <v>Mississippi</v>
          </cell>
          <cell r="B30">
            <v>931339863.79999995</v>
          </cell>
          <cell r="C30">
            <v>1785015591</v>
          </cell>
          <cell r="D30">
            <v>464221700.5</v>
          </cell>
          <cell r="E30">
            <v>989287332.79999995</v>
          </cell>
          <cell r="F30">
            <v>4169864488</v>
          </cell>
        </row>
        <row r="31">
          <cell r="A31" t="str">
            <v>Missouri</v>
          </cell>
          <cell r="B31">
            <v>1416055460</v>
          </cell>
          <cell r="C31">
            <v>3539573171</v>
          </cell>
          <cell r="D31">
            <v>705291215.20000005</v>
          </cell>
          <cell r="E31">
            <v>1793010481</v>
          </cell>
          <cell r="F31">
            <v>7453930327</v>
          </cell>
        </row>
        <row r="32">
          <cell r="A32" t="str">
            <v>Montana</v>
          </cell>
          <cell r="B32">
            <v>255681412.80000001</v>
          </cell>
          <cell r="C32">
            <v>363052717.69999999</v>
          </cell>
          <cell r="D32">
            <v>99541383.219999999</v>
          </cell>
          <cell r="E32">
            <v>230808175.30000001</v>
          </cell>
          <cell r="F32">
            <v>949083689</v>
          </cell>
        </row>
        <row r="33">
          <cell r="A33" t="str">
            <v>Nebraska</v>
          </cell>
          <cell r="B33">
            <v>364721993.30000001</v>
          </cell>
          <cell r="C33">
            <v>703489892.60000002</v>
          </cell>
          <cell r="D33">
            <v>189627263.90000001</v>
          </cell>
          <cell r="E33">
            <v>334269188.19999999</v>
          </cell>
          <cell r="F33">
            <v>1592108338</v>
          </cell>
        </row>
        <row r="34">
          <cell r="A34" t="str">
            <v>Nevada</v>
          </cell>
          <cell r="B34">
            <v>220679004.80000001</v>
          </cell>
          <cell r="C34">
            <v>595682232.20000005</v>
          </cell>
          <cell r="D34">
            <v>180683261.40000001</v>
          </cell>
          <cell r="E34">
            <v>450223629.60000002</v>
          </cell>
          <cell r="F34">
            <v>1447268128</v>
          </cell>
        </row>
        <row r="35">
          <cell r="A35" t="str">
            <v>New Hampshire</v>
          </cell>
          <cell r="B35">
            <v>299015129.60000002</v>
          </cell>
          <cell r="C35">
            <v>535765548.5</v>
          </cell>
          <cell r="D35">
            <v>83079829.719999999</v>
          </cell>
          <cell r="E35">
            <v>326109186.19999999</v>
          </cell>
          <cell r="F35">
            <v>1243969694</v>
          </cell>
        </row>
        <row r="36">
          <cell r="A36" t="str">
            <v>New Jersey</v>
          </cell>
          <cell r="B36">
            <v>2729666547</v>
          </cell>
          <cell r="C36">
            <v>4056615234</v>
          </cell>
          <cell r="D36">
            <v>737611733.89999998</v>
          </cell>
          <cell r="E36">
            <v>1697822583</v>
          </cell>
          <cell r="F36">
            <v>9221716097</v>
          </cell>
        </row>
        <row r="37">
          <cell r="A37" t="str">
            <v>New Mexico</v>
          </cell>
          <cell r="B37" t="str">
            <v>N/A</v>
          </cell>
          <cell r="C37">
            <v>1035142163</v>
          </cell>
          <cell r="D37">
            <v>629433578.70000005</v>
          </cell>
          <cell r="E37">
            <v>1548571721</v>
          </cell>
          <cell r="F37">
            <v>3286396184</v>
          </cell>
        </row>
        <row r="38">
          <cell r="A38" t="str">
            <v>New York</v>
          </cell>
          <cell r="B38">
            <v>13932279038</v>
          </cell>
          <cell r="C38">
            <v>21564720489</v>
          </cell>
          <cell r="D38">
            <v>10615698681</v>
          </cell>
          <cell r="E38">
            <v>5675343013</v>
          </cell>
          <cell r="F38">
            <v>51788041221</v>
          </cell>
        </row>
        <row r="39">
          <cell r="A39" t="str">
            <v>North Carolina</v>
          </cell>
          <cell r="B39">
            <v>1714628132</v>
          </cell>
          <cell r="C39">
            <v>4615533230</v>
          </cell>
          <cell r="D39">
            <v>1445985056</v>
          </cell>
          <cell r="E39">
            <v>2435055760</v>
          </cell>
          <cell r="F39">
            <v>10211202177</v>
          </cell>
        </row>
        <row r="40">
          <cell r="A40" t="str">
            <v>North Dakota</v>
          </cell>
          <cell r="B40">
            <v>225976317.19999999</v>
          </cell>
          <cell r="C40">
            <v>305429273.39999998</v>
          </cell>
          <cell r="D40">
            <v>66106824</v>
          </cell>
          <cell r="E40">
            <v>116281415.40000001</v>
          </cell>
          <cell r="F40">
            <v>713793830</v>
          </cell>
        </row>
        <row r="41">
          <cell r="A41" t="str">
            <v>Ohio</v>
          </cell>
          <cell r="B41">
            <v>3569016010</v>
          </cell>
          <cell r="C41">
            <v>7110288566</v>
          </cell>
          <cell r="D41">
            <v>2341590458</v>
          </cell>
          <cell r="E41">
            <v>2384661860</v>
          </cell>
          <cell r="F41">
            <v>15405556893</v>
          </cell>
        </row>
        <row r="42">
          <cell r="A42" t="str">
            <v>Oklahoma</v>
          </cell>
          <cell r="B42">
            <v>660578905.39999998</v>
          </cell>
          <cell r="C42">
            <v>1736341157</v>
          </cell>
          <cell r="D42">
            <v>562581444.79999995</v>
          </cell>
          <cell r="E42">
            <v>1271469083</v>
          </cell>
          <cell r="F42">
            <v>4230970590</v>
          </cell>
        </row>
        <row r="43">
          <cell r="A43" t="str">
            <v>Oregon</v>
          </cell>
          <cell r="B43">
            <v>983025798.5</v>
          </cell>
          <cell r="C43">
            <v>1542922321</v>
          </cell>
          <cell r="D43">
            <v>1064247248</v>
          </cell>
          <cell r="E43">
            <v>719663923.29999995</v>
          </cell>
          <cell r="F43">
            <v>4309859291</v>
          </cell>
        </row>
        <row r="44">
          <cell r="A44" t="str">
            <v>Pennsylvania</v>
          </cell>
          <cell r="B44">
            <v>4397269043</v>
          </cell>
          <cell r="C44">
            <v>9949593389</v>
          </cell>
          <cell r="D44">
            <v>1884001590</v>
          </cell>
          <cell r="E44">
            <v>3541767820</v>
          </cell>
          <cell r="F44">
            <v>19772631841</v>
          </cell>
        </row>
        <row r="45">
          <cell r="A45" t="str">
            <v>Rhode Island</v>
          </cell>
          <cell r="B45">
            <v>367857308.10000002</v>
          </cell>
          <cell r="C45">
            <v>885592712.10000002</v>
          </cell>
          <cell r="D45">
            <v>270331724</v>
          </cell>
          <cell r="E45">
            <v>437289717.80000001</v>
          </cell>
          <cell r="F45">
            <v>1961071462</v>
          </cell>
        </row>
        <row r="46">
          <cell r="A46" t="str">
            <v>South Carolina</v>
          </cell>
          <cell r="B46">
            <v>885323555.60000002</v>
          </cell>
          <cell r="C46">
            <v>1968424452</v>
          </cell>
          <cell r="D46">
            <v>782670083</v>
          </cell>
          <cell r="E46">
            <v>999653601.39999998</v>
          </cell>
          <cell r="F46">
            <v>4636071692</v>
          </cell>
        </row>
        <row r="47">
          <cell r="A47" t="str">
            <v>South Dakota</v>
          </cell>
          <cell r="B47">
            <v>141548422.19999999</v>
          </cell>
          <cell r="C47">
            <v>309280040.89999998</v>
          </cell>
          <cell r="D47">
            <v>96841840.099999994</v>
          </cell>
          <cell r="E47">
            <v>203748001.80000001</v>
          </cell>
          <cell r="F47">
            <v>751418305</v>
          </cell>
        </row>
        <row r="48">
          <cell r="A48" t="str">
            <v>Tennessee</v>
          </cell>
          <cell r="B48">
            <v>1256712146</v>
          </cell>
          <cell r="C48">
            <v>3213518484</v>
          </cell>
          <cell r="D48">
            <v>1500789962</v>
          </cell>
          <cell r="E48">
            <v>1985712365</v>
          </cell>
          <cell r="F48">
            <v>7956732957</v>
          </cell>
        </row>
        <row r="49">
          <cell r="A49" t="str">
            <v>Texas</v>
          </cell>
          <cell r="B49">
            <v>4492113880</v>
          </cell>
          <cell r="C49">
            <v>10204400701</v>
          </cell>
          <cell r="D49">
            <v>2221896451</v>
          </cell>
          <cell r="E49">
            <v>10092913790</v>
          </cell>
          <cell r="F49">
            <v>27011324822</v>
          </cell>
        </row>
        <row r="50">
          <cell r="A50" t="str">
            <v>Utah</v>
          </cell>
          <cell r="B50">
            <v>178400385.19999999</v>
          </cell>
          <cell r="C50">
            <v>851217764.89999998</v>
          </cell>
          <cell r="D50">
            <v>272254274.5</v>
          </cell>
          <cell r="E50">
            <v>492714650.39999998</v>
          </cell>
          <cell r="F50">
            <v>1794587075</v>
          </cell>
        </row>
        <row r="51">
          <cell r="A51" t="str">
            <v>Vermont</v>
          </cell>
          <cell r="B51">
            <v>142529807.09999999</v>
          </cell>
          <cell r="C51">
            <v>388312876.5</v>
          </cell>
          <cell r="D51">
            <v>370176083.80000001</v>
          </cell>
          <cell r="E51">
            <v>357436626.69999999</v>
          </cell>
          <cell r="F51">
            <v>1258455394</v>
          </cell>
        </row>
        <row r="52">
          <cell r="A52" t="str">
            <v>Virginia</v>
          </cell>
          <cell r="B52">
            <v>1292026958</v>
          </cell>
          <cell r="C52">
            <v>2989890926</v>
          </cell>
          <cell r="D52">
            <v>787349572</v>
          </cell>
          <cell r="E52">
            <v>1603537103</v>
          </cell>
          <cell r="F52">
            <v>6672804559</v>
          </cell>
        </row>
        <row r="53">
          <cell r="A53" t="str">
            <v>Washington</v>
          </cell>
          <cell r="B53">
            <v>1217235093</v>
          </cell>
          <cell r="C53">
            <v>3022330377</v>
          </cell>
          <cell r="D53">
            <v>1070508630</v>
          </cell>
          <cell r="E53">
            <v>1664977902</v>
          </cell>
          <cell r="F53">
            <v>6975052001</v>
          </cell>
        </row>
        <row r="54">
          <cell r="A54" t="str">
            <v>West Virginia</v>
          </cell>
          <cell r="B54">
            <v>613776196.10000002</v>
          </cell>
          <cell r="C54">
            <v>1360749945</v>
          </cell>
          <cell r="D54">
            <v>273612262.89999998</v>
          </cell>
          <cell r="E54">
            <v>521131296</v>
          </cell>
          <cell r="F54">
            <v>2769269700</v>
          </cell>
        </row>
        <row r="55">
          <cell r="A55" t="str">
            <v>Wisconsin</v>
          </cell>
          <cell r="B55">
            <v>2203842800</v>
          </cell>
          <cell r="C55">
            <v>2760301640</v>
          </cell>
          <cell r="D55">
            <v>1234100948</v>
          </cell>
          <cell r="E55">
            <v>833168297</v>
          </cell>
          <cell r="F55">
            <v>7031419790</v>
          </cell>
        </row>
        <row r="56">
          <cell r="A56" t="str">
            <v>Wyoming</v>
          </cell>
          <cell r="B56">
            <v>124957428.3</v>
          </cell>
          <cell r="C56">
            <v>254414148.19999999</v>
          </cell>
          <cell r="D56">
            <v>51399536.5</v>
          </cell>
          <cell r="E56">
            <v>113457168.09999999</v>
          </cell>
          <cell r="F56">
            <v>544228281</v>
          </cell>
        </row>
      </sheetData>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2">
          <cell r="B2" t="str">
            <v>Alaska</v>
          </cell>
          <cell r="C2">
            <v>0</v>
          </cell>
        </row>
        <row r="3">
          <cell r="B3" t="str">
            <v>Alabama</v>
          </cell>
          <cell r="C3">
            <v>0</v>
          </cell>
        </row>
        <row r="4">
          <cell r="B4" t="str">
            <v>Arkansas</v>
          </cell>
          <cell r="C4">
            <v>0</v>
          </cell>
        </row>
        <row r="5">
          <cell r="B5" t="str">
            <v>Arizona</v>
          </cell>
          <cell r="C5">
            <v>6134210563</v>
          </cell>
        </row>
        <row r="6">
          <cell r="B6" t="str">
            <v>California</v>
          </cell>
          <cell r="C6">
            <v>10661336817</v>
          </cell>
        </row>
        <row r="7">
          <cell r="B7" t="str">
            <v>Colorado</v>
          </cell>
          <cell r="C7">
            <v>115933271</v>
          </cell>
        </row>
        <row r="8">
          <cell r="B8" t="str">
            <v>Connecticut</v>
          </cell>
          <cell r="C8">
            <v>842560634</v>
          </cell>
        </row>
        <row r="9">
          <cell r="B9" t="str">
            <v>District of Columbia</v>
          </cell>
          <cell r="C9">
            <v>613035295</v>
          </cell>
        </row>
        <row r="10">
          <cell r="B10" t="str">
            <v>Delaware</v>
          </cell>
          <cell r="C10">
            <v>708561474</v>
          </cell>
        </row>
        <row r="11">
          <cell r="B11" t="str">
            <v>Florida</v>
          </cell>
          <cell r="C11">
            <v>3220825437</v>
          </cell>
        </row>
        <row r="12">
          <cell r="B12" t="str">
            <v>Georgia</v>
          </cell>
          <cell r="C12">
            <v>2721715824</v>
          </cell>
        </row>
        <row r="13">
          <cell r="B13" t="str">
            <v>Hawaii</v>
          </cell>
          <cell r="C13">
            <v>1250220679</v>
          </cell>
        </row>
        <row r="14">
          <cell r="B14" t="str">
            <v>Iowa</v>
          </cell>
          <cell r="C14">
            <v>0</v>
          </cell>
        </row>
        <row r="15">
          <cell r="B15" t="str">
            <v>Idaho</v>
          </cell>
          <cell r="C15">
            <v>0</v>
          </cell>
        </row>
        <row r="16">
          <cell r="B16" t="str">
            <v>Illinois</v>
          </cell>
          <cell r="C16">
            <v>306053661</v>
          </cell>
        </row>
        <row r="17">
          <cell r="B17" t="str">
            <v>Indiana</v>
          </cell>
          <cell r="C17">
            <v>1102182704</v>
          </cell>
        </row>
        <row r="18">
          <cell r="B18" t="str">
            <v>Kansas</v>
          </cell>
          <cell r="C18">
            <v>422484870</v>
          </cell>
        </row>
        <row r="19">
          <cell r="B19" t="str">
            <v>Kentucky</v>
          </cell>
          <cell r="C19">
            <v>704520495</v>
          </cell>
        </row>
        <row r="20">
          <cell r="B20" t="str">
            <v>Louisiana</v>
          </cell>
          <cell r="C20">
            <v>0</v>
          </cell>
        </row>
        <row r="21">
          <cell r="B21" t="str">
            <v>Massachusetts</v>
          </cell>
          <cell r="C21">
            <v>3115206377</v>
          </cell>
        </row>
        <row r="22">
          <cell r="B22" t="str">
            <v>Maryland</v>
          </cell>
          <cell r="C22">
            <v>2711126855</v>
          </cell>
        </row>
        <row r="23">
          <cell r="B23" t="str">
            <v>Maine</v>
          </cell>
          <cell r="C23">
            <v>0</v>
          </cell>
        </row>
        <row r="24">
          <cell r="B24" t="str">
            <v>Michigan</v>
          </cell>
          <cell r="C24">
            <v>4039571332</v>
          </cell>
        </row>
        <row r="25">
          <cell r="B25" t="str">
            <v>Minnesota</v>
          </cell>
          <cell r="C25">
            <v>3096278223</v>
          </cell>
        </row>
        <row r="26">
          <cell r="B26" t="str">
            <v>Missouri</v>
          </cell>
          <cell r="C26">
            <v>1060109105</v>
          </cell>
        </row>
        <row r="27">
          <cell r="B27" t="str">
            <v>Mississippi</v>
          </cell>
          <cell r="C27">
            <v>258929194</v>
          </cell>
        </row>
        <row r="28">
          <cell r="B28" t="str">
            <v>Montana</v>
          </cell>
          <cell r="C28">
            <v>0</v>
          </cell>
        </row>
        <row r="29">
          <cell r="B29" t="str">
            <v>North Carolina</v>
          </cell>
          <cell r="C29">
            <v>0</v>
          </cell>
        </row>
        <row r="30">
          <cell r="B30" t="str">
            <v>North Dakota</v>
          </cell>
          <cell r="C30">
            <v>0</v>
          </cell>
        </row>
        <row r="31">
          <cell r="B31" t="str">
            <v>Nebraska</v>
          </cell>
          <cell r="C31">
            <v>240554464</v>
          </cell>
        </row>
        <row r="32">
          <cell r="B32" t="str">
            <v>New Hampshire</v>
          </cell>
          <cell r="C32">
            <v>0</v>
          </cell>
        </row>
        <row r="33">
          <cell r="B33" t="str">
            <v>New Jersey</v>
          </cell>
          <cell r="C33">
            <v>2253588397</v>
          </cell>
        </row>
        <row r="34">
          <cell r="B34" t="str">
            <v>New Mexico</v>
          </cell>
          <cell r="C34">
            <v>1861661397</v>
          </cell>
        </row>
        <row r="35">
          <cell r="B35" t="str">
            <v>Nevada</v>
          </cell>
          <cell r="C35">
            <v>332032928</v>
          </cell>
        </row>
        <row r="36">
          <cell r="B36" t="str">
            <v>New York</v>
          </cell>
          <cell r="C36">
            <v>11035437772</v>
          </cell>
        </row>
        <row r="37">
          <cell r="B37" t="str">
            <v>Ohio</v>
          </cell>
          <cell r="C37">
            <v>4905977655</v>
          </cell>
        </row>
        <row r="38">
          <cell r="B38" t="str">
            <v>Oklahoma</v>
          </cell>
          <cell r="C38">
            <v>65508288</v>
          </cell>
        </row>
        <row r="39">
          <cell r="B39" t="str">
            <v>Oregon</v>
          </cell>
          <cell r="C39">
            <v>1625220939</v>
          </cell>
        </row>
        <row r="40">
          <cell r="B40" t="str">
            <v>Pennsylvania</v>
          </cell>
          <cell r="C40">
            <v>6372426943</v>
          </cell>
        </row>
        <row r="41">
          <cell r="B41" t="str">
            <v>Rhode Island</v>
          </cell>
          <cell r="C41">
            <v>703290076</v>
          </cell>
        </row>
        <row r="42">
          <cell r="B42" t="str">
            <v>South Carolina</v>
          </cell>
          <cell r="C42">
            <v>1302262916</v>
          </cell>
        </row>
        <row r="43">
          <cell r="B43" t="str">
            <v>South Dakota</v>
          </cell>
          <cell r="C43">
            <v>0</v>
          </cell>
        </row>
        <row r="44">
          <cell r="B44" t="str">
            <v>Tennessee</v>
          </cell>
          <cell r="C44">
            <v>4895560688</v>
          </cell>
        </row>
        <row r="45">
          <cell r="B45" t="str">
            <v>Texas</v>
          </cell>
          <cell r="C45">
            <v>5617811528</v>
          </cell>
        </row>
        <row r="46">
          <cell r="B46" t="str">
            <v>United States</v>
          </cell>
        </row>
        <row r="47">
          <cell r="B47" t="str">
            <v>Utah</v>
          </cell>
          <cell r="C47">
            <v>222758121</v>
          </cell>
        </row>
        <row r="48">
          <cell r="B48" t="str">
            <v>Virginia</v>
          </cell>
          <cell r="C48">
            <v>1860030486</v>
          </cell>
        </row>
        <row r="49">
          <cell r="B49" t="str">
            <v>Vermont</v>
          </cell>
          <cell r="C49">
            <v>272735987</v>
          </cell>
        </row>
        <row r="50">
          <cell r="B50" t="str">
            <v>Washington</v>
          </cell>
          <cell r="C50">
            <v>1503083793</v>
          </cell>
        </row>
        <row r="51">
          <cell r="B51" t="str">
            <v>Wisconsin</v>
          </cell>
          <cell r="C51">
            <v>1855791736</v>
          </cell>
        </row>
        <row r="52">
          <cell r="B52" t="str">
            <v>West Virginia</v>
          </cell>
          <cell r="C52">
            <v>342525563</v>
          </cell>
        </row>
        <row r="53">
          <cell r="B53" t="str">
            <v>Wyoming</v>
          </cell>
          <cell r="C53">
            <v>0</v>
          </cell>
        </row>
      </sheetData>
      <sheetData sheetId="1"/>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
    </sheetNames>
    <sheetDataSet>
      <sheetData sheetId="0">
        <row r="5">
          <cell r="A5" t="str">
            <v>US</v>
          </cell>
          <cell r="B5">
            <v>1</v>
          </cell>
          <cell r="C5">
            <v>1</v>
          </cell>
          <cell r="D5">
            <v>1</v>
          </cell>
          <cell r="E5">
            <v>1</v>
          </cell>
          <cell r="F5">
            <v>0.66</v>
          </cell>
          <cell r="G5">
            <v>0.59</v>
          </cell>
          <cell r="H5">
            <v>0.78</v>
          </cell>
          <cell r="I5">
            <v>0.7</v>
          </cell>
        </row>
        <row r="6">
          <cell r="A6" t="str">
            <v>AL</v>
          </cell>
          <cell r="B6">
            <v>1.07</v>
          </cell>
          <cell r="C6">
            <v>1.1000000000000001</v>
          </cell>
          <cell r="D6">
            <v>1.1299999999999999</v>
          </cell>
          <cell r="E6">
            <v>0.92</v>
          </cell>
          <cell r="F6">
            <v>0.78</v>
          </cell>
          <cell r="G6">
            <v>0.7</v>
          </cell>
          <cell r="H6">
            <v>1.01</v>
          </cell>
          <cell r="I6">
            <v>0.71</v>
          </cell>
        </row>
        <row r="7">
          <cell r="A7" t="str">
            <v>AK</v>
          </cell>
          <cell r="B7">
            <v>2.42</v>
          </cell>
          <cell r="C7">
            <v>2.76</v>
          </cell>
          <cell r="D7">
            <v>1.85</v>
          </cell>
          <cell r="E7">
            <v>2.2799999999999998</v>
          </cell>
          <cell r="F7">
            <v>1.24</v>
          </cell>
          <cell r="G7">
            <v>1.27</v>
          </cell>
          <cell r="H7">
            <v>1.1399999999999999</v>
          </cell>
          <cell r="I7">
            <v>1.28</v>
          </cell>
        </row>
        <row r="8">
          <cell r="A8" t="str">
            <v>AZ</v>
          </cell>
          <cell r="B8">
            <v>1.23</v>
          </cell>
          <cell r="C8">
            <v>1.26</v>
          </cell>
          <cell r="D8">
            <v>1.18</v>
          </cell>
          <cell r="E8">
            <v>1.2</v>
          </cell>
          <cell r="F8">
            <v>0.82</v>
          </cell>
          <cell r="G8">
            <v>0.75</v>
          </cell>
          <cell r="H8">
            <v>0.92</v>
          </cell>
          <cell r="I8">
            <v>0.84</v>
          </cell>
        </row>
        <row r="9">
          <cell r="A9" t="str">
            <v>AR</v>
          </cell>
          <cell r="B9">
            <v>1.07</v>
          </cell>
          <cell r="C9">
            <v>1.07</v>
          </cell>
          <cell r="D9">
            <v>0.83</v>
          </cell>
          <cell r="E9">
            <v>1.39</v>
          </cell>
          <cell r="F9">
            <v>0.79</v>
          </cell>
          <cell r="G9">
            <v>0.7</v>
          </cell>
          <cell r="H9">
            <v>0.74</v>
          </cell>
          <cell r="I9">
            <v>1.1100000000000001</v>
          </cell>
        </row>
        <row r="10">
          <cell r="A10" t="str">
            <v>CA</v>
          </cell>
          <cell r="B10">
            <v>0.8</v>
          </cell>
          <cell r="C10">
            <v>0.75</v>
          </cell>
          <cell r="D10">
            <v>0.72</v>
          </cell>
          <cell r="E10">
            <v>1.03</v>
          </cell>
          <cell r="F10">
            <v>0.51</v>
          </cell>
          <cell r="G10">
            <v>0.43</v>
          </cell>
          <cell r="H10">
            <v>0.54</v>
          </cell>
          <cell r="I10">
            <v>0.67</v>
          </cell>
        </row>
        <row r="11">
          <cell r="A11" t="str">
            <v>CO</v>
          </cell>
          <cell r="B11">
            <v>1.0900000000000001</v>
          </cell>
          <cell r="C11">
            <v>1.25</v>
          </cell>
          <cell r="D11">
            <v>0.85</v>
          </cell>
          <cell r="E11">
            <v>0.99</v>
          </cell>
          <cell r="F11">
            <v>0.71</v>
          </cell>
          <cell r="G11">
            <v>0.74</v>
          </cell>
          <cell r="H11">
            <v>0.68</v>
          </cell>
          <cell r="I11">
            <v>0.69</v>
          </cell>
        </row>
        <row r="12">
          <cell r="A12" t="str">
            <v>CT</v>
          </cell>
          <cell r="B12">
            <v>1.41</v>
          </cell>
          <cell r="C12">
            <v>1.32</v>
          </cell>
          <cell r="D12">
            <v>1.73</v>
          </cell>
          <cell r="E12">
            <v>1.23</v>
          </cell>
          <cell r="F12">
            <v>0.87</v>
          </cell>
          <cell r="G12">
            <v>0.71</v>
          </cell>
          <cell r="H12">
            <v>1.23</v>
          </cell>
          <cell r="I12">
            <v>0.79</v>
          </cell>
        </row>
        <row r="13">
          <cell r="A13" t="str">
            <v>DE</v>
          </cell>
          <cell r="B13">
            <v>1.54</v>
          </cell>
          <cell r="C13">
            <v>1.71</v>
          </cell>
          <cell r="D13">
            <v>1.08</v>
          </cell>
          <cell r="E13">
            <v>1.43</v>
          </cell>
          <cell r="F13">
            <v>0.97</v>
          </cell>
          <cell r="G13">
            <v>0.98</v>
          </cell>
          <cell r="H13">
            <v>0.94</v>
          </cell>
          <cell r="I13">
            <v>0.96</v>
          </cell>
        </row>
        <row r="14">
          <cell r="A14" t="str">
            <v>DC</v>
          </cell>
          <cell r="B14">
            <v>1.39</v>
          </cell>
          <cell r="C14">
            <v>1.54</v>
          </cell>
          <cell r="D14">
            <v>1.1599999999999999</v>
          </cell>
          <cell r="E14">
            <v>1.32</v>
          </cell>
          <cell r="F14">
            <v>0.8</v>
          </cell>
          <cell r="G14">
            <v>0.8</v>
          </cell>
          <cell r="H14">
            <v>0.8</v>
          </cell>
          <cell r="I14">
            <v>0.8</v>
          </cell>
        </row>
        <row r="15">
          <cell r="A15" t="str">
            <v>FL</v>
          </cell>
          <cell r="B15">
            <v>0.89</v>
          </cell>
          <cell r="C15">
            <v>0.84</v>
          </cell>
          <cell r="D15">
            <v>1.2</v>
          </cell>
          <cell r="E15">
            <v>0.81</v>
          </cell>
          <cell r="F15">
            <v>0.56999999999999995</v>
          </cell>
          <cell r="G15">
            <v>0.49</v>
          </cell>
          <cell r="H15">
            <v>0.9</v>
          </cell>
          <cell r="I15">
            <v>0.55000000000000004</v>
          </cell>
        </row>
        <row r="16">
          <cell r="A16" t="str">
            <v>GA</v>
          </cell>
          <cell r="B16">
            <v>1.0900000000000001</v>
          </cell>
          <cell r="C16">
            <v>1.1200000000000001</v>
          </cell>
          <cell r="D16">
            <v>1.01</v>
          </cell>
          <cell r="E16">
            <v>1.1299999999999999</v>
          </cell>
          <cell r="F16">
            <v>0.75</v>
          </cell>
          <cell r="G16">
            <v>0.7</v>
          </cell>
          <cell r="H16">
            <v>0.81</v>
          </cell>
          <cell r="I16">
            <v>0.83</v>
          </cell>
        </row>
        <row r="17">
          <cell r="A17" t="str">
            <v>HI</v>
          </cell>
          <cell r="B17">
            <v>0.97</v>
          </cell>
          <cell r="C17">
            <v>1.01</v>
          </cell>
          <cell r="D17">
            <v>0.84</v>
          </cell>
          <cell r="E17">
            <v>1.04</v>
          </cell>
          <cell r="F17">
            <v>0.62</v>
          </cell>
          <cell r="G17">
            <v>0.56999999999999995</v>
          </cell>
          <cell r="H17">
            <v>0.66</v>
          </cell>
          <cell r="I17">
            <v>0.68</v>
          </cell>
        </row>
        <row r="18">
          <cell r="A18" t="str">
            <v>ID</v>
          </cell>
          <cell r="B18">
            <v>1.27</v>
          </cell>
          <cell r="C18">
            <v>1.43</v>
          </cell>
          <cell r="D18">
            <v>0.97</v>
          </cell>
          <cell r="E18">
            <v>1.24</v>
          </cell>
          <cell r="F18">
            <v>0.88</v>
          </cell>
          <cell r="G18">
            <v>0.89</v>
          </cell>
          <cell r="H18">
            <v>0.82</v>
          </cell>
          <cell r="I18">
            <v>0.92</v>
          </cell>
        </row>
        <row r="19">
          <cell r="A19" t="str">
            <v>IL</v>
          </cell>
          <cell r="B19">
            <v>0.97</v>
          </cell>
          <cell r="C19">
            <v>0.96</v>
          </cell>
          <cell r="D19">
            <v>1.1399999999999999</v>
          </cell>
          <cell r="E19">
            <v>0.89</v>
          </cell>
          <cell r="F19">
            <v>0.62</v>
          </cell>
          <cell r="G19">
            <v>0.54</v>
          </cell>
          <cell r="H19">
            <v>0.86</v>
          </cell>
          <cell r="I19">
            <v>0.64</v>
          </cell>
        </row>
        <row r="20">
          <cell r="A20" t="str">
            <v>IN</v>
          </cell>
          <cell r="B20">
            <v>0.87</v>
          </cell>
          <cell r="C20">
            <v>0.86</v>
          </cell>
          <cell r="D20">
            <v>0.84</v>
          </cell>
          <cell r="E20">
            <v>0.92</v>
          </cell>
          <cell r="F20">
            <v>0.62</v>
          </cell>
          <cell r="G20">
            <v>0.55000000000000004</v>
          </cell>
          <cell r="H20">
            <v>0.78</v>
          </cell>
          <cell r="I20">
            <v>0.69</v>
          </cell>
        </row>
        <row r="21">
          <cell r="A21" t="str">
            <v>IA</v>
          </cell>
          <cell r="B21">
            <v>1.1200000000000001</v>
          </cell>
          <cell r="C21">
            <v>1.18</v>
          </cell>
          <cell r="D21">
            <v>0.97</v>
          </cell>
          <cell r="E21">
            <v>1.18</v>
          </cell>
          <cell r="F21">
            <v>0.82</v>
          </cell>
          <cell r="G21">
            <v>0.77</v>
          </cell>
          <cell r="H21">
            <v>0.86</v>
          </cell>
          <cell r="I21">
            <v>0.9</v>
          </cell>
        </row>
        <row r="22">
          <cell r="A22" t="str">
            <v>KS</v>
          </cell>
          <cell r="B22">
            <v>1.1399999999999999</v>
          </cell>
          <cell r="C22">
            <v>1.3</v>
          </cell>
          <cell r="D22">
            <v>0.91</v>
          </cell>
          <cell r="E22">
            <v>1.05</v>
          </cell>
          <cell r="F22">
            <v>0.78</v>
          </cell>
          <cell r="G22">
            <v>0.82</v>
          </cell>
          <cell r="H22">
            <v>0.73</v>
          </cell>
          <cell r="I22">
            <v>0.78</v>
          </cell>
        </row>
        <row r="23">
          <cell r="A23" t="str">
            <v>KY</v>
          </cell>
          <cell r="B23">
            <v>1.0900000000000001</v>
          </cell>
          <cell r="C23">
            <v>1.1299999999999999</v>
          </cell>
          <cell r="D23">
            <v>1.06</v>
          </cell>
          <cell r="E23">
            <v>0.99</v>
          </cell>
          <cell r="F23">
            <v>0.77</v>
          </cell>
          <cell r="G23">
            <v>0.72</v>
          </cell>
          <cell r="H23">
            <v>0.97</v>
          </cell>
          <cell r="I23">
            <v>0.76</v>
          </cell>
        </row>
        <row r="24">
          <cell r="A24" t="str">
            <v>LA</v>
          </cell>
          <cell r="B24">
            <v>1.0900000000000001</v>
          </cell>
          <cell r="C24">
            <v>1.2</v>
          </cell>
          <cell r="D24">
            <v>0.84</v>
          </cell>
          <cell r="E24">
            <v>1.02</v>
          </cell>
          <cell r="F24">
            <v>0.75</v>
          </cell>
          <cell r="G24">
            <v>0.75</v>
          </cell>
          <cell r="H24">
            <v>0.73</v>
          </cell>
          <cell r="I24">
            <v>0.76</v>
          </cell>
        </row>
        <row r="25">
          <cell r="A25" t="str">
            <v>ME</v>
          </cell>
          <cell r="B25">
            <v>0.96</v>
          </cell>
          <cell r="C25">
            <v>1.03</v>
          </cell>
          <cell r="D25">
            <v>0.82</v>
          </cell>
          <cell r="E25">
            <v>0.98</v>
          </cell>
          <cell r="F25">
            <v>0.65</v>
          </cell>
          <cell r="G25">
            <v>0.63</v>
          </cell>
          <cell r="H25">
            <v>0.68</v>
          </cell>
          <cell r="I25">
            <v>0.65</v>
          </cell>
        </row>
        <row r="26">
          <cell r="A26" t="str">
            <v>MD</v>
          </cell>
          <cell r="B26">
            <v>1.19</v>
          </cell>
          <cell r="C26">
            <v>1.26</v>
          </cell>
          <cell r="D26">
            <v>1.1200000000000001</v>
          </cell>
          <cell r="E26">
            <v>1.0900000000000001</v>
          </cell>
          <cell r="F26">
            <v>0.73</v>
          </cell>
          <cell r="G26">
            <v>0.7</v>
          </cell>
          <cell r="H26">
            <v>0.89</v>
          </cell>
          <cell r="I26">
            <v>0.7</v>
          </cell>
        </row>
        <row r="27">
          <cell r="A27" t="str">
            <v>MA</v>
          </cell>
          <cell r="B27">
            <v>1.21</v>
          </cell>
          <cell r="C27">
            <v>1.23</v>
          </cell>
          <cell r="D27">
            <v>1.27</v>
          </cell>
          <cell r="E27">
            <v>1.0900000000000001</v>
          </cell>
          <cell r="F27">
            <v>0.77</v>
          </cell>
          <cell r="G27">
            <v>0.68</v>
          </cell>
          <cell r="H27">
            <v>0.97</v>
          </cell>
          <cell r="I27">
            <v>0.72</v>
          </cell>
        </row>
        <row r="28">
          <cell r="A28" t="str">
            <v>MI</v>
          </cell>
          <cell r="B28">
            <v>0.76</v>
          </cell>
          <cell r="C28">
            <v>0.74</v>
          </cell>
          <cell r="D28">
            <v>0.82</v>
          </cell>
          <cell r="E28">
            <v>0.7</v>
          </cell>
          <cell r="F28">
            <v>0.51</v>
          </cell>
          <cell r="G28">
            <v>0.46</v>
          </cell>
          <cell r="H28">
            <v>0.61</v>
          </cell>
          <cell r="I28">
            <v>0.5</v>
          </cell>
        </row>
        <row r="29">
          <cell r="A29" t="str">
            <v>MN</v>
          </cell>
          <cell r="B29">
            <v>1.06</v>
          </cell>
          <cell r="C29">
            <v>1.23</v>
          </cell>
          <cell r="D29">
            <v>0.77</v>
          </cell>
          <cell r="E29">
            <v>1.04</v>
          </cell>
          <cell r="F29">
            <v>0.71</v>
          </cell>
          <cell r="G29">
            <v>0.73</v>
          </cell>
          <cell r="H29">
            <v>0.66</v>
          </cell>
          <cell r="I29">
            <v>0.72</v>
          </cell>
        </row>
        <row r="30">
          <cell r="A30" t="str">
            <v>MS</v>
          </cell>
          <cell r="B30">
            <v>1.31</v>
          </cell>
          <cell r="C30">
            <v>1.44</v>
          </cell>
          <cell r="D30">
            <v>0.99</v>
          </cell>
          <cell r="E30">
            <v>1.2</v>
          </cell>
          <cell r="F30">
            <v>0.9</v>
          </cell>
          <cell r="G30">
            <v>0.9</v>
          </cell>
          <cell r="H30">
            <v>0.9</v>
          </cell>
          <cell r="I30">
            <v>0.9</v>
          </cell>
        </row>
        <row r="31">
          <cell r="A31" t="str">
            <v>MO</v>
          </cell>
          <cell r="B31">
            <v>0.87</v>
          </cell>
          <cell r="C31">
            <v>0.92</v>
          </cell>
          <cell r="D31">
            <v>0.73</v>
          </cell>
          <cell r="E31">
            <v>0.91</v>
          </cell>
          <cell r="F31">
            <v>0.59</v>
          </cell>
          <cell r="G31">
            <v>0.56999999999999995</v>
          </cell>
          <cell r="H31">
            <v>0.56999999999999995</v>
          </cell>
          <cell r="I31">
            <v>0.68</v>
          </cell>
        </row>
        <row r="32">
          <cell r="A32" t="str">
            <v>MT</v>
          </cell>
          <cell r="B32">
            <v>1.51</v>
          </cell>
          <cell r="C32">
            <v>1.62</v>
          </cell>
          <cell r="D32">
            <v>1.39</v>
          </cell>
          <cell r="E32">
            <v>1.39</v>
          </cell>
          <cell r="F32">
            <v>0.97</v>
          </cell>
          <cell r="G32">
            <v>0.94</v>
          </cell>
          <cell r="H32">
            <v>1.05</v>
          </cell>
          <cell r="I32">
            <v>0.96</v>
          </cell>
        </row>
        <row r="33">
          <cell r="A33" t="str">
            <v>NE</v>
          </cell>
          <cell r="B33">
            <v>1.17</v>
          </cell>
          <cell r="C33">
            <v>1.18</v>
          </cell>
          <cell r="D33">
            <v>1.1200000000000001</v>
          </cell>
          <cell r="E33">
            <v>1.23</v>
          </cell>
          <cell r="F33">
            <v>0.87</v>
          </cell>
          <cell r="G33">
            <v>0.76</v>
          </cell>
          <cell r="H33">
            <v>1.01</v>
          </cell>
          <cell r="I33">
            <v>0.96</v>
          </cell>
        </row>
        <row r="34">
          <cell r="A34" t="str">
            <v>NV</v>
          </cell>
          <cell r="B34">
            <v>1.1599999999999999</v>
          </cell>
          <cell r="C34">
            <v>1.18</v>
          </cell>
          <cell r="D34">
            <v>1.0900000000000001</v>
          </cell>
          <cell r="E34">
            <v>1.22</v>
          </cell>
          <cell r="F34">
            <v>0.74</v>
          </cell>
          <cell r="G34">
            <v>0.68</v>
          </cell>
          <cell r="H34">
            <v>0.8</v>
          </cell>
          <cell r="I34">
            <v>0.83</v>
          </cell>
        </row>
        <row r="35">
          <cell r="A35" t="str">
            <v>NH</v>
          </cell>
          <cell r="B35">
            <v>0.91</v>
          </cell>
          <cell r="C35">
            <v>1.03</v>
          </cell>
          <cell r="D35">
            <v>0.78</v>
          </cell>
          <cell r="E35">
            <v>0.75</v>
          </cell>
          <cell r="F35">
            <v>0.57999999999999996</v>
          </cell>
          <cell r="G35">
            <v>0.6</v>
          </cell>
          <cell r="H35">
            <v>0.61</v>
          </cell>
          <cell r="I35">
            <v>0.51</v>
          </cell>
        </row>
        <row r="36">
          <cell r="A36" t="str">
            <v>NJ</v>
          </cell>
          <cell r="B36">
            <v>0.77</v>
          </cell>
          <cell r="C36">
            <v>0.92</v>
          </cell>
          <cell r="D36">
            <v>0.53</v>
          </cell>
          <cell r="E36">
            <v>0.73</v>
          </cell>
          <cell r="F36">
            <v>0.45</v>
          </cell>
          <cell r="G36">
            <v>0.5</v>
          </cell>
          <cell r="H36">
            <v>0.37</v>
          </cell>
          <cell r="I36">
            <v>0.46</v>
          </cell>
        </row>
        <row r="37">
          <cell r="A37" t="str">
            <v>NM</v>
          </cell>
          <cell r="B37">
            <v>1.33</v>
          </cell>
          <cell r="C37">
            <v>1.37</v>
          </cell>
          <cell r="D37">
            <v>1.25</v>
          </cell>
          <cell r="E37">
            <v>1.35</v>
          </cell>
          <cell r="F37">
            <v>0.92</v>
          </cell>
          <cell r="G37">
            <v>0.85</v>
          </cell>
          <cell r="H37">
            <v>1</v>
          </cell>
          <cell r="I37">
            <v>1</v>
          </cell>
        </row>
        <row r="38">
          <cell r="A38" t="str">
            <v>NY</v>
          </cell>
          <cell r="B38">
            <v>0.87</v>
          </cell>
          <cell r="C38">
            <v>0.75</v>
          </cell>
          <cell r="D38">
            <v>1.1100000000000001</v>
          </cell>
          <cell r="E38">
            <v>0.86</v>
          </cell>
          <cell r="F38">
            <v>0.55000000000000004</v>
          </cell>
          <cell r="G38">
            <v>0.42</v>
          </cell>
          <cell r="H38">
            <v>0.8</v>
          </cell>
          <cell r="I38">
            <v>0.57999999999999996</v>
          </cell>
        </row>
        <row r="39">
          <cell r="A39" t="str">
            <v>NC</v>
          </cell>
          <cell r="B39">
            <v>1.21</v>
          </cell>
          <cell r="C39">
            <v>1.39</v>
          </cell>
          <cell r="D39">
            <v>0.88</v>
          </cell>
          <cell r="E39">
            <v>1.19</v>
          </cell>
          <cell r="F39">
            <v>0.82</v>
          </cell>
          <cell r="G39">
            <v>0.85</v>
          </cell>
          <cell r="H39">
            <v>0.72</v>
          </cell>
          <cell r="I39">
            <v>0.87</v>
          </cell>
        </row>
        <row r="40">
          <cell r="A40" t="str">
            <v>ND</v>
          </cell>
          <cell r="B40">
            <v>2.04</v>
          </cell>
          <cell r="C40">
            <v>2.2599999999999998</v>
          </cell>
          <cell r="D40">
            <v>1.35</v>
          </cell>
          <cell r="E40">
            <v>1.97</v>
          </cell>
          <cell r="F40">
            <v>1.34</v>
          </cell>
          <cell r="G40">
            <v>1.35</v>
          </cell>
          <cell r="H40">
            <v>1.24</v>
          </cell>
          <cell r="I40">
            <v>1.39</v>
          </cell>
        </row>
        <row r="41">
          <cell r="A41" t="str">
            <v>OH</v>
          </cell>
          <cell r="B41">
            <v>0.92</v>
          </cell>
          <cell r="C41">
            <v>0.98</v>
          </cell>
          <cell r="D41">
            <v>0.83</v>
          </cell>
          <cell r="E41">
            <v>0.85</v>
          </cell>
          <cell r="F41">
            <v>0.61</v>
          </cell>
          <cell r="G41">
            <v>0.59</v>
          </cell>
          <cell r="H41">
            <v>0.65</v>
          </cell>
          <cell r="I41">
            <v>0.63</v>
          </cell>
        </row>
        <row r="42">
          <cell r="A42" t="str">
            <v>OK</v>
          </cell>
          <cell r="B42">
            <v>1.38</v>
          </cell>
          <cell r="C42">
            <v>1.54</v>
          </cell>
          <cell r="D42">
            <v>1.1599999999999999</v>
          </cell>
          <cell r="E42">
            <v>1.27</v>
          </cell>
          <cell r="F42">
            <v>0.97</v>
          </cell>
          <cell r="G42">
            <v>0.97</v>
          </cell>
          <cell r="H42">
            <v>0.97</v>
          </cell>
          <cell r="I42">
            <v>0.96</v>
          </cell>
        </row>
        <row r="43">
          <cell r="A43" t="str">
            <v>OR</v>
          </cell>
          <cell r="B43">
            <v>1.19</v>
          </cell>
          <cell r="C43">
            <v>1.21</v>
          </cell>
          <cell r="D43">
            <v>1.28</v>
          </cell>
          <cell r="E43">
            <v>1.02</v>
          </cell>
          <cell r="F43">
            <v>0.81</v>
          </cell>
          <cell r="G43">
            <v>0.72</v>
          </cell>
          <cell r="H43">
            <v>1.04</v>
          </cell>
          <cell r="I43">
            <v>0.71</v>
          </cell>
        </row>
        <row r="44">
          <cell r="A44" t="str">
            <v>PA</v>
          </cell>
          <cell r="B44">
            <v>1.03</v>
          </cell>
          <cell r="C44">
            <v>0.93</v>
          </cell>
          <cell r="D44">
            <v>1.5</v>
          </cell>
          <cell r="E44">
            <v>0.66</v>
          </cell>
          <cell r="F44">
            <v>0.7</v>
          </cell>
          <cell r="G44">
            <v>0.56000000000000005</v>
          </cell>
          <cell r="H44">
            <v>1.1499999999999999</v>
          </cell>
          <cell r="I44">
            <v>0.49</v>
          </cell>
        </row>
        <row r="45">
          <cell r="A45" t="str">
            <v>RI</v>
          </cell>
          <cell r="B45">
            <v>0.57999999999999996</v>
          </cell>
          <cell r="C45">
            <v>0.56000000000000005</v>
          </cell>
          <cell r="D45">
            <v>0.54</v>
          </cell>
          <cell r="E45">
            <v>0.67</v>
          </cell>
          <cell r="F45">
            <v>0.37</v>
          </cell>
          <cell r="G45">
            <v>0.33</v>
          </cell>
          <cell r="H45">
            <v>0.39</v>
          </cell>
          <cell r="I45">
            <v>0.46</v>
          </cell>
        </row>
        <row r="46">
          <cell r="A46" t="str">
            <v>SC</v>
          </cell>
          <cell r="B46">
            <v>1.18</v>
          </cell>
          <cell r="C46">
            <v>1.19</v>
          </cell>
          <cell r="D46">
            <v>1.43</v>
          </cell>
          <cell r="E46">
            <v>1.06</v>
          </cell>
          <cell r="F46">
            <v>0.81</v>
          </cell>
          <cell r="G46">
            <v>0.74</v>
          </cell>
          <cell r="H46">
            <v>1.39</v>
          </cell>
          <cell r="I46">
            <v>0.79</v>
          </cell>
        </row>
        <row r="47">
          <cell r="A47" t="str">
            <v>SD</v>
          </cell>
          <cell r="B47">
            <v>1.0900000000000001</v>
          </cell>
          <cell r="C47">
            <v>1.1299999999999999</v>
          </cell>
          <cell r="D47">
            <v>0.98</v>
          </cell>
          <cell r="E47">
            <v>1.1499999999999999</v>
          </cell>
          <cell r="F47">
            <v>0.76</v>
          </cell>
          <cell r="G47">
            <v>0.69</v>
          </cell>
          <cell r="H47">
            <v>0.84</v>
          </cell>
          <cell r="I47">
            <v>0.82</v>
          </cell>
        </row>
        <row r="48">
          <cell r="A48" t="str">
            <v>TX</v>
          </cell>
          <cell r="B48">
            <v>0.96</v>
          </cell>
          <cell r="C48">
            <v>0.98</v>
          </cell>
          <cell r="D48">
            <v>0.77</v>
          </cell>
          <cell r="E48">
            <v>1.04</v>
          </cell>
          <cell r="F48">
            <v>0.65</v>
          </cell>
          <cell r="G48">
            <v>0.61</v>
          </cell>
          <cell r="H48">
            <v>0.68</v>
          </cell>
          <cell r="I48">
            <v>0.75</v>
          </cell>
        </row>
        <row r="49">
          <cell r="A49" t="str">
            <v>UT</v>
          </cell>
          <cell r="B49">
            <v>1.1100000000000001</v>
          </cell>
          <cell r="C49">
            <v>1.22</v>
          </cell>
          <cell r="D49">
            <v>0.96</v>
          </cell>
          <cell r="E49">
            <v>1.02</v>
          </cell>
          <cell r="F49">
            <v>0.74</v>
          </cell>
          <cell r="G49">
            <v>0.74</v>
          </cell>
          <cell r="H49">
            <v>0.74</v>
          </cell>
          <cell r="I49">
            <v>0.74</v>
          </cell>
        </row>
        <row r="50">
          <cell r="A50" t="str">
            <v>VT</v>
          </cell>
          <cell r="B50">
            <v>1.22</v>
          </cell>
          <cell r="C50">
            <v>1.37</v>
          </cell>
          <cell r="D50">
            <v>1</v>
          </cell>
          <cell r="E50">
            <v>1.1100000000000001</v>
          </cell>
          <cell r="F50">
            <v>0.8</v>
          </cell>
          <cell r="G50">
            <v>0.81</v>
          </cell>
          <cell r="H50">
            <v>0.82</v>
          </cell>
          <cell r="I50">
            <v>0.77</v>
          </cell>
        </row>
        <row r="51">
          <cell r="A51" t="str">
            <v>VA</v>
          </cell>
          <cell r="B51">
            <v>1.22</v>
          </cell>
          <cell r="C51">
            <v>1.28</v>
          </cell>
          <cell r="D51">
            <v>1.1499999999999999</v>
          </cell>
          <cell r="E51">
            <v>1.18</v>
          </cell>
          <cell r="F51">
            <v>0.8</v>
          </cell>
          <cell r="G51">
            <v>0.74</v>
          </cell>
          <cell r="H51">
            <v>0.91</v>
          </cell>
          <cell r="I51">
            <v>0.82</v>
          </cell>
        </row>
        <row r="52">
          <cell r="A52" t="str">
            <v>WA</v>
          </cell>
          <cell r="B52">
            <v>1.17</v>
          </cell>
          <cell r="C52">
            <v>1.1599999999999999</v>
          </cell>
          <cell r="D52">
            <v>1.38</v>
          </cell>
          <cell r="E52">
            <v>0.88</v>
          </cell>
          <cell r="F52">
            <v>0.76</v>
          </cell>
          <cell r="G52">
            <v>0.66</v>
          </cell>
          <cell r="H52">
            <v>1.07</v>
          </cell>
          <cell r="I52">
            <v>0.59</v>
          </cell>
        </row>
        <row r="53">
          <cell r="A53" t="str">
            <v>WV</v>
          </cell>
          <cell r="B53">
            <v>1.1599999999999999</v>
          </cell>
          <cell r="C53">
            <v>1.19</v>
          </cell>
          <cell r="D53">
            <v>1.27</v>
          </cell>
          <cell r="E53">
            <v>0.99</v>
          </cell>
          <cell r="F53">
            <v>0.8</v>
          </cell>
          <cell r="G53">
            <v>0.74</v>
          </cell>
          <cell r="H53">
            <v>1.08</v>
          </cell>
          <cell r="I53">
            <v>0.75</v>
          </cell>
        </row>
        <row r="54">
          <cell r="A54" t="str">
            <v>WI</v>
          </cell>
          <cell r="B54">
            <v>1.08</v>
          </cell>
          <cell r="C54">
            <v>0.97</v>
          </cell>
          <cell r="D54">
            <v>1.1000000000000001</v>
          </cell>
          <cell r="E54">
            <v>1.33</v>
          </cell>
          <cell r="F54">
            <v>0.77</v>
          </cell>
          <cell r="G54">
            <v>0.6</v>
          </cell>
          <cell r="H54">
            <v>0.93</v>
          </cell>
          <cell r="I54">
            <v>1.01</v>
          </cell>
        </row>
        <row r="55">
          <cell r="A55" t="str">
            <v>WY</v>
          </cell>
          <cell r="B55">
            <v>1.76</v>
          </cell>
          <cell r="C55">
            <v>1.66</v>
          </cell>
          <cell r="D55">
            <v>2.31</v>
          </cell>
          <cell r="E55">
            <v>1.31</v>
          </cell>
          <cell r="F55">
            <v>1.1599999999999999</v>
          </cell>
          <cell r="G55">
            <v>0.96</v>
          </cell>
          <cell r="H55">
            <v>1.74</v>
          </cell>
          <cell r="I55">
            <v>0.89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hyperlink" Target="http://kff.org/medicaid/state-indicator/medicaid-spending-by-enrollment-grou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4"/>
  <sheetViews>
    <sheetView workbookViewId="0">
      <pane xSplit="2" topLeftCell="U1" activePane="topRight" state="frozen"/>
      <selection pane="topRight" activeCell="AA6" sqref="AA6"/>
    </sheetView>
  </sheetViews>
  <sheetFormatPr defaultRowHeight="15" x14ac:dyDescent="0.25"/>
  <cols>
    <col min="2" max="2" width="21.42578125" bestFit="1" customWidth="1"/>
    <col min="3" max="3" width="15.28515625" style="32" bestFit="1" customWidth="1"/>
    <col min="4" max="4" width="32.85546875" style="33" bestFit="1" customWidth="1"/>
    <col min="5" max="5" width="21.140625" bestFit="1" customWidth="1"/>
    <col min="6" max="6" width="14.28515625" bestFit="1" customWidth="1"/>
    <col min="7" max="7" width="20.5703125" style="50" bestFit="1" customWidth="1"/>
    <col min="8" max="8" width="20.5703125" style="33" customWidth="1"/>
    <col min="9" max="9" width="32.85546875" style="33" bestFit="1" customWidth="1"/>
    <col min="10" max="10" width="21.140625" bestFit="1" customWidth="1"/>
    <col min="11" max="11" width="11.7109375" bestFit="1" customWidth="1"/>
    <col min="12" max="12" width="20.5703125" style="50" bestFit="1" customWidth="1"/>
    <col min="13" max="13" width="20.5703125" style="33" customWidth="1"/>
    <col min="14" max="14" width="32.85546875" style="33" bestFit="1" customWidth="1"/>
    <col min="15" max="15" width="21.140625" bestFit="1" customWidth="1"/>
    <col min="16" max="16" width="11.7109375" bestFit="1" customWidth="1"/>
    <col min="17" max="17" width="20.5703125" style="50" bestFit="1" customWidth="1"/>
    <col min="18" max="18" width="20.5703125" style="33" customWidth="1"/>
    <col min="19" max="19" width="32.85546875" style="33" bestFit="1" customWidth="1"/>
    <col min="20" max="20" width="21.140625" bestFit="1" customWidth="1"/>
    <col min="21" max="21" width="10.7109375" customWidth="1"/>
    <col min="22" max="22" width="20.5703125" style="50" bestFit="1" customWidth="1"/>
    <col min="23" max="23" width="20.5703125" style="33" customWidth="1"/>
    <col min="24" max="24" width="32.85546875" style="33" bestFit="1" customWidth="1"/>
    <col min="25" max="25" width="21.140625" bestFit="1" customWidth="1"/>
    <col min="26" max="26" width="11.7109375" bestFit="1" customWidth="1"/>
    <col min="27" max="27" width="20.5703125" bestFit="1" customWidth="1"/>
    <col min="30" max="30" width="17.42578125" bestFit="1" customWidth="1"/>
  </cols>
  <sheetData>
    <row r="1" spans="1:30" x14ac:dyDescent="0.25">
      <c r="C1" s="128" t="s">
        <v>152</v>
      </c>
      <c r="D1" s="128"/>
      <c r="E1" s="128"/>
      <c r="F1" s="128"/>
      <c r="G1" s="129"/>
      <c r="H1" s="130" t="s">
        <v>169</v>
      </c>
      <c r="I1" s="131"/>
      <c r="J1" s="131"/>
      <c r="K1" s="131"/>
      <c r="L1" s="132"/>
      <c r="M1" s="125" t="s">
        <v>153</v>
      </c>
      <c r="N1" s="126"/>
      <c r="O1" s="126"/>
      <c r="P1" s="126"/>
      <c r="Q1" s="127"/>
      <c r="R1" s="125" t="s">
        <v>170</v>
      </c>
      <c r="S1" s="126"/>
      <c r="T1" s="126"/>
      <c r="U1" s="126"/>
      <c r="V1" s="127"/>
      <c r="W1" s="125" t="s">
        <v>154</v>
      </c>
      <c r="X1" s="126"/>
      <c r="Y1" s="126"/>
      <c r="Z1" s="126"/>
      <c r="AA1" s="127"/>
    </row>
    <row r="2" spans="1:30" x14ac:dyDescent="0.25">
      <c r="A2" s="1" t="s">
        <v>0</v>
      </c>
      <c r="B2" s="1" t="s">
        <v>1</v>
      </c>
      <c r="C2" s="34" t="s">
        <v>2</v>
      </c>
      <c r="D2" s="35" t="s">
        <v>3</v>
      </c>
      <c r="E2" s="17" t="s">
        <v>4</v>
      </c>
      <c r="F2" s="17" t="s">
        <v>110</v>
      </c>
      <c r="G2" s="48" t="s">
        <v>5</v>
      </c>
      <c r="H2" s="35" t="s">
        <v>2</v>
      </c>
      <c r="I2" s="34" t="s">
        <v>3</v>
      </c>
      <c r="J2" s="17" t="s">
        <v>4</v>
      </c>
      <c r="K2" s="17" t="s">
        <v>110</v>
      </c>
      <c r="L2" s="48" t="s">
        <v>5</v>
      </c>
      <c r="M2" s="35" t="s">
        <v>2</v>
      </c>
      <c r="N2" s="34" t="s">
        <v>3</v>
      </c>
      <c r="O2" s="17" t="s">
        <v>4</v>
      </c>
      <c r="P2" s="17" t="s">
        <v>110</v>
      </c>
      <c r="Q2" s="48" t="s">
        <v>5</v>
      </c>
      <c r="R2" s="35" t="s">
        <v>2</v>
      </c>
      <c r="S2" s="34" t="s">
        <v>3</v>
      </c>
      <c r="T2" s="17" t="s">
        <v>4</v>
      </c>
      <c r="U2" s="17" t="s">
        <v>110</v>
      </c>
      <c r="V2" s="48" t="s">
        <v>5</v>
      </c>
      <c r="W2" s="35" t="s">
        <v>2</v>
      </c>
      <c r="X2" s="34" t="s">
        <v>3</v>
      </c>
      <c r="Y2" s="17" t="s">
        <v>4</v>
      </c>
      <c r="Z2" s="17" t="s">
        <v>110</v>
      </c>
      <c r="AA2" s="17" t="s">
        <v>5</v>
      </c>
    </row>
    <row r="3" spans="1:30" x14ac:dyDescent="0.25">
      <c r="A3" s="1" t="s">
        <v>6</v>
      </c>
      <c r="B3" s="31" t="s">
        <v>7</v>
      </c>
      <c r="C3" s="39">
        <f>VLOOKUP($A3, '[1]Medicaid - Totals'!$A$3:$K$54, 2, FALSE)</f>
        <v>307468461.4375</v>
      </c>
      <c r="D3" s="40">
        <f>VLOOKUP($A3, '[1]Medicaid - Totals'!$A$3:$K$54, 7, FALSE)</f>
        <v>175385922.9025884</v>
      </c>
      <c r="E3" s="41">
        <f>VLOOKUP($B3, '[2]Medicaid - Totals'!$A$4:$K$55, 2, FALSE)</f>
        <v>71201090</v>
      </c>
      <c r="F3" s="41">
        <f>VLOOKUP($B3, '[2]Medicaid - Totals'!$A$4:$K$55, 3, FALSE)</f>
        <v>50148749</v>
      </c>
      <c r="G3" s="12">
        <f>VLOOKUP($B3, '[3]raw_data (4)'!$A$5:$F$56, 6, FALSE)</f>
        <v>397635211448</v>
      </c>
      <c r="H3" s="40">
        <f>VLOOKUP($A3, '[1]Medicaid - Totals'!$A$3:$K$54, 3, FALSE)</f>
        <v>77313524.958712161</v>
      </c>
      <c r="I3" s="40">
        <f>VLOOKUP($A3, '[1]Medicaid - Totals'!$A$3:$K$54, 8, FALSE)</f>
        <v>37099060.029183201</v>
      </c>
      <c r="J3" s="41">
        <f>VLOOKUP($B3, '[2]Medicaid - Totals'!$A$4:$K$55, 4, FALSE)</f>
        <v>35561350</v>
      </c>
      <c r="K3" s="41">
        <f>VLOOKUP($B3, '[2]Medicaid - Totals'!$A$4:$K$55, 5, FALSE)</f>
        <v>30601100</v>
      </c>
      <c r="L3" s="12">
        <f>VLOOKUP($B3, '[3]raw_data (4)'!$A$5:$F$56, 5, FALSE)</f>
        <v>82401330673</v>
      </c>
      <c r="M3" s="40">
        <f>VLOOKUP($A3, '[1]Medicaid - Totals'!$A$3:$K$54, 4, FALSE)</f>
        <v>173860943.38061759</v>
      </c>
      <c r="N3" s="40">
        <f>VLOOKUP($A3, '[1]Medicaid - Totals'!$A$3:$K$54, 9, FALSE)</f>
        <v>111976548.44048747</v>
      </c>
      <c r="O3" s="41">
        <f>VLOOKUP($B3, '[2]Medicaid - Totals'!$A$4:$K$55, 6, FALSE)</f>
        <v>11117320</v>
      </c>
      <c r="P3" s="41">
        <f>VLOOKUP($B3, '[2]Medicaid - Totals'!$A$4:$K$55, 7, FALSE)</f>
        <v>8990569</v>
      </c>
      <c r="Q3" s="12">
        <f>VLOOKUP($B3, '[3]raw_data (4)'!$A$5:$F$56, 4, FALSE)</f>
        <v>61059207151</v>
      </c>
      <c r="R3" s="40">
        <f>VLOOKUP($A3, '[1]Medicaid - Totals'!$A$3:$K$54, 6, FALSE)</f>
        <v>15951251.425321583</v>
      </c>
      <c r="S3" s="40">
        <f>VLOOKUP($A3, '[1]Medicaid - Totals'!$A$3:$K$54, 11, FALSE)</f>
        <v>4145124.761547565</v>
      </c>
      <c r="T3" s="41">
        <f>VLOOKUP($B3, '[2]Medicaid - Totals'!$A$4:$K$55, 10, FALSE)</f>
        <v>17496930</v>
      </c>
      <c r="U3" s="41">
        <f>VLOOKUP($B3, '[2]Medicaid - Totals'!$A$4:$K$55, 11, FALSE)</f>
        <v>7319330</v>
      </c>
      <c r="V3" s="12">
        <f>VLOOKUP($B3, '[3]raw_data (4)'!$A$5:$F$56, 3, FALSE)</f>
        <v>168816660740</v>
      </c>
      <c r="W3" s="40">
        <f>VLOOKUP($A3, '[1]Medicaid - Totals'!$A$3:$K$54, 5, FALSE)</f>
        <v>40342742.854552567</v>
      </c>
      <c r="X3" s="40">
        <f>VLOOKUP($A3, '[1]Medicaid - Totals'!$A$3:$K$54, 10, FALSE)</f>
        <v>22165189.671370141</v>
      </c>
      <c r="Y3" s="41">
        <f>VLOOKUP($B3, '[2]Medicaid - Totals'!$A$4:$K$55, 8, FALSE)</f>
        <v>7025490</v>
      </c>
      <c r="Z3" s="41">
        <f>VLOOKUP($B3, '[2]Medicaid - Totals'!$A$4:$K$55, 9, FALSE)</f>
        <v>3237750</v>
      </c>
      <c r="AA3" s="42">
        <f>VLOOKUP($B3, '[3]raw_data (4)'!$A$5:$F$56, 2, FALSE)</f>
        <v>85354980224</v>
      </c>
      <c r="AD3" s="7"/>
    </row>
    <row r="4" spans="1:30" x14ac:dyDescent="0.25">
      <c r="A4" s="1" t="s">
        <v>8</v>
      </c>
      <c r="B4" s="31" t="s">
        <v>9</v>
      </c>
      <c r="C4" s="43">
        <f>VLOOKUP($A4, '[1]Medicaid - Totals'!$A$3:$K$54, 2, FALSE)</f>
        <v>4718503.5</v>
      </c>
      <c r="D4" s="36">
        <f>VLOOKUP($A4, '[1]Medicaid - Totals'!$A$3:$K$54, 7, FALSE)</f>
        <v>2533870.9437217722</v>
      </c>
      <c r="E4" s="37">
        <f>VLOOKUP($B4, '[2]Medicaid - Totals'!$A$4:$K$55, 2, FALSE)</f>
        <v>710762</v>
      </c>
      <c r="F4" s="37">
        <f>VLOOKUP($B4, '[2]Medicaid - Totals'!$A$4:$K$55, 3, FALSE)</f>
        <v>727712</v>
      </c>
      <c r="G4" s="18">
        <f>VLOOKUP($B4, '[3]raw_data (4)'!$A$5:$F$56, 6, FALSE)</f>
        <v>4367220023</v>
      </c>
      <c r="H4" s="36">
        <f>VLOOKUP($A4, '[1]Medicaid - Totals'!$A$3:$K$54, 3, FALSE)</f>
        <v>1184574.71578979</v>
      </c>
      <c r="I4" s="36">
        <f>VLOOKUP($A4, '[1]Medicaid - Totals'!$A$3:$K$54, 8, FALSE)</f>
        <v>558699.10546493495</v>
      </c>
      <c r="J4" s="37">
        <f>VLOOKUP($B4, '[2]Medicaid - Totals'!$A$4:$K$55, 4, FALSE)</f>
        <v>531078</v>
      </c>
      <c r="K4" s="37">
        <f>VLOOKUP($B4, '[2]Medicaid - Totals'!$A$4:$K$55, 5, FALSE)</f>
        <v>501629</v>
      </c>
      <c r="L4" s="18">
        <f>VLOOKUP($B4, '[3]raw_data (4)'!$A$5:$F$56, 5, FALSE)</f>
        <v>1169533759</v>
      </c>
      <c r="M4" s="36">
        <f>VLOOKUP($A4, '[1]Medicaid - Totals'!$A$3:$K$54, 4, FALSE)</f>
        <v>2493358.5635223398</v>
      </c>
      <c r="N4" s="36">
        <f>VLOOKUP($A4, '[1]Medicaid - Totals'!$A$3:$K$54, 9, FALSE)</f>
        <v>1561616.92427826</v>
      </c>
      <c r="O4" s="37">
        <f>VLOOKUP($B4, '[2]Medicaid - Totals'!$A$4:$K$55, 6, FALSE)</f>
        <v>62675</v>
      </c>
      <c r="P4" s="37">
        <f>VLOOKUP($B4, '[2]Medicaid - Totals'!$A$4:$K$55, 7, FALSE)</f>
        <v>48848</v>
      </c>
      <c r="Q4" s="18">
        <f>VLOOKUP($B4, '[3]raw_data (4)'!$A$5:$F$56, 4, FALSE)</f>
        <v>440897430</v>
      </c>
      <c r="R4" s="36">
        <f>VLOOKUP($A4, '[1]Medicaid - Totals'!$A$3:$K$54, 6, FALSE)</f>
        <v>407941.64430999802</v>
      </c>
      <c r="S4" s="36">
        <f>VLOOKUP($A4, '[1]Medicaid - Totals'!$A$3:$K$54, 11, FALSE)</f>
        <v>103755.360054016</v>
      </c>
      <c r="T4" s="37">
        <f>VLOOKUP($B4, '[2]Medicaid - Totals'!$A$4:$K$55, 10, FALSE)</f>
        <v>95848</v>
      </c>
      <c r="U4" s="37">
        <f>VLOOKUP($B4, '[2]Medicaid - Totals'!$A$4:$K$55, 11, FALSE)</f>
        <v>146187</v>
      </c>
      <c r="V4" s="18">
        <f>VLOOKUP($B4, '[3]raw_data (4)'!$A$5:$F$56, 3, FALSE)</f>
        <v>1770162281</v>
      </c>
      <c r="W4" s="36">
        <f>VLOOKUP($A4, '[1]Medicaid - Totals'!$A$3:$K$54, 5, FALSE)</f>
        <v>632628.669036865</v>
      </c>
      <c r="X4" s="36">
        <f>VLOOKUP($A4, '[1]Medicaid - Totals'!$A$3:$K$54, 10, FALSE)</f>
        <v>309799.55392456101</v>
      </c>
      <c r="Y4" s="37">
        <f>VLOOKUP($B4, '[2]Medicaid - Totals'!$A$4:$K$55, 8, FALSE)</f>
        <v>21161</v>
      </c>
      <c r="Z4" s="37">
        <f>VLOOKUP($B4, '[2]Medicaid - Totals'!$A$4:$K$55, 9, FALSE)</f>
        <v>31048</v>
      </c>
      <c r="AA4" s="8">
        <f>VLOOKUP($B4, '[3]raw_data (4)'!$A$5:$F$56, 2, FALSE)</f>
        <v>986626553.10000002</v>
      </c>
    </row>
    <row r="5" spans="1:30" x14ac:dyDescent="0.25">
      <c r="A5" s="1" t="s">
        <v>10</v>
      </c>
      <c r="B5" s="31" t="s">
        <v>11</v>
      </c>
      <c r="C5" s="43">
        <f>VLOOKUP($A5, '[1]Medicaid - Totals'!$A$3:$K$54, 2, FALSE)</f>
        <v>703106.375</v>
      </c>
      <c r="D5" s="36">
        <f>VLOOKUP($A5, '[1]Medicaid - Totals'!$A$3:$K$54, 7, FALSE)</f>
        <v>446701.34039276832</v>
      </c>
      <c r="E5" s="37">
        <f>VLOOKUP($B5, '[2]Medicaid - Totals'!$A$4:$K$55, 2, FALSE)</f>
        <v>148576</v>
      </c>
      <c r="F5" s="37">
        <f>VLOOKUP($B5, '[2]Medicaid - Totals'!$A$4:$K$55, 3, FALSE)</f>
        <v>110132</v>
      </c>
      <c r="G5" s="18">
        <f>VLOOKUP($B5, '[3]raw_data (4)'!$A$5:$F$56, 6, FALSE)</f>
        <v>1313397628</v>
      </c>
      <c r="H5" s="36">
        <f>VLOOKUP($A5, '[1]Medicaid - Totals'!$A$3:$K$54, 3, FALSE)</f>
        <v>197530.035205603</v>
      </c>
      <c r="I5" s="36">
        <f>VLOOKUP($A5, '[1]Medicaid - Totals'!$A$3:$K$54, 8, FALSE)</f>
        <v>110665.720173597</v>
      </c>
      <c r="J5" s="37">
        <f>VLOOKUP($B5, '[2]Medicaid - Totals'!$A$4:$K$55, 4, FALSE)</f>
        <v>84593</v>
      </c>
      <c r="K5" s="37">
        <f>VLOOKUP($B5, '[2]Medicaid - Totals'!$A$4:$K$55, 5, FALSE)</f>
        <v>68715</v>
      </c>
      <c r="L5" s="18">
        <f>VLOOKUP($B5, '[3]raw_data (4)'!$A$5:$F$56, 5, FALSE)</f>
        <v>376891481.10000002</v>
      </c>
      <c r="M5" s="36">
        <f>VLOOKUP($A5, '[1]Medicaid - Totals'!$A$3:$K$54, 4, FALSE)</f>
        <v>417571.26503688103</v>
      </c>
      <c r="N5" s="36">
        <f>VLOOKUP($A5, '[1]Medicaid - Totals'!$A$3:$K$54, 9, FALSE)</f>
        <v>295661.60516637599</v>
      </c>
      <c r="O5" s="37">
        <f>VLOOKUP($B5, '[2]Medicaid - Totals'!$A$4:$K$55, 6, FALSE)</f>
        <v>21836</v>
      </c>
      <c r="P5" s="37">
        <f>VLOOKUP($B5, '[2]Medicaid - Totals'!$A$4:$K$55, 7, FALSE)</f>
        <v>20182</v>
      </c>
      <c r="Q5" s="18">
        <f>VLOOKUP($B5, '[3]raw_data (4)'!$A$5:$F$56, 4, FALSE)</f>
        <v>202735870.90000001</v>
      </c>
      <c r="R5" s="36">
        <f>VLOOKUP($A5, '[1]Medicaid - Totals'!$A$3:$K$54, 6, FALSE)</f>
        <v>30553.429977416999</v>
      </c>
      <c r="S5" s="36">
        <f>VLOOKUP($A5, '[1]Medicaid - Totals'!$A$3:$K$54, 11, FALSE)</f>
        <v>8715.0250244140607</v>
      </c>
      <c r="T5" s="37">
        <f>VLOOKUP($B5, '[2]Medicaid - Totals'!$A$4:$K$55, 10, FALSE)</f>
        <v>31771</v>
      </c>
      <c r="U5" s="37">
        <f>VLOOKUP($B5, '[2]Medicaid - Totals'!$A$4:$K$55, 11, FALSE)</f>
        <v>14231</v>
      </c>
      <c r="V5" s="18">
        <f>VLOOKUP($B5, '[3]raw_data (4)'!$A$5:$F$56, 3, FALSE)</f>
        <v>513294327.5</v>
      </c>
      <c r="W5" s="36">
        <f>VLOOKUP($A5, '[1]Medicaid - Totals'!$A$3:$K$54, 5, FALSE)</f>
        <v>57451.669979870298</v>
      </c>
      <c r="X5" s="36">
        <f>VLOOKUP($A5, '[1]Medicaid - Totals'!$A$3:$K$54, 10, FALSE)</f>
        <v>31658.9900283813</v>
      </c>
      <c r="Y5" s="37">
        <f>VLOOKUP($B5, '[2]Medicaid - Totals'!$A$4:$K$55, 8, FALSE)</f>
        <v>10376</v>
      </c>
      <c r="Z5" s="37">
        <f>VLOOKUP($B5, '[2]Medicaid - Totals'!$A$4:$K$55, 9, FALSE)</f>
        <v>7004</v>
      </c>
      <c r="AA5" s="8">
        <f>VLOOKUP($B5, '[3]raw_data (4)'!$A$5:$F$56, 2, FALSE)</f>
        <v>220475948.5</v>
      </c>
    </row>
    <row r="6" spans="1:30" x14ac:dyDescent="0.25">
      <c r="A6" s="1" t="s">
        <v>12</v>
      </c>
      <c r="B6" s="31" t="s">
        <v>13</v>
      </c>
      <c r="C6" s="43">
        <f>VLOOKUP($A6, '[1]Medicaid - Totals'!$A$3:$K$54, 2, FALSE)</f>
        <v>6632165</v>
      </c>
      <c r="D6" s="36">
        <f>VLOOKUP($A6, '[1]Medicaid - Totals'!$A$3:$K$54, 7, FALSE)</f>
        <v>3517099.7731132526</v>
      </c>
      <c r="E6" s="37">
        <f>VLOOKUP($B6, '[2]Medicaid - Totals'!$A$4:$K$55, 2, FALSE)</f>
        <v>1780964</v>
      </c>
      <c r="F6" s="37">
        <f>VLOOKUP($B6, '[2]Medicaid - Totals'!$A$4:$K$55, 3, FALSE)</f>
        <v>1149975</v>
      </c>
      <c r="G6" s="18">
        <f>VLOOKUP($B6, '[3]raw_data (4)'!$A$5:$F$56, 6, FALSE)</f>
        <v>8878439551</v>
      </c>
      <c r="H6" s="36">
        <f>VLOOKUP($A6, '[1]Medicaid - Totals'!$A$3:$K$54, 3, FALSE)</f>
        <v>1766418.69707775</v>
      </c>
      <c r="I6" s="36">
        <f>VLOOKUP($A6, '[1]Medicaid - Totals'!$A$3:$K$54, 8, FALSE)</f>
        <v>700662.69133758498</v>
      </c>
      <c r="J6" s="37">
        <f>VLOOKUP($B6, '[2]Medicaid - Totals'!$A$4:$K$55, 4, FALSE)</f>
        <v>802992</v>
      </c>
      <c r="K6" s="37">
        <f>VLOOKUP($B6, '[2]Medicaid - Totals'!$A$4:$K$55, 5, FALSE)</f>
        <v>570107</v>
      </c>
      <c r="L6" s="18">
        <f>VLOOKUP($B6, '[3]raw_data (4)'!$A$5:$F$56, 5, FALSE)</f>
        <v>1741295967</v>
      </c>
      <c r="M6" s="36">
        <f>VLOOKUP($A6, '[1]Medicaid - Totals'!$A$3:$K$54, 4, FALSE)</f>
        <v>3722731.5651440602</v>
      </c>
      <c r="N6" s="36">
        <f>VLOOKUP($A6, '[1]Medicaid - Totals'!$A$3:$K$54, 9, FALSE)</f>
        <v>2270113.81814194</v>
      </c>
      <c r="O6" s="37">
        <f>VLOOKUP($B6, '[2]Medicaid - Totals'!$A$4:$K$55, 6, FALSE)</f>
        <v>559519</v>
      </c>
      <c r="P6" s="37">
        <f>VLOOKUP($B6, '[2]Medicaid - Totals'!$A$4:$K$55, 7, FALSE)</f>
        <v>402219</v>
      </c>
      <c r="Q6" s="18">
        <f>VLOOKUP($B6, '[3]raw_data (4)'!$A$5:$F$56, 4, FALSE)</f>
        <v>2830447068</v>
      </c>
      <c r="R6" s="36">
        <f>VLOOKUP($A6, '[1]Medicaid - Totals'!$A$3:$K$54, 6, FALSE)</f>
        <v>322158.42481517798</v>
      </c>
      <c r="S6" s="36">
        <f>VLOOKUP($A6, '[1]Medicaid - Totals'!$A$3:$K$54, 11, FALSE)</f>
        <v>71636.800483703599</v>
      </c>
      <c r="T6" s="37">
        <f>VLOOKUP($B6, '[2]Medicaid - Totals'!$A$4:$K$55, 10, FALSE)</f>
        <v>336048</v>
      </c>
      <c r="U6" s="37">
        <f>VLOOKUP($B6, '[2]Medicaid - Totals'!$A$4:$K$55, 11, FALSE)</f>
        <v>115471</v>
      </c>
      <c r="V6" s="18">
        <f>VLOOKUP($B6, '[3]raw_data (4)'!$A$5:$F$56, 3, FALSE)</f>
        <v>3170480373</v>
      </c>
      <c r="W6" s="36">
        <f>VLOOKUP($A6, '[1]Medicaid - Totals'!$A$3:$K$54, 5, FALSE)</f>
        <v>820856.09290313697</v>
      </c>
      <c r="X6" s="36">
        <f>VLOOKUP($A6, '[1]Medicaid - Totals'!$A$3:$K$54, 10, FALSE)</f>
        <v>474686.46315002401</v>
      </c>
      <c r="Y6" s="37">
        <f>VLOOKUP($B6, '[2]Medicaid - Totals'!$A$4:$K$55, 8, FALSE)</f>
        <v>82405</v>
      </c>
      <c r="Z6" s="37">
        <f>VLOOKUP($B6, '[2]Medicaid - Totals'!$A$4:$K$55, 9, FALSE)</f>
        <v>62178</v>
      </c>
      <c r="AA6" s="8">
        <f>VLOOKUP($B6, '[3]raw_data (4)'!$A$5:$F$56, 2, FALSE)</f>
        <v>1136216142</v>
      </c>
    </row>
    <row r="7" spans="1:30" x14ac:dyDescent="0.25">
      <c r="A7" s="1" t="s">
        <v>14</v>
      </c>
      <c r="B7" s="31" t="s">
        <v>15</v>
      </c>
      <c r="C7" s="43">
        <f>VLOOKUP($A7, '[1]Medicaid - Totals'!$A$3:$K$54, 2, FALSE)</f>
        <v>2894530.25</v>
      </c>
      <c r="D7" s="36">
        <f>VLOOKUP($A7, '[1]Medicaid - Totals'!$A$3:$K$54, 7, FALSE)</f>
        <v>1411911.253579139</v>
      </c>
      <c r="E7" s="37">
        <f>VLOOKUP($B7, '[2]Medicaid - Totals'!$A$4:$K$55, 2, FALSE)</f>
        <v>775534</v>
      </c>
      <c r="F7" s="37">
        <f>VLOOKUP($B7, '[2]Medicaid - Totals'!$A$4:$K$55, 3, FALSE)</f>
        <v>510363</v>
      </c>
      <c r="G7" s="18">
        <f>VLOOKUP($B7, '[3]raw_data (4)'!$A$5:$F$56, 6, FALSE)</f>
        <v>3778910047</v>
      </c>
      <c r="H7" s="36">
        <f>VLOOKUP($A7, '[1]Medicaid - Totals'!$A$3:$K$54, 3, FALSE)</f>
        <v>714895.49962186802</v>
      </c>
      <c r="I7" s="36">
        <f>VLOOKUP($A7, '[1]Medicaid - Totals'!$A$3:$K$54, 8, FALSE)</f>
        <v>275047.605052948</v>
      </c>
      <c r="J7" s="37">
        <f>VLOOKUP($B7, '[2]Medicaid - Totals'!$A$4:$K$55, 4, FALSE)</f>
        <v>447346</v>
      </c>
      <c r="K7" s="37">
        <f>VLOOKUP($B7, '[2]Medicaid - Totals'!$A$4:$K$55, 5, FALSE)</f>
        <v>357223</v>
      </c>
      <c r="L7" s="18">
        <f>VLOOKUP($B7, '[3]raw_data (4)'!$A$5:$F$56, 5, FALSE)</f>
        <v>924061274.5</v>
      </c>
      <c r="M7" s="36">
        <f>VLOOKUP($A7, '[1]Medicaid - Totals'!$A$3:$K$54, 4, FALSE)</f>
        <v>1504833.50932121</v>
      </c>
      <c r="N7" s="36">
        <f>VLOOKUP($A7, '[1]Medicaid - Totals'!$A$3:$K$54, 9, FALSE)</f>
        <v>873234.73379993404</v>
      </c>
      <c r="O7" s="37">
        <f>VLOOKUP($B7, '[2]Medicaid - Totals'!$A$4:$K$55, 6, FALSE)</f>
        <v>57491</v>
      </c>
      <c r="P7" s="37">
        <f>VLOOKUP($B7, '[2]Medicaid - Totals'!$A$4:$K$55, 7, FALSE)</f>
        <v>29715</v>
      </c>
      <c r="Q7" s="18">
        <f>VLOOKUP($B7, '[3]raw_data (4)'!$A$5:$F$56, 4, FALSE)</f>
        <v>186850404.30000001</v>
      </c>
      <c r="R7" s="36">
        <f>VLOOKUP($A7, '[1]Medicaid - Totals'!$A$3:$K$54, 6, FALSE)</f>
        <v>230110.21480941799</v>
      </c>
      <c r="S7" s="36">
        <f>VLOOKUP($A7, '[1]Medicaid - Totals'!$A$3:$K$54, 11, FALSE)</f>
        <v>52848.8497085571</v>
      </c>
      <c r="T7" s="37">
        <f>VLOOKUP($B7, '[2]Medicaid - Totals'!$A$4:$K$55, 10, FALSE)</f>
        <v>209728</v>
      </c>
      <c r="U7" s="37">
        <f>VLOOKUP($B7, '[2]Medicaid - Totals'!$A$4:$K$55, 11, FALSE)</f>
        <v>97970</v>
      </c>
      <c r="V7" s="18">
        <f>VLOOKUP($B7, '[3]raw_data (4)'!$A$5:$F$56, 3, FALSE)</f>
        <v>1750466847</v>
      </c>
      <c r="W7" s="36">
        <f>VLOOKUP($A7, '[1]Medicaid - Totals'!$A$3:$K$54, 5, FALSE)</f>
        <v>444691.05895233201</v>
      </c>
      <c r="X7" s="36">
        <f>VLOOKUP($A7, '[1]Medicaid - Totals'!$A$3:$K$54, 10, FALSE)</f>
        <v>210780.06501769999</v>
      </c>
      <c r="Y7" s="37">
        <f>VLOOKUP($B7, '[2]Medicaid - Totals'!$A$4:$K$55, 8, FALSE)</f>
        <v>60969</v>
      </c>
      <c r="Z7" s="37">
        <f>VLOOKUP($B7, '[2]Medicaid - Totals'!$A$4:$K$55, 9, FALSE)</f>
        <v>25455</v>
      </c>
      <c r="AA7" s="8">
        <f>VLOOKUP($B7, '[3]raw_data (4)'!$A$5:$F$56, 2, FALSE)</f>
        <v>917531521.10000002</v>
      </c>
    </row>
    <row r="8" spans="1:30" x14ac:dyDescent="0.25">
      <c r="A8" s="1" t="s">
        <v>16</v>
      </c>
      <c r="B8" s="31" t="s">
        <v>17</v>
      </c>
      <c r="C8" s="43">
        <f>VLOOKUP($A8, '[1]Medicaid - Totals'!$A$3:$K$54, 2, FALSE)</f>
        <v>37428844</v>
      </c>
      <c r="D8" s="36">
        <f>VLOOKUP($A8, '[1]Medicaid - Totals'!$A$3:$K$54, 7, FALSE)</f>
        <v>20075759.894365348</v>
      </c>
      <c r="E8" s="37">
        <f>VLOOKUP($B8, '[2]Medicaid - Totals'!$A$4:$K$55, 2, FALSE)</f>
        <v>10015659</v>
      </c>
      <c r="F8" s="37">
        <f>VLOOKUP($B8, '[2]Medicaid - Totals'!$A$4:$K$55, 3, FALSE)</f>
        <v>7178279</v>
      </c>
      <c r="G8" s="18">
        <f>VLOOKUP($B8, '[3]raw_data (4)'!$A$5:$F$56, 6, FALSE)</f>
        <v>52128660506</v>
      </c>
      <c r="H8" s="36">
        <f>VLOOKUP($A8, '[1]Medicaid - Totals'!$A$3:$K$54, 3, FALSE)</f>
        <v>9808021.2744259797</v>
      </c>
      <c r="I8" s="36">
        <f>VLOOKUP($A8, '[1]Medicaid - Totals'!$A$3:$K$54, 8, FALSE)</f>
        <v>4267502.4962716103</v>
      </c>
      <c r="J8" s="37">
        <f>VLOOKUP($B8, '[2]Medicaid - Totals'!$A$4:$K$55, 4, FALSE)</f>
        <v>5238850</v>
      </c>
      <c r="K8" s="37">
        <f>VLOOKUP($B8, '[2]Medicaid - Totals'!$A$4:$K$55, 5, FALSE)</f>
        <v>4259070</v>
      </c>
      <c r="L8" s="18">
        <f>VLOOKUP($B8, '[3]raw_data (4)'!$A$5:$F$56, 5, FALSE)</f>
        <v>10775014641</v>
      </c>
      <c r="M8" s="36">
        <f>VLOOKUP($A8, '[1]Medicaid - Totals'!$A$3:$K$54, 4, FALSE)</f>
        <v>21629165.8067942</v>
      </c>
      <c r="N8" s="36">
        <f>VLOOKUP($A8, '[1]Medicaid - Totals'!$A$3:$K$54, 9, FALSE)</f>
        <v>12862095.9438744</v>
      </c>
      <c r="O8" s="37">
        <f>VLOOKUP($B8, '[2]Medicaid - Totals'!$A$4:$K$55, 6, FALSE)</f>
        <v>1615660</v>
      </c>
      <c r="P8" s="37">
        <f>VLOOKUP($B8, '[2]Medicaid - Totals'!$A$4:$K$55, 7, FALSE)</f>
        <v>1225250</v>
      </c>
      <c r="Q8" s="18">
        <f>VLOOKUP($B8, '[3]raw_data (4)'!$A$5:$F$56, 4, FALSE)</f>
        <v>7770433532</v>
      </c>
      <c r="R8" s="36">
        <f>VLOOKUP($A8, '[1]Medicaid - Totals'!$A$3:$K$54, 6, FALSE)</f>
        <v>1661096.62585974</v>
      </c>
      <c r="S8" s="36">
        <f>VLOOKUP($A8, '[1]Medicaid - Totals'!$A$3:$K$54, 11, FALSE)</f>
        <v>474046.94520711899</v>
      </c>
      <c r="T8" s="37">
        <f>VLOOKUP($B8, '[2]Medicaid - Totals'!$A$4:$K$55, 10, FALSE)</f>
        <v>2107659</v>
      </c>
      <c r="U8" s="37">
        <f>VLOOKUP($B8, '[2]Medicaid - Totals'!$A$4:$K$55, 11, FALSE)</f>
        <v>894269</v>
      </c>
      <c r="V8" s="18">
        <f>VLOOKUP($B8, '[3]raw_data (4)'!$A$5:$F$56, 3, FALSE)</f>
        <v>21384615493</v>
      </c>
      <c r="W8" s="36">
        <f>VLOOKUP($A8, '[1]Medicaid - Totals'!$A$3:$K$54, 5, FALSE)</f>
        <v>4330561.0754589997</v>
      </c>
      <c r="X8" s="36">
        <f>VLOOKUP($A8, '[1]Medicaid - Totals'!$A$3:$K$54, 10, FALSE)</f>
        <v>2472114.50901222</v>
      </c>
      <c r="Y8" s="37">
        <f>VLOOKUP($B8, '[2]Medicaid - Totals'!$A$4:$K$55, 8, FALSE)</f>
        <v>1053490</v>
      </c>
      <c r="Z8" s="37">
        <f>VLOOKUP($B8, '[2]Medicaid - Totals'!$A$4:$K$55, 9, FALSE)</f>
        <v>799690</v>
      </c>
      <c r="AA8" s="8">
        <f>VLOOKUP($B8, '[3]raw_data (4)'!$A$5:$F$56, 2, FALSE)</f>
        <v>12198596840</v>
      </c>
    </row>
    <row r="9" spans="1:30" x14ac:dyDescent="0.25">
      <c r="A9" s="1" t="s">
        <v>18</v>
      </c>
      <c r="B9" s="31" t="s">
        <v>19</v>
      </c>
      <c r="C9" s="43">
        <f>VLOOKUP($A9, '[1]Medicaid - Totals'!$A$3:$K$54, 2, FALSE)</f>
        <v>5038697.5</v>
      </c>
      <c r="D9" s="36">
        <f>VLOOKUP($A9, '[1]Medicaid - Totals'!$A$3:$K$54, 7, FALSE)</f>
        <v>3274164.3195550493</v>
      </c>
      <c r="E9" s="37">
        <f>VLOOKUP($B9, '[2]Medicaid - Totals'!$A$4:$K$55, 2, FALSE)</f>
        <v>690803</v>
      </c>
      <c r="F9" s="37">
        <f>VLOOKUP($B9, '[2]Medicaid - Totals'!$A$4:$K$55, 3, FALSE)</f>
        <v>504155</v>
      </c>
      <c r="G9" s="18">
        <f>VLOOKUP($B9, '[3]raw_data (4)'!$A$5:$F$56, 6, FALSE)</f>
        <v>4231188552</v>
      </c>
      <c r="H9" s="36">
        <f>VLOOKUP($A9, '[1]Medicaid - Totals'!$A$3:$K$54, 3, FALSE)</f>
        <v>1303816.5863995601</v>
      </c>
      <c r="I9" s="36">
        <f>VLOOKUP($A9, '[1]Medicaid - Totals'!$A$3:$K$54, 8, FALSE)</f>
        <v>782133.59023022698</v>
      </c>
      <c r="J9" s="37">
        <f>VLOOKUP($B9, '[2]Medicaid - Totals'!$A$4:$K$55, 4, FALSE)</f>
        <v>415221</v>
      </c>
      <c r="K9" s="37">
        <f>VLOOKUP($B9, '[2]Medicaid - Totals'!$A$4:$K$55, 5, FALSE)</f>
        <v>339068</v>
      </c>
      <c r="L9" s="18">
        <f>VLOOKUP($B9, '[3]raw_data (4)'!$A$5:$F$56, 5, FALSE)</f>
        <v>984398560.5</v>
      </c>
      <c r="M9" s="36">
        <f>VLOOKUP($A9, '[1]Medicaid - Totals'!$A$3:$K$54, 4, FALSE)</f>
        <v>2979522.5190808801</v>
      </c>
      <c r="N9" s="36">
        <f>VLOOKUP($A9, '[1]Medicaid - Totals'!$A$3:$K$54, 9, FALSE)</f>
        <v>2084609.1051316301</v>
      </c>
      <c r="O9" s="37">
        <f>VLOOKUP($B9, '[2]Medicaid - Totals'!$A$4:$K$55, 6, FALSE)</f>
        <v>76454</v>
      </c>
      <c r="P9" s="37">
        <f>VLOOKUP($B9, '[2]Medicaid - Totals'!$A$4:$K$55, 7, FALSE)</f>
        <v>68321</v>
      </c>
      <c r="Q9" s="18">
        <f>VLOOKUP($B9, '[3]raw_data (4)'!$A$5:$F$56, 4, FALSE)</f>
        <v>570201263</v>
      </c>
      <c r="R9" s="36">
        <f>VLOOKUP($A9, '[1]Medicaid - Totals'!$A$3:$K$54, 6, FALSE)</f>
        <v>177761.349988937</v>
      </c>
      <c r="S9" s="36">
        <f>VLOOKUP($A9, '[1]Medicaid - Totals'!$A$3:$K$54, 11, FALSE)</f>
        <v>55278.485031127901</v>
      </c>
      <c r="T9" s="37">
        <f>VLOOKUP($B9, '[2]Medicaid - Totals'!$A$4:$K$55, 10, FALSE)</f>
        <v>150357</v>
      </c>
      <c r="U9" s="37">
        <f>VLOOKUP($B9, '[2]Medicaid - Totals'!$A$4:$K$55, 11, FALSE)</f>
        <v>66896</v>
      </c>
      <c r="V9" s="18">
        <f>VLOOKUP($B9, '[3]raw_data (4)'!$A$5:$F$56, 3, FALSE)</f>
        <v>1803188390</v>
      </c>
      <c r="W9" s="36">
        <f>VLOOKUP($A9, '[1]Medicaid - Totals'!$A$3:$K$54, 5, FALSE)</f>
        <v>577597.16434383404</v>
      </c>
      <c r="X9" s="36">
        <f>VLOOKUP($A9, '[1]Medicaid - Totals'!$A$3:$K$54, 10, FALSE)</f>
        <v>352143.13916206401</v>
      </c>
      <c r="Y9" s="37">
        <f>VLOOKUP($B9, '[2]Medicaid - Totals'!$A$4:$K$55, 8, FALSE)</f>
        <v>48771</v>
      </c>
      <c r="Z9" s="37">
        <f>VLOOKUP($B9, '[2]Medicaid - Totals'!$A$4:$K$55, 9, FALSE)</f>
        <v>29870</v>
      </c>
      <c r="AA9" s="8">
        <f>VLOOKUP($B9, '[3]raw_data (4)'!$A$5:$F$56, 2, FALSE)</f>
        <v>873400338.10000002</v>
      </c>
    </row>
    <row r="10" spans="1:30" x14ac:dyDescent="0.25">
      <c r="A10" s="1" t="s">
        <v>20</v>
      </c>
      <c r="B10" s="31" t="s">
        <v>21</v>
      </c>
      <c r="C10" s="43">
        <f>VLOOKUP($A10, '[1]Medicaid - Totals'!$A$3:$K$54, 2, FALSE)</f>
        <v>3507134.25</v>
      </c>
      <c r="D10" s="36">
        <f>VLOOKUP($A10, '[1]Medicaid - Totals'!$A$3:$K$54, 7, FALSE)</f>
        <v>2466601.6219564704</v>
      </c>
      <c r="E10" s="37">
        <f>VLOOKUP($B10, '[2]Medicaid - Totals'!$A$4:$K$55, 2, FALSE)</f>
        <v>763510</v>
      </c>
      <c r="F10" s="37">
        <f>VLOOKUP($B10, '[2]Medicaid - Totals'!$A$4:$K$55, 3, FALSE)</f>
        <v>538438</v>
      </c>
      <c r="G10" s="18">
        <f>VLOOKUP($B10, '[3]raw_data (4)'!$A$5:$F$56, 6, FALSE)</f>
        <v>5867898663</v>
      </c>
      <c r="H10" s="36">
        <f>VLOOKUP($A10, '[1]Medicaid - Totals'!$A$3:$K$54, 3, FALSE)</f>
        <v>857812.36055243004</v>
      </c>
      <c r="I10" s="36">
        <f>VLOOKUP($A10, '[1]Medicaid - Totals'!$A$3:$K$54, 8, FALSE)</f>
        <v>569198.445755839</v>
      </c>
      <c r="J10" s="37">
        <f>VLOOKUP($B10, '[2]Medicaid - Totals'!$A$4:$K$55, 4, FALSE)</f>
        <v>312405</v>
      </c>
      <c r="K10" s="37">
        <f>VLOOKUP($B10, '[2]Medicaid - Totals'!$A$4:$K$55, 5, FALSE)</f>
        <v>287339</v>
      </c>
      <c r="L10" s="18">
        <f>VLOOKUP($B10, '[3]raw_data (4)'!$A$5:$F$56, 5, FALSE)</f>
        <v>1006084781</v>
      </c>
      <c r="M10" s="36">
        <f>VLOOKUP($A10, '[1]Medicaid - Totals'!$A$3:$K$54, 4, FALSE)</f>
        <v>2033363.3316355899</v>
      </c>
      <c r="N10" s="36">
        <f>VLOOKUP($A10, '[1]Medicaid - Totals'!$A$3:$K$54, 9, FALSE)</f>
        <v>1551351.63639808</v>
      </c>
      <c r="O10" s="37">
        <f>VLOOKUP($B10, '[2]Medicaid - Totals'!$A$4:$K$55, 6, FALSE)</f>
        <v>198681</v>
      </c>
      <c r="P10" s="37">
        <f>VLOOKUP($B10, '[2]Medicaid - Totals'!$A$4:$K$55, 7, FALSE)</f>
        <v>177766</v>
      </c>
      <c r="Q10" s="18">
        <f>VLOOKUP($B10, '[3]raw_data (4)'!$A$5:$F$56, 4, FALSE)</f>
        <v>1259752381</v>
      </c>
      <c r="R10" s="36">
        <f>VLOOKUP($A10, '[1]Medicaid - Totals'!$A$3:$K$54, 6, FALSE)</f>
        <v>137068.08491706799</v>
      </c>
      <c r="S10" s="36">
        <f>VLOOKUP($A10, '[1]Medicaid - Totals'!$A$3:$K$54, 11, FALSE)</f>
        <v>39917.999893188498</v>
      </c>
      <c r="T10" s="37">
        <f>VLOOKUP($B10, '[2]Medicaid - Totals'!$A$4:$K$55, 10, FALSE)</f>
        <v>146753</v>
      </c>
      <c r="U10" s="37">
        <f>VLOOKUP($B10, '[2]Medicaid - Totals'!$A$4:$K$55, 11, FALSE)</f>
        <v>48586</v>
      </c>
      <c r="V10" s="18">
        <f>VLOOKUP($B10, '[3]raw_data (4)'!$A$5:$F$56, 3, FALSE)</f>
        <v>2015220422</v>
      </c>
      <c r="W10" s="36">
        <f>VLOOKUP($A10, '[1]Medicaid - Totals'!$A$3:$K$54, 5, FALSE)</f>
        <v>478890.54498481803</v>
      </c>
      <c r="X10" s="36">
        <f>VLOOKUP($A10, '[1]Medicaid - Totals'!$A$3:$K$54, 10, FALSE)</f>
        <v>306133.53990936303</v>
      </c>
      <c r="Y10" s="37">
        <f>VLOOKUP($B10, '[2]Medicaid - Totals'!$A$4:$K$55, 8, FALSE)</f>
        <v>105671</v>
      </c>
      <c r="Z10" s="37">
        <f>VLOOKUP($B10, '[2]Medicaid - Totals'!$A$4:$K$55, 9, FALSE)</f>
        <v>24747</v>
      </c>
      <c r="AA10" s="8">
        <f>VLOOKUP($B10, '[3]raw_data (4)'!$A$5:$F$56, 2, FALSE)</f>
        <v>1586841079</v>
      </c>
    </row>
    <row r="11" spans="1:30" x14ac:dyDescent="0.25">
      <c r="A11" s="1" t="s">
        <v>22</v>
      </c>
      <c r="B11" s="31" t="s">
        <v>23</v>
      </c>
      <c r="C11" s="43">
        <f>VLOOKUP($A11, '[1]Medicaid - Totals'!$A$3:$K$54, 2, FALSE)</f>
        <v>891979.4375</v>
      </c>
      <c r="D11" s="36">
        <f>VLOOKUP($A11, '[1]Medicaid - Totals'!$A$3:$K$54, 7, FALSE)</f>
        <v>543190.43085098267</v>
      </c>
      <c r="E11" s="37">
        <f>VLOOKUP($B11, '[2]Medicaid - Totals'!$A$4:$K$55, 2, FALSE)</f>
        <v>171561</v>
      </c>
      <c r="F11" s="37">
        <f>VLOOKUP($B11, '[2]Medicaid - Totals'!$A$4:$K$55, 3, FALSE)</f>
        <v>161973</v>
      </c>
      <c r="G11" s="18">
        <f>VLOOKUP($B11, '[3]raw_data (4)'!$A$5:$F$56, 6, FALSE)</f>
        <v>1442996281</v>
      </c>
      <c r="H11" s="36">
        <f>VLOOKUP($A11, '[1]Medicaid - Totals'!$A$3:$K$54, 3, FALSE)</f>
        <v>217337.03492319601</v>
      </c>
      <c r="I11" s="36">
        <f>VLOOKUP($A11, '[1]Medicaid - Totals'!$A$3:$K$54, 8, FALSE)</f>
        <v>108441.774985015</v>
      </c>
      <c r="J11" s="37">
        <f>VLOOKUP($B11, '[2]Medicaid - Totals'!$A$4:$K$55, 4, FALSE)</f>
        <v>78366</v>
      </c>
      <c r="K11" s="37">
        <f>VLOOKUP($B11, '[2]Medicaid - Totals'!$A$4:$K$55, 5, FALSE)</f>
        <v>81335</v>
      </c>
      <c r="L11" s="18">
        <f>VLOOKUP($B11, '[3]raw_data (4)'!$A$5:$F$56, 5, FALSE)</f>
        <v>281603748.19999999</v>
      </c>
      <c r="M11" s="36">
        <f>VLOOKUP($A11, '[1]Medicaid - Totals'!$A$3:$K$54, 4, FALSE)</f>
        <v>497210.25052118301</v>
      </c>
      <c r="N11" s="36">
        <f>VLOOKUP($A11, '[1]Medicaid - Totals'!$A$3:$K$54, 9, FALSE)</f>
        <v>339722.820542634</v>
      </c>
      <c r="O11" s="37">
        <f>VLOOKUP($B11, '[2]Medicaid - Totals'!$A$4:$K$55, 6, FALSE)</f>
        <v>56045</v>
      </c>
      <c r="P11" s="37">
        <f>VLOOKUP($B11, '[2]Medicaid - Totals'!$A$4:$K$55, 7, FALSE)</f>
        <v>61244</v>
      </c>
      <c r="Q11" s="18">
        <f>VLOOKUP($B11, '[3]raw_data (4)'!$A$5:$F$56, 4, FALSE)</f>
        <v>502717762.19999999</v>
      </c>
      <c r="R11" s="36">
        <f>VLOOKUP($A11, '[1]Medicaid - Totals'!$A$3:$K$54, 6, FALSE)</f>
        <v>48340.345089316397</v>
      </c>
      <c r="S11" s="36">
        <f>VLOOKUP($A11, '[1]Medicaid - Totals'!$A$3:$K$54, 11, FALSE)</f>
        <v>16061.1800422668</v>
      </c>
      <c r="T11" s="37">
        <f>VLOOKUP($B11, '[2]Medicaid - Totals'!$A$4:$K$55, 10, FALSE)</f>
        <v>34556</v>
      </c>
      <c r="U11" s="37">
        <f>VLOOKUP($B11, '[2]Medicaid - Totals'!$A$4:$K$55, 11, FALSE)</f>
        <v>15921</v>
      </c>
      <c r="V11" s="18">
        <f>VLOOKUP($B11, '[3]raw_data (4)'!$A$5:$F$56, 3, FALSE)</f>
        <v>455171890</v>
      </c>
      <c r="W11" s="36">
        <f>VLOOKUP($A11, '[1]Medicaid - Totals'!$A$3:$K$54, 5, FALSE)</f>
        <v>129091.80532073999</v>
      </c>
      <c r="X11" s="36">
        <f>VLOOKUP($A11, '[1]Medicaid - Totals'!$A$3:$K$54, 10, FALSE)</f>
        <v>78964.655281066895</v>
      </c>
      <c r="Y11" s="37">
        <f>VLOOKUP($B11, '[2]Medicaid - Totals'!$A$4:$K$55, 8, FALSE)</f>
        <v>2594</v>
      </c>
      <c r="Z11" s="37">
        <f>VLOOKUP($B11, '[2]Medicaid - Totals'!$A$4:$K$55, 9, FALSE)</f>
        <v>3473</v>
      </c>
      <c r="AA11" s="8">
        <f>VLOOKUP($B11, '[3]raw_data (4)'!$A$5:$F$56, 2, FALSE)</f>
        <v>203502880.5</v>
      </c>
    </row>
    <row r="12" spans="1:30" x14ac:dyDescent="0.25">
      <c r="A12" s="1" t="s">
        <v>24</v>
      </c>
      <c r="B12" s="31" t="s">
        <v>25</v>
      </c>
      <c r="C12" s="43">
        <f>VLOOKUP($A12, '[1]Medicaid - Totals'!$A$3:$K$54, 2, FALSE)</f>
        <v>613821.5</v>
      </c>
      <c r="D12" s="36">
        <f>VLOOKUP($A12, '[1]Medicaid - Totals'!$A$3:$K$54, 7, FALSE)</f>
        <v>359409.68931454385</v>
      </c>
      <c r="E12" s="37">
        <f>VLOOKUP($B12, '[2]Medicaid - Totals'!$A$4:$K$55, 2, FALSE)</f>
        <v>232542</v>
      </c>
      <c r="F12" s="37">
        <f>VLOOKUP($B12, '[2]Medicaid - Totals'!$A$4:$K$55, 3, FALSE)</f>
        <v>159737</v>
      </c>
      <c r="G12" s="18">
        <f>VLOOKUP($B12, '[3]raw_data (4)'!$A$5:$F$56, 6, FALSE)</f>
        <v>2073262706</v>
      </c>
      <c r="H12" s="36">
        <f>VLOOKUP($A12, '[1]Medicaid - Totals'!$A$3:$K$54, 3, FALSE)</f>
        <v>112192.329996645</v>
      </c>
      <c r="I12" s="36">
        <f>VLOOKUP($A12, '[1]Medicaid - Totals'!$A$3:$K$54, 8, FALSE)</f>
        <v>49499.615039288998</v>
      </c>
      <c r="J12" s="37">
        <f>VLOOKUP($B12, '[2]Medicaid - Totals'!$A$4:$K$55, 4, FALSE)</f>
        <v>73698</v>
      </c>
      <c r="K12" s="37">
        <f>VLOOKUP($B12, '[2]Medicaid - Totals'!$A$4:$K$55, 5, FALSE)</f>
        <v>76761</v>
      </c>
      <c r="L12" s="18">
        <f>VLOOKUP($B12, '[3]raw_data (4)'!$A$5:$F$56, 5, FALSE)</f>
        <v>238261060.19999999</v>
      </c>
      <c r="M12" s="36">
        <f>VLOOKUP($A12, '[1]Medicaid - Totals'!$A$3:$K$54, 4, FALSE)</f>
        <v>393953.71933335101</v>
      </c>
      <c r="N12" s="36">
        <f>VLOOKUP($A12, '[1]Medicaid - Totals'!$A$3:$K$54, 9, FALSE)</f>
        <v>265345.18941974599</v>
      </c>
      <c r="O12" s="37">
        <f>VLOOKUP($B12, '[2]Medicaid - Totals'!$A$4:$K$55, 6, FALSE)</f>
        <v>80013</v>
      </c>
      <c r="P12" s="37">
        <f>VLOOKUP($B12, '[2]Medicaid - Totals'!$A$4:$K$55, 7, FALSE)</f>
        <v>43429</v>
      </c>
      <c r="Q12" s="18">
        <f>VLOOKUP($B12, '[3]raw_data (4)'!$A$5:$F$56, 4, FALSE)</f>
        <v>416529634.89999998</v>
      </c>
      <c r="R12" s="36">
        <f>VLOOKUP($A12, '[1]Medicaid - Totals'!$A$3:$K$54, 6, FALSE)</f>
        <v>30683.039962709001</v>
      </c>
      <c r="S12" s="36">
        <f>VLOOKUP($A12, '[1]Medicaid - Totals'!$A$3:$K$54, 11, FALSE)</f>
        <v>3810.2649917602498</v>
      </c>
      <c r="T12" s="37">
        <f>VLOOKUP($B12, '[2]Medicaid - Totals'!$A$4:$K$55, 10, FALSE)</f>
        <v>54198</v>
      </c>
      <c r="U12" s="37">
        <f>VLOOKUP($B12, '[2]Medicaid - Totals'!$A$4:$K$55, 11, FALSE)</f>
        <v>30001</v>
      </c>
      <c r="V12" s="18">
        <f>VLOOKUP($B12, '[3]raw_data (4)'!$A$5:$F$56, 3, FALSE)</f>
        <v>1035111521</v>
      </c>
      <c r="W12" s="36">
        <f>VLOOKUP($A12, '[1]Medicaid - Totals'!$A$3:$K$54, 5, FALSE)</f>
        <v>76992.404714584394</v>
      </c>
      <c r="X12" s="36">
        <f>VLOOKUP($A12, '[1]Medicaid - Totals'!$A$3:$K$54, 10, FALSE)</f>
        <v>40754.619863748601</v>
      </c>
      <c r="Y12" s="37">
        <f>VLOOKUP($B12, '[2]Medicaid - Totals'!$A$4:$K$55, 8, FALSE)</f>
        <v>24633</v>
      </c>
      <c r="Z12" s="37">
        <f>VLOOKUP($B12, '[2]Medicaid - Totals'!$A$4:$K$55, 9, FALSE)</f>
        <v>9546</v>
      </c>
      <c r="AA12" s="8">
        <f>VLOOKUP($B12, '[3]raw_data (4)'!$A$5:$F$56, 2, FALSE)</f>
        <v>383360490.10000002</v>
      </c>
    </row>
    <row r="13" spans="1:30" x14ac:dyDescent="0.25">
      <c r="A13" s="1" t="s">
        <v>26</v>
      </c>
      <c r="B13" s="31" t="s">
        <v>27</v>
      </c>
      <c r="C13" s="43">
        <f>VLOOKUP($A13, '[1]Medicaid - Totals'!$A$3:$K$54, 2, FALSE)</f>
        <v>18771256</v>
      </c>
      <c r="D13" s="36">
        <f>VLOOKUP($A13, '[1]Medicaid - Totals'!$A$3:$K$54, 7, FALSE)</f>
        <v>10337392.151321409</v>
      </c>
      <c r="E13" s="37">
        <f>VLOOKUP($B13, '[2]Medicaid - Totals'!$A$4:$K$55, 2, FALSE)</f>
        <v>3640263</v>
      </c>
      <c r="F13" s="37">
        <f>VLOOKUP($B13, '[2]Medicaid - Totals'!$A$4:$K$55, 3, FALSE)</f>
        <v>2792302</v>
      </c>
      <c r="G13" s="18">
        <f>VLOOKUP($B13, '[3]raw_data (4)'!$A$5:$F$56, 6, FALSE)</f>
        <v>17257433069</v>
      </c>
      <c r="H13" s="36">
        <f>VLOOKUP($A13, '[1]Medicaid - Totals'!$A$3:$K$54, 3, FALSE)</f>
        <v>4139806.16353655</v>
      </c>
      <c r="I13" s="36">
        <f>VLOOKUP($A13, '[1]Medicaid - Totals'!$A$3:$K$54, 8, FALSE)</f>
        <v>1871634.7848324799</v>
      </c>
      <c r="J13" s="37">
        <f>VLOOKUP($B13, '[2]Medicaid - Totals'!$A$4:$K$55, 4, FALSE)</f>
        <v>1922888</v>
      </c>
      <c r="K13" s="37">
        <f>VLOOKUP($B13, '[2]Medicaid - Totals'!$A$4:$K$55, 5, FALSE)</f>
        <v>1809055</v>
      </c>
      <c r="L13" s="18">
        <f>VLOOKUP($B13, '[3]raw_data (4)'!$A$5:$F$56, 5, FALSE)</f>
        <v>3467371692</v>
      </c>
      <c r="M13" s="36">
        <f>VLOOKUP($A13, '[1]Medicaid - Totals'!$A$3:$K$54, 4, FALSE)</f>
        <v>10431398.121139999</v>
      </c>
      <c r="N13" s="36">
        <f>VLOOKUP($A13, '[1]Medicaid - Totals'!$A$3:$K$54, 9, FALSE)</f>
        <v>6450355.8428463899</v>
      </c>
      <c r="O13" s="37">
        <f>VLOOKUP($B13, '[2]Medicaid - Totals'!$A$4:$K$55, 6, FALSE)</f>
        <v>382053</v>
      </c>
      <c r="P13" s="37">
        <f>VLOOKUP($B13, '[2]Medicaid - Totals'!$A$4:$K$55, 7, FALSE)</f>
        <v>403705</v>
      </c>
      <c r="Q13" s="18">
        <f>VLOOKUP($B13, '[3]raw_data (4)'!$A$5:$F$56, 4, FALSE)</f>
        <v>2338386212</v>
      </c>
      <c r="R13" s="36">
        <f>VLOOKUP($A13, '[1]Medicaid - Totals'!$A$3:$K$54, 6, FALSE)</f>
        <v>914875.27445888496</v>
      </c>
      <c r="S13" s="36">
        <f>VLOOKUP($A13, '[1]Medicaid - Totals'!$A$3:$K$54, 11, FALSE)</f>
        <v>262749.37989234901</v>
      </c>
      <c r="T13" s="37">
        <f>VLOOKUP($B13, '[2]Medicaid - Totals'!$A$4:$K$55, 10, FALSE)</f>
        <v>964264</v>
      </c>
      <c r="U13" s="37">
        <f>VLOOKUP($B13, '[2]Medicaid - Totals'!$A$4:$K$55, 11, FALSE)</f>
        <v>379165</v>
      </c>
      <c r="V13" s="18">
        <f>VLOOKUP($B13, '[3]raw_data (4)'!$A$5:$F$56, 3, FALSE)</f>
        <v>7315572922</v>
      </c>
      <c r="W13" s="36">
        <f>VLOOKUP($A13, '[1]Medicaid - Totals'!$A$3:$K$54, 5, FALSE)</f>
        <v>3285176.9388723401</v>
      </c>
      <c r="X13" s="36">
        <f>VLOOKUP($A13, '[1]Medicaid - Totals'!$A$3:$K$54, 10, FALSE)</f>
        <v>1752652.14375019</v>
      </c>
      <c r="Y13" s="37">
        <f>VLOOKUP($B13, '[2]Medicaid - Totals'!$A$4:$K$55, 8, FALSE)</f>
        <v>371058</v>
      </c>
      <c r="Z13" s="37">
        <f>VLOOKUP($B13, '[2]Medicaid - Totals'!$A$4:$K$55, 9, FALSE)</f>
        <v>200377</v>
      </c>
      <c r="AA13" s="8">
        <f>VLOOKUP($B13, '[3]raw_data (4)'!$A$5:$F$56, 2, FALSE)</f>
        <v>4136102243</v>
      </c>
    </row>
    <row r="14" spans="1:30" x14ac:dyDescent="0.25">
      <c r="A14" s="1" t="s">
        <v>28</v>
      </c>
      <c r="B14" s="31" t="s">
        <v>29</v>
      </c>
      <c r="C14" s="43">
        <f>VLOOKUP($A14, '[1]Medicaid - Totals'!$A$3:$K$54, 2, FALSE)</f>
        <v>9757314</v>
      </c>
      <c r="D14" s="36">
        <f>VLOOKUP($A14, '[1]Medicaid - Totals'!$A$3:$K$54, 7, FALSE)</f>
        <v>5151394.4813075075</v>
      </c>
      <c r="E14" s="37">
        <f>VLOOKUP($B14, '[2]Medicaid - Totals'!$A$4:$K$55, 2, FALSE)</f>
        <v>2089758</v>
      </c>
      <c r="F14" s="37">
        <f>VLOOKUP($B14, '[2]Medicaid - Totals'!$A$4:$K$55, 3, FALSE)</f>
        <v>1495836</v>
      </c>
      <c r="G14" s="18">
        <f>VLOOKUP($B14, '[3]raw_data (4)'!$A$5:$F$56, 6, FALSE)</f>
        <v>7703280165</v>
      </c>
      <c r="H14" s="36">
        <f>VLOOKUP($A14, '[1]Medicaid - Totals'!$A$3:$K$54, 3, FALSE)</f>
        <v>2654234.9208259601</v>
      </c>
      <c r="I14" s="36">
        <f>VLOOKUP($A14, '[1]Medicaid - Totals'!$A$3:$K$54, 8, FALSE)</f>
        <v>1193495.98427486</v>
      </c>
      <c r="J14" s="37">
        <f>VLOOKUP($B14, '[2]Medicaid - Totals'!$A$4:$K$55, 4, FALSE)</f>
        <v>1251302</v>
      </c>
      <c r="K14" s="37">
        <f>VLOOKUP($B14, '[2]Medicaid - Totals'!$A$4:$K$55, 5, FALSE)</f>
        <v>1065149</v>
      </c>
      <c r="L14" s="18">
        <f>VLOOKUP($B14, '[3]raw_data (4)'!$A$5:$F$56, 5, FALSE)</f>
        <v>2295602955</v>
      </c>
      <c r="M14" s="36">
        <f>VLOOKUP($A14, '[1]Medicaid - Totals'!$A$3:$K$54, 4, FALSE)</f>
        <v>5639004.9873018302</v>
      </c>
      <c r="N14" s="36">
        <f>VLOOKUP($A14, '[1]Medicaid - Totals'!$A$3:$K$54, 9, FALSE)</f>
        <v>3393716.7367291502</v>
      </c>
      <c r="O14" s="37">
        <f>VLOOKUP($B14, '[2]Medicaid - Totals'!$A$4:$K$55, 6, FALSE)</f>
        <v>194932</v>
      </c>
      <c r="P14" s="37">
        <f>VLOOKUP($B14, '[2]Medicaid - Totals'!$A$4:$K$55, 7, FALSE)</f>
        <v>172789</v>
      </c>
      <c r="Q14" s="18">
        <f>VLOOKUP($B14, '[3]raw_data (4)'!$A$5:$F$56, 4, FALSE)</f>
        <v>1254258010</v>
      </c>
      <c r="R14" s="36">
        <f>VLOOKUP($A14, '[1]Medicaid - Totals'!$A$3:$K$54, 6, FALSE)</f>
        <v>503112.93423223501</v>
      </c>
      <c r="S14" s="36">
        <f>VLOOKUP($A14, '[1]Medicaid - Totals'!$A$3:$K$54, 11, FALSE)</f>
        <v>95405.654716491699</v>
      </c>
      <c r="T14" s="37">
        <f>VLOOKUP($B14, '[2]Medicaid - Totals'!$A$4:$K$55, 10, FALSE)</f>
        <v>549990</v>
      </c>
      <c r="U14" s="37">
        <f>VLOOKUP($B14, '[2]Medicaid - Totals'!$A$4:$K$55, 11, FALSE)</f>
        <v>200086</v>
      </c>
      <c r="V14" s="18">
        <f>VLOOKUP($B14, '[3]raw_data (4)'!$A$5:$F$56, 3, FALSE)</f>
        <v>2769397079</v>
      </c>
      <c r="W14" s="36">
        <f>VLOOKUP($A14, '[1]Medicaid - Totals'!$A$3:$K$54, 5, FALSE)</f>
        <v>960961.15947341896</v>
      </c>
      <c r="X14" s="36">
        <f>VLOOKUP($A14, '[1]Medicaid - Totals'!$A$3:$K$54, 10, FALSE)</f>
        <v>468776.10558700602</v>
      </c>
      <c r="Y14" s="37">
        <f>VLOOKUP($B14, '[2]Medicaid - Totals'!$A$4:$K$55, 8, FALSE)</f>
        <v>93534</v>
      </c>
      <c r="Z14" s="37">
        <f>VLOOKUP($B14, '[2]Medicaid - Totals'!$A$4:$K$55, 9, FALSE)</f>
        <v>57812</v>
      </c>
      <c r="AA14" s="8">
        <f>VLOOKUP($B14, '[3]raw_data (4)'!$A$5:$F$56, 2, FALSE)</f>
        <v>1384022121</v>
      </c>
    </row>
    <row r="15" spans="1:30" x14ac:dyDescent="0.25">
      <c r="A15" s="1" t="s">
        <v>30</v>
      </c>
      <c r="B15" s="31" t="s">
        <v>31</v>
      </c>
      <c r="C15" s="43">
        <f>VLOOKUP($A15, '[1]Medicaid - Totals'!$A$3:$K$54, 2, FALSE)</f>
        <v>1298291.25</v>
      </c>
      <c r="D15" s="36">
        <f>VLOOKUP($A15, '[1]Medicaid - Totals'!$A$3:$K$54, 7, FALSE)</f>
        <v>788617.19088041841</v>
      </c>
      <c r="E15" s="37">
        <f>VLOOKUP($B15, '[2]Medicaid - Totals'!$A$4:$K$55, 2, FALSE)</f>
        <v>349354</v>
      </c>
      <c r="F15" s="37">
        <f>VLOOKUP($B15, '[2]Medicaid - Totals'!$A$4:$K$55, 3, FALSE)</f>
        <v>244117</v>
      </c>
      <c r="G15" s="18">
        <f>VLOOKUP($B15, '[3]raw_data (4)'!$A$5:$F$56, 6, FALSE)</f>
        <v>1544832752</v>
      </c>
      <c r="H15" s="36">
        <f>VLOOKUP($A15, '[1]Medicaid - Totals'!$A$3:$K$54, 3, FALSE)</f>
        <v>320559.39022433799</v>
      </c>
      <c r="I15" s="36">
        <f>VLOOKUP($A15, '[1]Medicaid - Totals'!$A$3:$K$54, 8, FALSE)</f>
        <v>154162.94008123901</v>
      </c>
      <c r="J15" s="37">
        <f>VLOOKUP($B15, '[2]Medicaid - Totals'!$A$4:$K$55, 4, FALSE)</f>
        <v>155637</v>
      </c>
      <c r="K15" s="37">
        <f>VLOOKUP($B15, '[2]Medicaid - Totals'!$A$4:$K$55, 5, FALSE)</f>
        <v>122278</v>
      </c>
      <c r="L15" s="18">
        <f>VLOOKUP($B15, '[3]raw_data (4)'!$A$5:$F$56, 5, FALSE)</f>
        <v>247366767.40000001</v>
      </c>
      <c r="M15" s="36">
        <f>VLOOKUP($A15, '[1]Medicaid - Totals'!$A$3:$K$54, 4, FALSE)</f>
        <v>737888.33562409901</v>
      </c>
      <c r="N15" s="36">
        <f>VLOOKUP($A15, '[1]Medicaid - Totals'!$A$3:$K$54, 9, FALSE)</f>
        <v>501058.39550650102</v>
      </c>
      <c r="O15" s="37">
        <f>VLOOKUP($B15, '[2]Medicaid - Totals'!$A$4:$K$55, 6, FALSE)</f>
        <v>104583</v>
      </c>
      <c r="P15" s="37">
        <f>VLOOKUP($B15, '[2]Medicaid - Totals'!$A$4:$K$55, 7, FALSE)</f>
        <v>80305</v>
      </c>
      <c r="Q15" s="18">
        <f>VLOOKUP($B15, '[3]raw_data (4)'!$A$5:$F$56, 4, FALSE)</f>
        <v>413397671</v>
      </c>
      <c r="R15" s="36">
        <f>VLOOKUP($A15, '[1]Medicaid - Totals'!$A$3:$K$54, 6, FALSE)</f>
        <v>47054.160055637403</v>
      </c>
      <c r="S15" s="36">
        <f>VLOOKUP($A15, '[1]Medicaid - Totals'!$A$3:$K$54, 11, FALSE)</f>
        <v>15680.480010986301</v>
      </c>
      <c r="T15" s="37">
        <f>VLOOKUP($B15, '[2]Medicaid - Totals'!$A$4:$K$55, 10, FALSE)</f>
        <v>48862</v>
      </c>
      <c r="U15" s="37">
        <f>VLOOKUP($B15, '[2]Medicaid - Totals'!$A$4:$K$55, 11, FALSE)</f>
        <v>22631</v>
      </c>
      <c r="V15" s="18">
        <f>VLOOKUP($B15, '[3]raw_data (4)'!$A$5:$F$56, 3, FALSE)</f>
        <v>459471278.10000002</v>
      </c>
      <c r="W15" s="36">
        <f>VLOOKUP($A15, '[1]Medicaid - Totals'!$A$3:$K$54, 5, FALSE)</f>
        <v>192789.33008813899</v>
      </c>
      <c r="X15" s="36">
        <f>VLOOKUP($A15, '[1]Medicaid - Totals'!$A$3:$K$54, 10, FALSE)</f>
        <v>117715.375281692</v>
      </c>
      <c r="Y15" s="37">
        <f>VLOOKUP($B15, '[2]Medicaid - Totals'!$A$4:$K$55, 8, FALSE)</f>
        <v>40272</v>
      </c>
      <c r="Z15" s="37">
        <f>VLOOKUP($B15, '[2]Medicaid - Totals'!$A$4:$K$55, 9, FALSE)</f>
        <v>18903</v>
      </c>
      <c r="AA15" s="8">
        <f>VLOOKUP($B15, '[3]raw_data (4)'!$A$5:$F$56, 2, FALSE)</f>
        <v>424597035.80000001</v>
      </c>
    </row>
    <row r="16" spans="1:30" x14ac:dyDescent="0.25">
      <c r="A16" s="1" t="s">
        <v>32</v>
      </c>
      <c r="B16" s="31" t="s">
        <v>33</v>
      </c>
      <c r="C16" s="43">
        <f>VLOOKUP($A16, '[1]Medicaid - Totals'!$A$3:$K$54, 2, FALSE)</f>
        <v>1552785.125</v>
      </c>
      <c r="D16" s="36">
        <f>VLOOKUP($A16, '[1]Medicaid - Totals'!$A$3:$K$54, 7, FALSE)</f>
        <v>775891.04042911518</v>
      </c>
      <c r="E16" s="37">
        <f>VLOOKUP($B16, '[2]Medicaid - Totals'!$A$4:$K$55, 2, FALSE)</f>
        <v>268409</v>
      </c>
      <c r="F16" s="37">
        <f>VLOOKUP($B16, '[2]Medicaid - Totals'!$A$4:$K$55, 3, FALSE)</f>
        <v>181129</v>
      </c>
      <c r="G16" s="18">
        <f>VLOOKUP($B16, '[3]raw_data (4)'!$A$5:$F$56, 6, FALSE)</f>
        <v>1550009910</v>
      </c>
      <c r="H16" s="36">
        <f>VLOOKUP($A16, '[1]Medicaid - Totals'!$A$3:$K$54, 3, FALSE)</f>
        <v>440668.77990651102</v>
      </c>
      <c r="I16" s="36">
        <f>VLOOKUP($A16, '[1]Medicaid - Totals'!$A$3:$K$54, 8, FALSE)</f>
        <v>160927.28466820699</v>
      </c>
      <c r="J16" s="37">
        <f>VLOOKUP($B16, '[2]Medicaid - Totals'!$A$4:$K$55, 4, FALSE)</f>
        <v>175878</v>
      </c>
      <c r="K16" s="37">
        <f>VLOOKUP($B16, '[2]Medicaid - Totals'!$A$4:$K$55, 5, FALSE)</f>
        <v>127816</v>
      </c>
      <c r="L16" s="18">
        <f>VLOOKUP($B16, '[3]raw_data (4)'!$A$5:$F$56, 5, FALSE)</f>
        <v>343380527.69999999</v>
      </c>
      <c r="M16" s="36">
        <f>VLOOKUP($A16, '[1]Medicaid - Totals'!$A$3:$K$54, 4, FALSE)</f>
        <v>848503.74146103906</v>
      </c>
      <c r="N16" s="36">
        <f>VLOOKUP($A16, '[1]Medicaid - Totals'!$A$3:$K$54, 9, FALSE)</f>
        <v>481255.12533450098</v>
      </c>
      <c r="O16" s="37">
        <f>VLOOKUP($B16, '[2]Medicaid - Totals'!$A$4:$K$55, 6, FALSE)</f>
        <v>30190</v>
      </c>
      <c r="P16" s="37">
        <f>VLOOKUP($B16, '[2]Medicaid - Totals'!$A$4:$K$55, 7, FALSE)</f>
        <v>17173</v>
      </c>
      <c r="Q16" s="18">
        <f>VLOOKUP($B16, '[3]raw_data (4)'!$A$5:$F$56, 4, FALSE)</f>
        <v>199503533.09999999</v>
      </c>
      <c r="R16" s="36">
        <f>VLOOKUP($A16, '[1]Medicaid - Totals'!$A$3:$K$54, 6, FALSE)</f>
        <v>59926.489967346199</v>
      </c>
      <c r="S16" s="36">
        <f>VLOOKUP($A16, '[1]Medicaid - Totals'!$A$3:$K$54, 11, FALSE)</f>
        <v>17634.740055084199</v>
      </c>
      <c r="T16" s="37">
        <f>VLOOKUP($B16, '[2]Medicaid - Totals'!$A$4:$K$55, 10, FALSE)</f>
        <v>52924</v>
      </c>
      <c r="U16" s="37">
        <f>VLOOKUP($B16, '[2]Medicaid - Totals'!$A$4:$K$55, 11, FALSE)</f>
        <v>28934</v>
      </c>
      <c r="V16" s="18">
        <f>VLOOKUP($B16, '[3]raw_data (4)'!$A$5:$F$56, 3, FALSE)</f>
        <v>808460824.10000002</v>
      </c>
      <c r="W16" s="36">
        <f>VLOOKUP($A16, '[1]Medicaid - Totals'!$A$3:$K$54, 5, FALSE)</f>
        <v>203686.16040801999</v>
      </c>
      <c r="X16" s="36">
        <f>VLOOKUP($A16, '[1]Medicaid - Totals'!$A$3:$K$54, 10, FALSE)</f>
        <v>116073.890371323</v>
      </c>
      <c r="Y16" s="37">
        <f>VLOOKUP($B16, '[2]Medicaid - Totals'!$A$4:$K$55, 8, FALSE)</f>
        <v>9417</v>
      </c>
      <c r="Z16" s="37">
        <f>VLOOKUP($B16, '[2]Medicaid - Totals'!$A$4:$K$55, 9, FALSE)</f>
        <v>7206</v>
      </c>
      <c r="AA16" s="8">
        <f>VLOOKUP($B16, '[3]raw_data (4)'!$A$5:$F$56, 2, FALSE)</f>
        <v>198134931.09999999</v>
      </c>
    </row>
    <row r="17" spans="1:27" x14ac:dyDescent="0.25">
      <c r="A17" s="1" t="s">
        <v>34</v>
      </c>
      <c r="B17" s="31" t="s">
        <v>35</v>
      </c>
      <c r="C17" s="43">
        <f>VLOOKUP($A17, '[1]Medicaid - Totals'!$A$3:$K$54, 2, FALSE)</f>
        <v>12805608</v>
      </c>
      <c r="D17" s="36">
        <f>VLOOKUP($A17, '[1]Medicaid - Totals'!$A$3:$K$54, 7, FALSE)</f>
        <v>7362620.979228016</v>
      </c>
      <c r="E17" s="37">
        <f>VLOOKUP($B17, '[2]Medicaid - Totals'!$A$4:$K$55, 2, FALSE)</f>
        <v>3122376</v>
      </c>
      <c r="F17" s="37">
        <f>VLOOKUP($B17, '[2]Medicaid - Totals'!$A$4:$K$55, 3, FALSE)</f>
        <v>2471471</v>
      </c>
      <c r="G17" s="18">
        <f>VLOOKUP($B17, '[3]raw_data (4)'!$A$5:$F$56, 6, FALSE)</f>
        <v>13108300549</v>
      </c>
      <c r="H17" s="36">
        <f>VLOOKUP($A17, '[1]Medicaid - Totals'!$A$3:$K$54, 3, FALSE)</f>
        <v>3250849.35839224</v>
      </c>
      <c r="I17" s="36">
        <f>VLOOKUP($A17, '[1]Medicaid - Totals'!$A$3:$K$54, 8, FALSE)</f>
        <v>1571482.5222477899</v>
      </c>
      <c r="J17" s="37">
        <f>VLOOKUP($B17, '[2]Medicaid - Totals'!$A$4:$K$55, 4, FALSE)</f>
        <v>1523836</v>
      </c>
      <c r="K17" s="37">
        <f>VLOOKUP($B17, '[2]Medicaid - Totals'!$A$4:$K$55, 5, FALSE)</f>
        <v>1514831</v>
      </c>
      <c r="L17" s="18">
        <f>VLOOKUP($B17, '[3]raw_data (4)'!$A$5:$F$56, 5, FALSE)</f>
        <v>3337910560</v>
      </c>
      <c r="M17" s="36">
        <f>VLOOKUP($A17, '[1]Medicaid - Totals'!$A$3:$K$54, 4, FALSE)</f>
        <v>7360913.0672664596</v>
      </c>
      <c r="N17" s="36">
        <f>VLOOKUP($A17, '[1]Medicaid - Totals'!$A$3:$K$54, 9, FALSE)</f>
        <v>4719687.5314455004</v>
      </c>
      <c r="O17" s="37">
        <f>VLOOKUP($B17, '[2]Medicaid - Totals'!$A$4:$K$55, 6, FALSE)</f>
        <v>693135</v>
      </c>
      <c r="P17" s="37">
        <f>VLOOKUP($B17, '[2]Medicaid - Totals'!$A$4:$K$55, 7, FALSE)</f>
        <v>594689</v>
      </c>
      <c r="Q17" s="18">
        <f>VLOOKUP($B17, '[3]raw_data (4)'!$A$5:$F$56, 4, FALSE)</f>
        <v>2307590164</v>
      </c>
      <c r="R17" s="36">
        <f>VLOOKUP($A17, '[1]Medicaid - Totals'!$A$3:$K$54, 6, FALSE)</f>
        <v>568786.63519954705</v>
      </c>
      <c r="S17" s="36">
        <f>VLOOKUP($A17, '[1]Medicaid - Totals'!$A$3:$K$54, 11, FALSE)</f>
        <v>174960.36466217</v>
      </c>
      <c r="T17" s="37">
        <f>VLOOKUP($B17, '[2]Medicaid - Totals'!$A$4:$K$55, 10, FALSE)</f>
        <v>678903</v>
      </c>
      <c r="U17" s="37">
        <f>VLOOKUP($B17, '[2]Medicaid - Totals'!$A$4:$K$55, 11, FALSE)</f>
        <v>237531</v>
      </c>
      <c r="V17" s="18">
        <f>VLOOKUP($B17, '[3]raw_data (4)'!$A$5:$F$56, 3, FALSE)</f>
        <v>5227096586</v>
      </c>
      <c r="W17" s="36">
        <f>VLOOKUP($A17, '[1]Medicaid - Totals'!$A$3:$K$54, 5, FALSE)</f>
        <v>1625058.7711691901</v>
      </c>
      <c r="X17" s="36">
        <f>VLOOKUP($A17, '[1]Medicaid - Totals'!$A$3:$K$54, 10, FALSE)</f>
        <v>896490.56087255501</v>
      </c>
      <c r="Y17" s="37">
        <f>VLOOKUP($B17, '[2]Medicaid - Totals'!$A$4:$K$55, 8, FALSE)</f>
        <v>226502</v>
      </c>
      <c r="Z17" s="37">
        <f>VLOOKUP($B17, '[2]Medicaid - Totals'!$A$4:$K$55, 9, FALSE)</f>
        <v>124420</v>
      </c>
      <c r="AA17" s="8">
        <f>VLOOKUP($B17, '[3]raw_data (4)'!$A$5:$F$56, 2, FALSE)</f>
        <v>2235703239</v>
      </c>
    </row>
    <row r="18" spans="1:27" x14ac:dyDescent="0.25">
      <c r="A18" s="1" t="s">
        <v>36</v>
      </c>
      <c r="B18" s="31" t="s">
        <v>37</v>
      </c>
      <c r="C18" s="43">
        <f>VLOOKUP($A18, '[1]Medicaid - Totals'!$A$3:$K$54, 2, FALSE)</f>
        <v>6356050.5</v>
      </c>
      <c r="D18" s="36">
        <f>VLOOKUP($A18, '[1]Medicaid - Totals'!$A$3:$K$54, 7, FALSE)</f>
        <v>3543807.136253831</v>
      </c>
      <c r="E18" s="37">
        <f>VLOOKUP($B18, '[2]Medicaid - Totals'!$A$4:$K$55, 2, FALSE)</f>
        <v>1149886</v>
      </c>
      <c r="F18" s="37">
        <f>VLOOKUP($B18, '[2]Medicaid - Totals'!$A$4:$K$55, 3, FALSE)</f>
        <v>942361</v>
      </c>
      <c r="G18" s="18">
        <f>VLOOKUP($B18, '[3]raw_data (4)'!$A$5:$F$56, 6, FALSE)</f>
        <v>6473460496</v>
      </c>
      <c r="H18" s="36">
        <f>VLOOKUP($A18, '[1]Medicaid - Totals'!$A$3:$K$54, 3, FALSE)</f>
        <v>1695261.2120089501</v>
      </c>
      <c r="I18" s="36">
        <f>VLOOKUP($A18, '[1]Medicaid - Totals'!$A$3:$K$54, 8, FALSE)</f>
        <v>794513.63099145901</v>
      </c>
      <c r="J18" s="37">
        <f>VLOOKUP($B18, '[2]Medicaid - Totals'!$A$4:$K$55, 4, FALSE)</f>
        <v>704526</v>
      </c>
      <c r="K18" s="37">
        <f>VLOOKUP($B18, '[2]Medicaid - Totals'!$A$4:$K$55, 5, FALSE)</f>
        <v>621814</v>
      </c>
      <c r="L18" s="18">
        <f>VLOOKUP($B18, '[3]raw_data (4)'!$A$5:$F$56, 5, FALSE)</f>
        <v>1299620950</v>
      </c>
      <c r="M18" s="36">
        <f>VLOOKUP($A18, '[1]Medicaid - Totals'!$A$3:$K$54, 4, FALSE)</f>
        <v>3444737.04946423</v>
      </c>
      <c r="N18" s="36">
        <f>VLOOKUP($A18, '[1]Medicaid - Totals'!$A$3:$K$54, 9, FALSE)</f>
        <v>2193968.5752239199</v>
      </c>
      <c r="O18" s="37">
        <f>VLOOKUP($B18, '[2]Medicaid - Totals'!$A$4:$K$55, 6, FALSE)</f>
        <v>131451</v>
      </c>
      <c r="P18" s="37">
        <f>VLOOKUP($B18, '[2]Medicaid - Totals'!$A$4:$K$55, 7, FALSE)</f>
        <v>177494</v>
      </c>
      <c r="Q18" s="18">
        <f>VLOOKUP($B18, '[3]raw_data (4)'!$A$5:$F$56, 4, FALSE)</f>
        <v>904107020.39999998</v>
      </c>
      <c r="R18" s="36">
        <f>VLOOKUP($A18, '[1]Medicaid - Totals'!$A$3:$K$54, 6, FALSE)</f>
        <v>335760.32135009801</v>
      </c>
      <c r="S18" s="36">
        <f>VLOOKUP($A18, '[1]Medicaid - Totals'!$A$3:$K$54, 11, FALSE)</f>
        <v>89736.570098876997</v>
      </c>
      <c r="T18" s="37">
        <f>VLOOKUP($B18, '[2]Medicaid - Totals'!$A$4:$K$55, 10, FALSE)</f>
        <v>257990</v>
      </c>
      <c r="U18" s="37">
        <f>VLOOKUP($B18, '[2]Medicaid - Totals'!$A$4:$K$55, 11, FALSE)</f>
        <v>114202</v>
      </c>
      <c r="V18" s="18">
        <f>VLOOKUP($B18, '[3]raw_data (4)'!$A$5:$F$56, 3, FALSE)</f>
        <v>2876006492</v>
      </c>
      <c r="W18" s="36">
        <f>VLOOKUP($A18, '[1]Medicaid - Totals'!$A$3:$K$54, 5, FALSE)</f>
        <v>880291.91648101795</v>
      </c>
      <c r="X18" s="36">
        <f>VLOOKUP($A18, '[1]Medicaid - Totals'!$A$3:$K$54, 10, FALSE)</f>
        <v>465588.35993957502</v>
      </c>
      <c r="Y18" s="37">
        <f>VLOOKUP($B18, '[2]Medicaid - Totals'!$A$4:$K$55, 8, FALSE)</f>
        <v>55919</v>
      </c>
      <c r="Z18" s="37">
        <f>VLOOKUP($B18, '[2]Medicaid - Totals'!$A$4:$K$55, 9, FALSE)</f>
        <v>28851</v>
      </c>
      <c r="AA18" s="8">
        <f>VLOOKUP($B18, '[3]raw_data (4)'!$A$5:$F$56, 2, FALSE)</f>
        <v>1393726034</v>
      </c>
    </row>
    <row r="19" spans="1:27" x14ac:dyDescent="0.25">
      <c r="A19" s="1" t="s">
        <v>38</v>
      </c>
      <c r="B19" s="31" t="s">
        <v>39</v>
      </c>
      <c r="C19" s="43">
        <f>VLOOKUP($A19, '[1]Medicaid - Totals'!$A$3:$K$54, 2, FALSE)</f>
        <v>2997905</v>
      </c>
      <c r="D19" s="36">
        <f>VLOOKUP($A19, '[1]Medicaid - Totals'!$A$3:$K$54, 7, FALSE)</f>
        <v>1834077.71282458</v>
      </c>
      <c r="E19" s="37">
        <f>VLOOKUP($B19, '[2]Medicaid - Totals'!$A$4:$K$55, 2, FALSE)</f>
        <v>634184</v>
      </c>
      <c r="F19" s="37">
        <f>VLOOKUP($B19, '[2]Medicaid - Totals'!$A$4:$K$55, 3, FALSE)</f>
        <v>434825</v>
      </c>
      <c r="G19" s="18">
        <f>VLOOKUP($B19, '[3]raw_data (4)'!$A$5:$F$56, 6, FALSE)</f>
        <v>3285706204</v>
      </c>
      <c r="H19" s="36">
        <f>VLOOKUP($A19, '[1]Medicaid - Totals'!$A$3:$K$54, 3, FALSE)</f>
        <v>752415.54499292397</v>
      </c>
      <c r="I19" s="36">
        <f>VLOOKUP($A19, '[1]Medicaid - Totals'!$A$3:$K$54, 8, FALSE)</f>
        <v>414482.59050059301</v>
      </c>
      <c r="J19" s="37">
        <f>VLOOKUP($B19, '[2]Medicaid - Totals'!$A$4:$K$55, 4, FALSE)</f>
        <v>315948</v>
      </c>
      <c r="K19" s="37">
        <f>VLOOKUP($B19, '[2]Medicaid - Totals'!$A$4:$K$55, 5, FALSE)</f>
        <v>258458</v>
      </c>
      <c r="L19" s="18">
        <f>VLOOKUP($B19, '[3]raw_data (4)'!$A$5:$F$56, 5, FALSE)</f>
        <v>601172130.39999998</v>
      </c>
      <c r="M19" s="36">
        <f>VLOOKUP($A19, '[1]Medicaid - Totals'!$A$3:$K$54, 4, FALSE)</f>
        <v>1736260.7459084999</v>
      </c>
      <c r="N19" s="36">
        <f>VLOOKUP($A19, '[1]Medicaid - Totals'!$A$3:$K$54, 9, FALSE)</f>
        <v>1187453.6868648501</v>
      </c>
      <c r="O19" s="37">
        <f>VLOOKUP($B19, '[2]Medicaid - Totals'!$A$4:$K$55, 6, FALSE)</f>
        <v>86888</v>
      </c>
      <c r="P19" s="37">
        <f>VLOOKUP($B19, '[2]Medicaid - Totals'!$A$4:$K$55, 7, FALSE)</f>
        <v>97180</v>
      </c>
      <c r="Q19" s="18">
        <f>VLOOKUP($B19, '[3]raw_data (4)'!$A$5:$F$56, 4, FALSE)</f>
        <v>376168150</v>
      </c>
      <c r="R19" s="36">
        <f>VLOOKUP($A19, '[1]Medicaid - Totals'!$A$3:$K$54, 6, FALSE)</f>
        <v>129534.354842424</v>
      </c>
      <c r="S19" s="36">
        <f>VLOOKUP($A19, '[1]Medicaid - Totals'!$A$3:$K$54, 11, FALSE)</f>
        <v>29468.670162200899</v>
      </c>
      <c r="T19" s="37">
        <f>VLOOKUP($B19, '[2]Medicaid - Totals'!$A$4:$K$55, 10, FALSE)</f>
        <v>165365</v>
      </c>
      <c r="U19" s="37">
        <f>VLOOKUP($B19, '[2]Medicaid - Totals'!$A$4:$K$55, 11, FALSE)</f>
        <v>63565</v>
      </c>
      <c r="V19" s="18">
        <f>VLOOKUP($B19, '[3]raw_data (4)'!$A$5:$F$56, 3, FALSE)</f>
        <v>1605876908</v>
      </c>
      <c r="W19" s="36">
        <f>VLOOKUP($A19, '[1]Medicaid - Totals'!$A$3:$K$54, 5, FALSE)</f>
        <v>379694.36573409999</v>
      </c>
      <c r="X19" s="36">
        <f>VLOOKUP($A19, '[1]Medicaid - Totals'!$A$3:$K$54, 10, FALSE)</f>
        <v>202672.76529693601</v>
      </c>
      <c r="Y19" s="37">
        <f>VLOOKUP($B19, '[2]Medicaid - Totals'!$A$4:$K$55, 8, FALSE)</f>
        <v>65983</v>
      </c>
      <c r="Z19" s="37">
        <f>VLOOKUP($B19, '[2]Medicaid - Totals'!$A$4:$K$55, 9, FALSE)</f>
        <v>15622</v>
      </c>
      <c r="AA19" s="8">
        <f>VLOOKUP($B19, '[3]raw_data (4)'!$A$5:$F$56, 2, FALSE)</f>
        <v>702489015.70000005</v>
      </c>
    </row>
    <row r="20" spans="1:27" x14ac:dyDescent="0.25">
      <c r="A20" s="1" t="s">
        <v>40</v>
      </c>
      <c r="B20" s="31" t="s">
        <v>41</v>
      </c>
      <c r="C20" s="43">
        <f>VLOOKUP($A20, '[1]Medicaid - Totals'!$A$3:$K$54, 2, FALSE)</f>
        <v>2785742.25</v>
      </c>
      <c r="D20" s="36">
        <f>VLOOKUP($A20, '[1]Medicaid - Totals'!$A$3:$K$54, 7, FALSE)</f>
        <v>1570344.8751740453</v>
      </c>
      <c r="E20" s="37">
        <f>VLOOKUP($B20, '[2]Medicaid - Totals'!$A$4:$K$55, 2, FALSE)</f>
        <v>597846</v>
      </c>
      <c r="F20" s="37">
        <f>VLOOKUP($B20, '[2]Medicaid - Totals'!$A$4:$K$55, 3, FALSE)</f>
        <v>320310</v>
      </c>
      <c r="G20" s="18">
        <f>VLOOKUP($B20, '[3]raw_data (4)'!$A$5:$F$56, 6, FALSE)</f>
        <v>2620639625</v>
      </c>
      <c r="H20" s="36">
        <f>VLOOKUP($A20, '[1]Medicaid - Totals'!$A$3:$K$54, 3, FALSE)</f>
        <v>739354.70543169999</v>
      </c>
      <c r="I20" s="36">
        <f>VLOOKUP($A20, '[1]Medicaid - Totals'!$A$3:$K$54, 8, FALSE)</f>
        <v>331308.16041707998</v>
      </c>
      <c r="J20" s="37">
        <f>VLOOKUP($B20, '[2]Medicaid - Totals'!$A$4:$K$55, 4, FALSE)</f>
        <v>331172</v>
      </c>
      <c r="K20" s="37">
        <f>VLOOKUP($B20, '[2]Medicaid - Totals'!$A$4:$K$55, 5, FALSE)</f>
        <v>216166</v>
      </c>
      <c r="L20" s="18">
        <f>VLOOKUP($B20, '[3]raw_data (4)'!$A$5:$F$56, 5, FALSE)</f>
        <v>549074018.60000002</v>
      </c>
      <c r="M20" s="36">
        <f>VLOOKUP($A20, '[1]Medicaid - Totals'!$A$3:$K$54, 4, FALSE)</f>
        <v>1527806.0796990399</v>
      </c>
      <c r="N20" s="36">
        <f>VLOOKUP($A20, '[1]Medicaid - Totals'!$A$3:$K$54, 9, FALSE)</f>
        <v>984608.02522373199</v>
      </c>
      <c r="O20" s="37">
        <f>VLOOKUP($B20, '[2]Medicaid - Totals'!$A$4:$K$55, 6, FALSE)</f>
        <v>55571</v>
      </c>
      <c r="P20" s="37">
        <f>VLOOKUP($B20, '[2]Medicaid - Totals'!$A$4:$K$55, 7, FALSE)</f>
        <v>34599</v>
      </c>
      <c r="Q20" s="18">
        <f>VLOOKUP($B20, '[3]raw_data (4)'!$A$5:$F$56, 4, FALSE)</f>
        <v>227757387</v>
      </c>
      <c r="R20" s="36">
        <f>VLOOKUP($A20, '[1]Medicaid - Totals'!$A$3:$K$54, 6, FALSE)</f>
        <v>130304.105052948</v>
      </c>
      <c r="S20" s="36">
        <f>VLOOKUP($A20, '[1]Medicaid - Totals'!$A$3:$K$54, 11, FALSE)</f>
        <v>28171.054809570302</v>
      </c>
      <c r="T20" s="37">
        <f>VLOOKUP($B20, '[2]Medicaid - Totals'!$A$4:$K$55, 10, FALSE)</f>
        <v>143182</v>
      </c>
      <c r="U20" s="37">
        <f>VLOOKUP($B20, '[2]Medicaid - Totals'!$A$4:$K$55, 11, FALSE)</f>
        <v>55980</v>
      </c>
      <c r="V20" s="18">
        <f>VLOOKUP($B20, '[3]raw_data (4)'!$A$5:$F$56, 3, FALSE)</f>
        <v>1270930080</v>
      </c>
      <c r="W20" s="36">
        <f>VLOOKUP($A20, '[1]Medicaid - Totals'!$A$3:$K$54, 5, FALSE)</f>
        <v>388277.43946838402</v>
      </c>
      <c r="X20" s="36">
        <f>VLOOKUP($A20, '[1]Medicaid - Totals'!$A$3:$K$54, 10, FALSE)</f>
        <v>226257.63472366301</v>
      </c>
      <c r="Y20" s="37">
        <f>VLOOKUP($B20, '[2]Medicaid - Totals'!$A$4:$K$55, 8, FALSE)</f>
        <v>67921</v>
      </c>
      <c r="Z20" s="37">
        <f>VLOOKUP($B20, '[2]Medicaid - Totals'!$A$4:$K$55, 9, FALSE)</f>
        <v>13565</v>
      </c>
      <c r="AA20" s="8">
        <f>VLOOKUP($B20, '[3]raw_data (4)'!$A$5:$F$56, 2, FALSE)</f>
        <v>572878139.60000002</v>
      </c>
    </row>
    <row r="21" spans="1:27" x14ac:dyDescent="0.25">
      <c r="A21" s="1" t="s">
        <v>42</v>
      </c>
      <c r="B21" s="31" t="s">
        <v>43</v>
      </c>
      <c r="C21" s="43">
        <f>VLOOKUP($A21, '[1]Medicaid - Totals'!$A$3:$K$54, 2, FALSE)</f>
        <v>4301251</v>
      </c>
      <c r="D21" s="36">
        <f>VLOOKUP($A21, '[1]Medicaid - Totals'!$A$3:$K$54, 7, FALSE)</f>
        <v>2176437.2411308265</v>
      </c>
      <c r="E21" s="37">
        <f>VLOOKUP($B21, '[2]Medicaid - Totals'!$A$4:$K$55, 2, FALSE)</f>
        <v>1082791</v>
      </c>
      <c r="F21" s="37">
        <f>VLOOKUP($B21, '[2]Medicaid - Totals'!$A$4:$K$55, 3, FALSE)</f>
        <v>723846</v>
      </c>
      <c r="G21" s="18">
        <f>VLOOKUP($B21, '[3]raw_data (4)'!$A$5:$F$56, 6, FALSE)</f>
        <v>5623093689</v>
      </c>
      <c r="H21" s="36">
        <f>VLOOKUP($A21, '[1]Medicaid - Totals'!$A$3:$K$54, 3, FALSE)</f>
        <v>1053134.50954771</v>
      </c>
      <c r="I21" s="36">
        <f>VLOOKUP($A21, '[1]Medicaid - Totals'!$A$3:$K$54, 8, FALSE)</f>
        <v>450501.70525169402</v>
      </c>
      <c r="J21" s="37">
        <f>VLOOKUP($B21, '[2]Medicaid - Totals'!$A$4:$K$55, 4, FALSE)</f>
        <v>490936</v>
      </c>
      <c r="K21" s="37">
        <f>VLOOKUP($B21, '[2]Medicaid - Totals'!$A$4:$K$55, 5, FALSE)</f>
        <v>428440</v>
      </c>
      <c r="L21" s="18">
        <f>VLOOKUP($B21, '[3]raw_data (4)'!$A$5:$F$56, 5, FALSE)</f>
        <v>1345119035</v>
      </c>
      <c r="M21" s="36">
        <f>VLOOKUP($A21, '[1]Medicaid - Totals'!$A$3:$K$54, 4, FALSE)</f>
        <v>2355658.2230939898</v>
      </c>
      <c r="N21" s="36">
        <f>VLOOKUP($A21, '[1]Medicaid - Totals'!$A$3:$K$54, 9, FALSE)</f>
        <v>1406207.04536247</v>
      </c>
      <c r="O21" s="37">
        <f>VLOOKUP($B21, '[2]Medicaid - Totals'!$A$4:$K$55, 6, FALSE)</f>
        <v>111352</v>
      </c>
      <c r="P21" s="37">
        <f>VLOOKUP($B21, '[2]Medicaid - Totals'!$A$4:$K$55, 7, FALSE)</f>
        <v>91035</v>
      </c>
      <c r="Q21" s="18">
        <f>VLOOKUP($B21, '[3]raw_data (4)'!$A$5:$F$56, 4, FALSE)</f>
        <v>722925949.39999998</v>
      </c>
      <c r="R21" s="36">
        <f>VLOOKUP($A21, '[1]Medicaid - Totals'!$A$3:$K$54, 6, FALSE)</f>
        <v>331608.56944274902</v>
      </c>
      <c r="S21" s="36">
        <f>VLOOKUP($A21, '[1]Medicaid - Totals'!$A$3:$K$54, 11, FALSE)</f>
        <v>74285.989959716797</v>
      </c>
      <c r="T21" s="37">
        <f>VLOOKUP($B21, '[2]Medicaid - Totals'!$A$4:$K$55, 10, FALSE)</f>
        <v>403682</v>
      </c>
      <c r="U21" s="37">
        <f>VLOOKUP($B21, '[2]Medicaid - Totals'!$A$4:$K$55, 11, FALSE)</f>
        <v>168903</v>
      </c>
      <c r="V21" s="18">
        <f>VLOOKUP($B21, '[3]raw_data (4)'!$A$5:$F$56, 3, FALSE)</f>
        <v>2610882353</v>
      </c>
      <c r="W21" s="36">
        <f>VLOOKUP($A21, '[1]Medicaid - Totals'!$A$3:$K$54, 5, FALSE)</f>
        <v>560849.68015289295</v>
      </c>
      <c r="X21" s="36">
        <f>VLOOKUP($A21, '[1]Medicaid - Totals'!$A$3:$K$54, 10, FALSE)</f>
        <v>245442.500556946</v>
      </c>
      <c r="Y21" s="37">
        <f>VLOOKUP($B21, '[2]Medicaid - Totals'!$A$4:$K$55, 8, FALSE)</f>
        <v>76821</v>
      </c>
      <c r="Z21" s="37">
        <f>VLOOKUP($B21, '[2]Medicaid - Totals'!$A$4:$K$55, 9, FALSE)</f>
        <v>35468</v>
      </c>
      <c r="AA21" s="8">
        <f>VLOOKUP($B21, '[3]raw_data (4)'!$A$5:$F$56, 2, FALSE)</f>
        <v>944166351.70000005</v>
      </c>
    </row>
    <row r="22" spans="1:27" x14ac:dyDescent="0.25">
      <c r="A22" s="1" t="s">
        <v>44</v>
      </c>
      <c r="B22" s="31" t="s">
        <v>45</v>
      </c>
      <c r="C22" s="43">
        <f>VLOOKUP($A22, '[1]Medicaid - Totals'!$A$3:$K$54, 2, FALSE)</f>
        <v>4468767</v>
      </c>
      <c r="D22" s="36">
        <f>VLOOKUP($A22, '[1]Medicaid - Totals'!$A$3:$K$54, 7, FALSE)</f>
        <v>2249887.944792273</v>
      </c>
      <c r="E22" s="37">
        <f>VLOOKUP($B22, '[2]Medicaid - Totals'!$A$4:$K$55, 2, FALSE)</f>
        <v>1321977</v>
      </c>
      <c r="F22" s="37">
        <f>VLOOKUP($B22, '[2]Medicaid - Totals'!$A$4:$K$55, 3, FALSE)</f>
        <v>980581</v>
      </c>
      <c r="G22" s="18">
        <f>VLOOKUP($B22, '[3]raw_data (4)'!$A$5:$F$56, 6, FALSE)</f>
        <v>6258944289</v>
      </c>
      <c r="H22" s="36">
        <f>VLOOKUP($A22, '[1]Medicaid - Totals'!$A$3:$K$54, 3, FALSE)</f>
        <v>1177023.4402675601</v>
      </c>
      <c r="I22" s="36">
        <f>VLOOKUP($A22, '[1]Medicaid - Totals'!$A$3:$K$54, 8, FALSE)</f>
        <v>520324.29022216803</v>
      </c>
      <c r="J22" s="37">
        <f>VLOOKUP($B22, '[2]Medicaid - Totals'!$A$4:$K$55, 4, FALSE)</f>
        <v>705591</v>
      </c>
      <c r="K22" s="37">
        <f>VLOOKUP($B22, '[2]Medicaid - Totals'!$A$4:$K$55, 5, FALSE)</f>
        <v>682634</v>
      </c>
      <c r="L22" s="18">
        <f>VLOOKUP($B22, '[3]raw_data (4)'!$A$5:$F$56, 5, FALSE)</f>
        <v>1420323107</v>
      </c>
      <c r="M22" s="36">
        <f>VLOOKUP($A22, '[1]Medicaid - Totals'!$A$3:$K$54, 4, FALSE)</f>
        <v>2364775.1252350798</v>
      </c>
      <c r="N22" s="36">
        <f>VLOOKUP($A22, '[1]Medicaid - Totals'!$A$3:$K$54, 9, FALSE)</f>
        <v>1403646.3305420901</v>
      </c>
      <c r="O22" s="37">
        <f>VLOOKUP($B22, '[2]Medicaid - Totals'!$A$4:$K$55, 6, FALSE)</f>
        <v>144073</v>
      </c>
      <c r="P22" s="37">
        <f>VLOOKUP($B22, '[2]Medicaid - Totals'!$A$4:$K$55, 7, FALSE)</f>
        <v>103974</v>
      </c>
      <c r="Q22" s="18">
        <f>VLOOKUP($B22, '[3]raw_data (4)'!$A$5:$F$56, 4, FALSE)</f>
        <v>733177772.39999998</v>
      </c>
      <c r="R22" s="36">
        <f>VLOOKUP($A22, '[1]Medicaid - Totals'!$A$3:$K$54, 6, FALSE)</f>
        <v>350340.35487365699</v>
      </c>
      <c r="S22" s="36">
        <f>VLOOKUP($A22, '[1]Medicaid - Totals'!$A$3:$K$54, 11, FALSE)</f>
        <v>75089.834777832002</v>
      </c>
      <c r="T22" s="37">
        <f>VLOOKUP($B22, '[2]Medicaid - Totals'!$A$4:$K$55, 10, FALSE)</f>
        <v>368612</v>
      </c>
      <c r="U22" s="37">
        <f>VLOOKUP($B22, '[2]Medicaid - Totals'!$A$4:$K$55, 11, FALSE)</f>
        <v>155956</v>
      </c>
      <c r="V22" s="18">
        <f>VLOOKUP($B22, '[3]raw_data (4)'!$A$5:$F$56, 3, FALSE)</f>
        <v>3096102505</v>
      </c>
      <c r="W22" s="36">
        <f>VLOOKUP($A22, '[1]Medicaid - Totals'!$A$3:$K$54, 5, FALSE)</f>
        <v>576628.03989791905</v>
      </c>
      <c r="X22" s="36">
        <f>VLOOKUP($A22, '[1]Medicaid - Totals'!$A$3:$K$54, 10, FALSE)</f>
        <v>250827.48925018299</v>
      </c>
      <c r="Y22" s="37">
        <f>VLOOKUP($B22, '[2]Medicaid - Totals'!$A$4:$K$55, 8, FALSE)</f>
        <v>103701</v>
      </c>
      <c r="Z22" s="37">
        <f>VLOOKUP($B22, '[2]Medicaid - Totals'!$A$4:$K$55, 9, FALSE)</f>
        <v>38017</v>
      </c>
      <c r="AA22" s="8">
        <f>VLOOKUP($B22, '[3]raw_data (4)'!$A$5:$F$56, 2, FALSE)</f>
        <v>1009340905</v>
      </c>
    </row>
    <row r="23" spans="1:27" x14ac:dyDescent="0.25">
      <c r="A23" s="1" t="s">
        <v>46</v>
      </c>
      <c r="B23" s="31" t="s">
        <v>47</v>
      </c>
      <c r="C23" s="43">
        <f>VLOOKUP($A23, '[1]Medicaid - Totals'!$A$3:$K$54, 2, FALSE)</f>
        <v>1307175</v>
      </c>
      <c r="D23" s="36">
        <f>VLOOKUP($A23, '[1]Medicaid - Totals'!$A$3:$K$54, 7, FALSE)</f>
        <v>776243.51776218391</v>
      </c>
      <c r="E23" s="37">
        <f>VLOOKUP($B23, '[2]Medicaid - Totals'!$A$4:$K$55, 2, FALSE)</f>
        <v>417975</v>
      </c>
      <c r="F23" s="37">
        <f>VLOOKUP($B23, '[2]Medicaid - Totals'!$A$4:$K$55, 3, FALSE)</f>
        <v>270558</v>
      </c>
      <c r="G23" s="18">
        <f>VLOOKUP($B23, '[3]raw_data (4)'!$A$5:$F$56, 6, FALSE)</f>
        <v>2234377802</v>
      </c>
      <c r="H23" s="36">
        <f>VLOOKUP($A23, '[1]Medicaid - Totals'!$A$3:$K$54, 3, FALSE)</f>
        <v>278326.33501243597</v>
      </c>
      <c r="I23" s="36">
        <f>VLOOKUP($A23, '[1]Medicaid - Totals'!$A$3:$K$54, 8, FALSE)</f>
        <v>149663.90006446801</v>
      </c>
      <c r="J23" s="37">
        <f>VLOOKUP($B23, '[2]Medicaid - Totals'!$A$4:$K$55, 4, FALSE)</f>
        <v>131530</v>
      </c>
      <c r="K23" s="37">
        <f>VLOOKUP($B23, '[2]Medicaid - Totals'!$A$4:$K$55, 5, FALSE)</f>
        <v>99998</v>
      </c>
      <c r="L23" s="18">
        <f>VLOOKUP($B23, '[3]raw_data (4)'!$A$5:$F$56, 5, FALSE)</f>
        <v>324799167.19999999</v>
      </c>
      <c r="M23" s="36">
        <f>VLOOKUP($A23, '[1]Medicaid - Totals'!$A$3:$K$54, 4, FALSE)</f>
        <v>731560.31756806397</v>
      </c>
      <c r="N23" s="36">
        <f>VLOOKUP($A23, '[1]Medicaid - Totals'!$A$3:$K$54, 9, FALSE)</f>
        <v>495219.793114662</v>
      </c>
      <c r="O23" s="37">
        <f>VLOOKUP($B23, '[2]Medicaid - Totals'!$A$4:$K$55, 6, FALSE)</f>
        <v>77272</v>
      </c>
      <c r="P23" s="37">
        <f>VLOOKUP($B23, '[2]Medicaid - Totals'!$A$4:$K$55, 7, FALSE)</f>
        <v>95824</v>
      </c>
      <c r="Q23" s="18">
        <f>VLOOKUP($B23, '[3]raw_data (4)'!$A$5:$F$56, 4, FALSE)</f>
        <v>242880676.59999999</v>
      </c>
      <c r="R23" s="36">
        <f>VLOOKUP($A23, '[1]Medicaid - Totals'!$A$3:$K$54, 6, FALSE)</f>
        <v>89616.129625320405</v>
      </c>
      <c r="S23" s="36">
        <f>VLOOKUP($A23, '[1]Medicaid - Totals'!$A$3:$K$54, 11, FALSE)</f>
        <v>23340.654832839999</v>
      </c>
      <c r="T23" s="37">
        <f>VLOOKUP($B23, '[2]Medicaid - Totals'!$A$4:$K$55, 10, FALSE)</f>
        <v>124775</v>
      </c>
      <c r="U23" s="37">
        <f>VLOOKUP($B23, '[2]Medicaid - Totals'!$A$4:$K$55, 11, FALSE)</f>
        <v>55912</v>
      </c>
      <c r="V23" s="18">
        <f>VLOOKUP($B23, '[3]raw_data (4)'!$A$5:$F$56, 3, FALSE)</f>
        <v>1084700401</v>
      </c>
      <c r="W23" s="36">
        <f>VLOOKUP($A23, '[1]Medicaid - Totals'!$A$3:$K$54, 5, FALSE)</f>
        <v>207672.279842377</v>
      </c>
      <c r="X23" s="36">
        <f>VLOOKUP($A23, '[1]Medicaid - Totals'!$A$3:$K$54, 10, FALSE)</f>
        <v>108019.169750214</v>
      </c>
      <c r="Y23" s="37">
        <f>VLOOKUP($B23, '[2]Medicaid - Totals'!$A$4:$K$55, 8, FALSE)</f>
        <v>84398</v>
      </c>
      <c r="Z23" s="37">
        <f>VLOOKUP($B23, '[2]Medicaid - Totals'!$A$4:$K$55, 9, FALSE)</f>
        <v>18824</v>
      </c>
      <c r="AA23" s="8">
        <f>VLOOKUP($B23, '[3]raw_data (4)'!$A$5:$F$56, 2, FALSE)</f>
        <v>581997557</v>
      </c>
    </row>
    <row r="24" spans="1:27" x14ac:dyDescent="0.25">
      <c r="A24" s="1" t="s">
        <v>48</v>
      </c>
      <c r="B24" s="31" t="s">
        <v>49</v>
      </c>
      <c r="C24" s="43">
        <f>VLOOKUP($A24, '[1]Medicaid - Totals'!$A$3:$K$54, 2, FALSE)</f>
        <v>5769205</v>
      </c>
      <c r="D24" s="36">
        <f>VLOOKUP($A24, '[1]Medicaid - Totals'!$A$3:$K$54, 7, FALSE)</f>
        <v>3973154.1688084607</v>
      </c>
      <c r="E24" s="37">
        <f>VLOOKUP($B24, '[2]Medicaid - Totals'!$A$4:$K$55, 2, FALSE)</f>
        <v>1038630</v>
      </c>
      <c r="F24" s="37">
        <f>VLOOKUP($B24, '[2]Medicaid - Totals'!$A$4:$K$55, 3, FALSE)</f>
        <v>763998</v>
      </c>
      <c r="G24" s="18">
        <f>VLOOKUP($B24, '[3]raw_data (4)'!$A$5:$F$56, 6, FALSE)</f>
        <v>7399661449</v>
      </c>
      <c r="H24" s="36">
        <f>VLOOKUP($A24, '[1]Medicaid - Totals'!$A$3:$K$54, 3, FALSE)</f>
        <v>1414443.9946053</v>
      </c>
      <c r="I24" s="36">
        <f>VLOOKUP($A24, '[1]Medicaid - Totals'!$A$3:$K$54, 8, FALSE)</f>
        <v>877139.82478189503</v>
      </c>
      <c r="J24" s="37">
        <f>VLOOKUP($B24, '[2]Medicaid - Totals'!$A$4:$K$55, 4, FALSE)</f>
        <v>505500</v>
      </c>
      <c r="K24" s="37">
        <f>VLOOKUP($B24, '[2]Medicaid - Totals'!$A$4:$K$55, 5, FALSE)</f>
        <v>477701</v>
      </c>
      <c r="L24" s="18">
        <f>VLOOKUP($B24, '[3]raw_data (4)'!$A$5:$F$56, 5, FALSE)</f>
        <v>1451820678</v>
      </c>
      <c r="M24" s="36">
        <f>VLOOKUP($A24, '[1]Medicaid - Totals'!$A$3:$K$54, 4, FALSE)</f>
        <v>3428284.1782395798</v>
      </c>
      <c r="N24" s="36">
        <f>VLOOKUP($A24, '[1]Medicaid - Totals'!$A$3:$K$54, 9, FALSE)</f>
        <v>2564234.6435241699</v>
      </c>
      <c r="O24" s="37">
        <f>VLOOKUP($B24, '[2]Medicaid - Totals'!$A$4:$K$55, 6, FALSE)</f>
        <v>150867</v>
      </c>
      <c r="P24" s="37">
        <f>VLOOKUP($B24, '[2]Medicaid - Totals'!$A$4:$K$55, 7, FALSE)</f>
        <v>144706</v>
      </c>
      <c r="Q24" s="18">
        <f>VLOOKUP($B24, '[3]raw_data (4)'!$A$5:$F$56, 4, FALSE)</f>
        <v>1257845653</v>
      </c>
      <c r="R24" s="36">
        <f>VLOOKUP($A24, '[1]Medicaid - Totals'!$A$3:$K$54, 6, FALSE)</f>
        <v>208454.684832573</v>
      </c>
      <c r="S24" s="36">
        <f>VLOOKUP($A24, '[1]Medicaid - Totals'!$A$3:$K$54, 11, FALSE)</f>
        <v>64710.039913177498</v>
      </c>
      <c r="T24" s="37">
        <f>VLOOKUP($B24, '[2]Medicaid - Totals'!$A$4:$K$55, 10, FALSE)</f>
        <v>278149</v>
      </c>
      <c r="U24" s="37">
        <f>VLOOKUP($B24, '[2]Medicaid - Totals'!$A$4:$K$55, 11, FALSE)</f>
        <v>109724</v>
      </c>
      <c r="V24" s="18">
        <f>VLOOKUP($B24, '[3]raw_data (4)'!$A$5:$F$56, 3, FALSE)</f>
        <v>3358882325</v>
      </c>
      <c r="W24" s="36">
        <f>VLOOKUP($A24, '[1]Medicaid - Totals'!$A$3:$K$54, 5, FALSE)</f>
        <v>718021.90635395097</v>
      </c>
      <c r="X24" s="36">
        <f>VLOOKUP($A24, '[1]Medicaid - Totals'!$A$3:$K$54, 10, FALSE)</f>
        <v>467069.66058921802</v>
      </c>
      <c r="Y24" s="37">
        <f>VLOOKUP($B24, '[2]Medicaid - Totals'!$A$4:$K$55, 8, FALSE)</f>
        <v>104114</v>
      </c>
      <c r="Z24" s="37">
        <f>VLOOKUP($B24, '[2]Medicaid - Totals'!$A$4:$K$55, 9, FALSE)</f>
        <v>31867</v>
      </c>
      <c r="AA24" s="8">
        <f>VLOOKUP($B24, '[3]raw_data (4)'!$A$5:$F$56, 2, FALSE)</f>
        <v>1331112792</v>
      </c>
    </row>
    <row r="25" spans="1:27" x14ac:dyDescent="0.25">
      <c r="A25" s="1" t="s">
        <v>50</v>
      </c>
      <c r="B25" s="31" t="s">
        <v>51</v>
      </c>
      <c r="C25" s="43">
        <f>VLOOKUP($A25, '[1]Medicaid - Totals'!$A$3:$K$54, 2, FALSE)</f>
        <v>6569638.5</v>
      </c>
      <c r="D25" s="36">
        <f>VLOOKUP($A25, '[1]Medicaid - Totals'!$A$3:$K$54, 7, FALSE)</f>
        <v>4443357.6373343449</v>
      </c>
      <c r="E25" s="37">
        <f>VLOOKUP($B25, '[2]Medicaid - Totals'!$A$4:$K$55, 2, FALSE)</f>
        <v>1858257</v>
      </c>
      <c r="F25" s="37">
        <f>VLOOKUP($B25, '[2]Medicaid - Totals'!$A$4:$K$55, 3, FALSE)</f>
        <v>1046563</v>
      </c>
      <c r="G25" s="18">
        <f>VLOOKUP($B25, '[3]raw_data (4)'!$A$5:$F$56, 6, FALSE)</f>
        <v>13152502102</v>
      </c>
      <c r="H25" s="36">
        <f>VLOOKUP($A25, '[1]Medicaid - Totals'!$A$3:$K$54, 3, FALSE)</f>
        <v>1516198.5465393099</v>
      </c>
      <c r="I25" s="36">
        <f>VLOOKUP($A25, '[1]Medicaid - Totals'!$A$3:$K$54, 8, FALSE)</f>
        <v>950033.37122249603</v>
      </c>
      <c r="J25" s="37">
        <f>VLOOKUP($B25, '[2]Medicaid - Totals'!$A$4:$K$55, 4, FALSE)</f>
        <v>503474</v>
      </c>
      <c r="K25" s="37">
        <f>VLOOKUP($B25, '[2]Medicaid - Totals'!$A$4:$K$55, 5, FALSE)</f>
        <v>489253</v>
      </c>
      <c r="L25" s="18">
        <f>VLOOKUP($B25, '[3]raw_data (4)'!$A$5:$F$56, 5, FALSE)</f>
        <v>1540298277</v>
      </c>
      <c r="M25" s="36">
        <f>VLOOKUP($A25, '[1]Medicaid - Totals'!$A$3:$K$54, 4, FALSE)</f>
        <v>3759492.8954906501</v>
      </c>
      <c r="N25" s="36">
        <f>VLOOKUP($A25, '[1]Medicaid - Totals'!$A$3:$K$54, 9, FALSE)</f>
        <v>2848222.08556318</v>
      </c>
      <c r="O25" s="37">
        <f>VLOOKUP($B25, '[2]Medicaid - Totals'!$A$4:$K$55, 6, FALSE)</f>
        <v>347257</v>
      </c>
      <c r="P25" s="37">
        <f>VLOOKUP($B25, '[2]Medicaid - Totals'!$A$4:$K$55, 7, FALSE)</f>
        <v>231921</v>
      </c>
      <c r="Q25" s="18">
        <f>VLOOKUP($B25, '[3]raw_data (4)'!$A$5:$F$56, 4, FALSE)</f>
        <v>2538126997</v>
      </c>
      <c r="R25" s="36">
        <f>VLOOKUP($A25, '[1]Medicaid - Totals'!$A$3:$K$54, 6, FALSE)</f>
        <v>353172.60368728603</v>
      </c>
      <c r="S25" s="36">
        <f>VLOOKUP($A25, '[1]Medicaid - Totals'!$A$3:$K$54, 11, FALSE)</f>
        <v>61514.354439735398</v>
      </c>
      <c r="T25" s="37">
        <f>VLOOKUP($B25, '[2]Medicaid - Totals'!$A$4:$K$55, 10, FALSE)</f>
        <v>566247</v>
      </c>
      <c r="U25" s="37">
        <f>VLOOKUP($B25, '[2]Medicaid - Totals'!$A$4:$K$55, 11, FALSE)</f>
        <v>235437</v>
      </c>
      <c r="V25" s="18">
        <f>VLOOKUP($B25, '[3]raw_data (4)'!$A$5:$F$56, 3, FALSE)</f>
        <v>5797951377</v>
      </c>
      <c r="W25" s="36">
        <f>VLOOKUP($A25, '[1]Medicaid - Totals'!$A$3:$K$54, 5, FALSE)</f>
        <v>940774.375232697</v>
      </c>
      <c r="X25" s="36">
        <f>VLOOKUP($A25, '[1]Medicaid - Totals'!$A$3:$K$54, 10, FALSE)</f>
        <v>583587.82610893296</v>
      </c>
      <c r="Y25" s="37">
        <f>VLOOKUP($B25, '[2]Medicaid - Totals'!$A$4:$K$55, 8, FALSE)</f>
        <v>441279</v>
      </c>
      <c r="Z25" s="37">
        <f>VLOOKUP($B25, '[2]Medicaid - Totals'!$A$4:$K$55, 9, FALSE)</f>
        <v>89952</v>
      </c>
      <c r="AA25" s="8">
        <f>VLOOKUP($B25, '[3]raw_data (4)'!$A$5:$F$56, 2, FALSE)</f>
        <v>3273628993</v>
      </c>
    </row>
    <row r="26" spans="1:27" x14ac:dyDescent="0.25">
      <c r="A26" s="1" t="s">
        <v>52</v>
      </c>
      <c r="B26" s="31" t="s">
        <v>53</v>
      </c>
      <c r="C26" s="43">
        <f>VLOOKUP($A26, '[1]Medicaid - Totals'!$A$3:$K$54, 2, FALSE)</f>
        <v>9737212</v>
      </c>
      <c r="D26" s="36">
        <f>VLOOKUP($A26, '[1]Medicaid - Totals'!$A$3:$K$54, 7, FALSE)</f>
        <v>5639716.8463373221</v>
      </c>
      <c r="E26" s="37">
        <f>VLOOKUP($B26, '[2]Medicaid - Totals'!$A$4:$K$55, 2, FALSE)</f>
        <v>2291174</v>
      </c>
      <c r="F26" s="37">
        <f>VLOOKUP($B26, '[2]Medicaid - Totals'!$A$4:$K$55, 3, FALSE)</f>
        <v>1724772</v>
      </c>
      <c r="G26" s="18">
        <f>VLOOKUP($B26, '[3]raw_data (4)'!$A$5:$F$56, 6, FALSE)</f>
        <v>11895180142</v>
      </c>
      <c r="H26" s="36">
        <f>VLOOKUP($A26, '[1]Medicaid - Totals'!$A$3:$K$54, 3, FALSE)</f>
        <v>2407943.7602214799</v>
      </c>
      <c r="I26" s="36">
        <f>VLOOKUP($A26, '[1]Medicaid - Totals'!$A$3:$K$54, 8, FALSE)</f>
        <v>1231375.2246227299</v>
      </c>
      <c r="J26" s="37">
        <f>VLOOKUP($B26, '[2]Medicaid - Totals'!$A$4:$K$55, 4, FALSE)</f>
        <v>1047198</v>
      </c>
      <c r="K26" s="37">
        <f>VLOOKUP($B26, '[2]Medicaid - Totals'!$A$4:$K$55, 5, FALSE)</f>
        <v>1038125</v>
      </c>
      <c r="L26" s="18">
        <f>VLOOKUP($B26, '[3]raw_data (4)'!$A$5:$F$56, 5, FALSE)</f>
        <v>2273764347</v>
      </c>
      <c r="M26" s="36">
        <f>VLOOKUP($A26, '[1]Medicaid - Totals'!$A$3:$K$54, 4, FALSE)</f>
        <v>5351134.0579614602</v>
      </c>
      <c r="N26" s="36">
        <f>VLOOKUP($A26, '[1]Medicaid - Totals'!$A$3:$K$54, 9, FALSE)</f>
        <v>3492028.9969892502</v>
      </c>
      <c r="O26" s="37">
        <f>VLOOKUP($B26, '[2]Medicaid - Totals'!$A$4:$K$55, 6, FALSE)</f>
        <v>310687</v>
      </c>
      <c r="P26" s="37">
        <f>VLOOKUP($B26, '[2]Medicaid - Totals'!$A$4:$K$55, 7, FALSE)</f>
        <v>316340</v>
      </c>
      <c r="Q26" s="18">
        <f>VLOOKUP($B26, '[3]raw_data (4)'!$A$5:$F$56, 4, FALSE)</f>
        <v>1935233522</v>
      </c>
      <c r="R26" s="36">
        <f>VLOOKUP($A26, '[1]Medicaid - Totals'!$A$3:$K$54, 6, FALSE)</f>
        <v>616237.20036888099</v>
      </c>
      <c r="S26" s="36">
        <f>VLOOKUP($A26, '[1]Medicaid - Totals'!$A$3:$K$54, 11, FALSE)</f>
        <v>158762.60505676299</v>
      </c>
      <c r="T26" s="37">
        <f>VLOOKUP($B26, '[2]Medicaid - Totals'!$A$4:$K$55, 10, FALSE)</f>
        <v>740956</v>
      </c>
      <c r="U26" s="37">
        <f>VLOOKUP($B26, '[2]Medicaid - Totals'!$A$4:$K$55, 11, FALSE)</f>
        <v>293835</v>
      </c>
      <c r="V26" s="18">
        <f>VLOOKUP($B26, '[3]raw_data (4)'!$A$5:$F$56, 3, FALSE)</f>
        <v>5409190818</v>
      </c>
      <c r="W26" s="36">
        <f>VLOOKUP($A26, '[1]Medicaid - Totals'!$A$3:$K$54, 5, FALSE)</f>
        <v>1361897.2298278799</v>
      </c>
      <c r="X26" s="36">
        <f>VLOOKUP($A26, '[1]Medicaid - Totals'!$A$3:$K$54, 10, FALSE)</f>
        <v>757550.01966857899</v>
      </c>
      <c r="Y26" s="37">
        <f>VLOOKUP($B26, '[2]Medicaid - Totals'!$A$4:$K$55, 8, FALSE)</f>
        <v>192333</v>
      </c>
      <c r="Z26" s="37">
        <f>VLOOKUP($B26, '[2]Medicaid - Totals'!$A$4:$K$55, 9, FALSE)</f>
        <v>76472</v>
      </c>
      <c r="AA26" s="8">
        <f>VLOOKUP($B26, '[3]raw_data (4)'!$A$5:$F$56, 2, FALSE)</f>
        <v>2276991456</v>
      </c>
    </row>
    <row r="27" spans="1:27" x14ac:dyDescent="0.25">
      <c r="A27" s="1" t="s">
        <v>54</v>
      </c>
      <c r="B27" s="31" t="s">
        <v>55</v>
      </c>
      <c r="C27" s="43">
        <f>VLOOKUP($A27, '[1]Medicaid - Totals'!$A$3:$K$54, 2, FALSE)</f>
        <v>5235715.5</v>
      </c>
      <c r="D27" s="36">
        <f>VLOOKUP($A27, '[1]Medicaid - Totals'!$A$3:$K$54, 7, FALSE)</f>
        <v>3462750.0085201222</v>
      </c>
      <c r="E27" s="37">
        <f>VLOOKUP($B27, '[2]Medicaid - Totals'!$A$4:$K$55, 2, FALSE)</f>
        <v>1502760</v>
      </c>
      <c r="F27" s="37">
        <f>VLOOKUP($B27, '[2]Medicaid - Totals'!$A$4:$K$55, 3, FALSE)</f>
        <v>666928</v>
      </c>
      <c r="G27" s="18">
        <f>VLOOKUP($B27, '[3]raw_data (4)'!$A$5:$F$56, 6, FALSE)</f>
        <v>8286986422</v>
      </c>
      <c r="H27" s="36">
        <f>VLOOKUP($A27, '[1]Medicaid - Totals'!$A$3:$K$54, 3, FALSE)</f>
        <v>1318512.10018468</v>
      </c>
      <c r="I27" s="36">
        <f>VLOOKUP($A27, '[1]Medicaid - Totals'!$A$3:$K$54, 8, FALSE)</f>
        <v>803979.92439365399</v>
      </c>
      <c r="J27" s="37">
        <f>VLOOKUP($B27, '[2]Medicaid - Totals'!$A$4:$K$55, 4, FALSE)</f>
        <v>654281</v>
      </c>
      <c r="K27" s="37">
        <f>VLOOKUP($B27, '[2]Medicaid - Totals'!$A$4:$K$55, 5, FALSE)</f>
        <v>353857</v>
      </c>
      <c r="L27" s="18">
        <f>VLOOKUP($B27, '[3]raw_data (4)'!$A$5:$F$56, 5, FALSE)</f>
        <v>1586475501</v>
      </c>
      <c r="M27" s="36">
        <f>VLOOKUP($A27, '[1]Medicaid - Totals'!$A$3:$K$54, 4, FALSE)</f>
        <v>3031458.0290751499</v>
      </c>
      <c r="N27" s="36">
        <f>VLOOKUP($A27, '[1]Medicaid - Totals'!$A$3:$K$54, 9, FALSE)</f>
        <v>2231475.3337869602</v>
      </c>
      <c r="O27" s="37">
        <f>VLOOKUP($B27, '[2]Medicaid - Totals'!$A$4:$K$55, 6, FALSE)</f>
        <v>386189</v>
      </c>
      <c r="P27" s="37">
        <f>VLOOKUP($B27, '[2]Medicaid - Totals'!$A$4:$K$55, 7, FALSE)</f>
        <v>166403</v>
      </c>
      <c r="Q27" s="18">
        <f>VLOOKUP($B27, '[3]raw_data (4)'!$A$5:$F$56, 4, FALSE)</f>
        <v>1425650452</v>
      </c>
      <c r="R27" s="36">
        <f>VLOOKUP($A27, '[1]Medicaid - Totals'!$A$3:$K$54, 6, FALSE)</f>
        <v>188505.78455400499</v>
      </c>
      <c r="S27" s="36">
        <f>VLOOKUP($A27, '[1]Medicaid - Totals'!$A$3:$K$54, 11, FALSE)</f>
        <v>49996.190006256104</v>
      </c>
      <c r="T27" s="37">
        <f>VLOOKUP($B27, '[2]Medicaid - Totals'!$A$4:$K$55, 10, FALSE)</f>
        <v>247530</v>
      </c>
      <c r="U27" s="37">
        <f>VLOOKUP($B27, '[2]Medicaid - Totals'!$A$4:$K$55, 11, FALSE)</f>
        <v>106808</v>
      </c>
      <c r="V27" s="18">
        <f>VLOOKUP($B27, '[3]raw_data (4)'!$A$5:$F$56, 3, FALSE)</f>
        <v>3580828207</v>
      </c>
      <c r="W27" s="36">
        <f>VLOOKUP($A27, '[1]Medicaid - Totals'!$A$3:$K$54, 5, FALSE)</f>
        <v>697239.50052309001</v>
      </c>
      <c r="X27" s="36">
        <f>VLOOKUP($A27, '[1]Medicaid - Totals'!$A$3:$K$54, 10, FALSE)</f>
        <v>377298.56033325201</v>
      </c>
      <c r="Y27" s="37">
        <f>VLOOKUP($B27, '[2]Medicaid - Totals'!$A$4:$K$55, 8, FALSE)</f>
        <v>214760</v>
      </c>
      <c r="Z27" s="37">
        <f>VLOOKUP($B27, '[2]Medicaid - Totals'!$A$4:$K$55, 9, FALSE)</f>
        <v>39860</v>
      </c>
      <c r="AA27" s="8">
        <f>VLOOKUP($B27, '[3]raw_data (4)'!$A$5:$F$56, 2, FALSE)</f>
        <v>1694032262</v>
      </c>
    </row>
    <row r="28" spans="1:27" x14ac:dyDescent="0.25">
      <c r="A28" s="1" t="s">
        <v>56</v>
      </c>
      <c r="B28" s="31" t="s">
        <v>57</v>
      </c>
      <c r="C28" s="43">
        <f>VLOOKUP($A28, '[1]Medicaid - Totals'!$A$3:$K$54, 2, FALSE)</f>
        <v>2931505.75</v>
      </c>
      <c r="D28" s="36">
        <f>VLOOKUP($A28, '[1]Medicaid - Totals'!$A$3:$K$54, 7, FALSE)</f>
        <v>1441896.1287727361</v>
      </c>
      <c r="E28" s="37">
        <f>VLOOKUP($B28, '[2]Medicaid - Totals'!$A$4:$K$55, 2, FALSE)</f>
        <v>772761</v>
      </c>
      <c r="F28" s="37">
        <f>VLOOKUP($B28, '[2]Medicaid - Totals'!$A$4:$K$55, 3, FALSE)</f>
        <v>556334</v>
      </c>
      <c r="G28" s="18">
        <f>VLOOKUP($B28, '[3]raw_data (4)'!$A$5:$F$56, 6, FALSE)</f>
        <v>4169864488</v>
      </c>
      <c r="H28" s="36">
        <f>VLOOKUP($A28, '[1]Medicaid - Totals'!$A$3:$K$54, 3, FALSE)</f>
        <v>797646.77897882496</v>
      </c>
      <c r="I28" s="36">
        <f>VLOOKUP($A28, '[1]Medicaid - Totals'!$A$3:$K$54, 8, FALSE)</f>
        <v>310387.14396667498</v>
      </c>
      <c r="J28" s="37">
        <f>VLOOKUP($B28, '[2]Medicaid - Totals'!$A$4:$K$55, 4, FALSE)</f>
        <v>440191</v>
      </c>
      <c r="K28" s="37">
        <f>VLOOKUP($B28, '[2]Medicaid - Totals'!$A$4:$K$55, 5, FALSE)</f>
        <v>355755</v>
      </c>
      <c r="L28" s="18">
        <f>VLOOKUP($B28, '[3]raw_data (4)'!$A$5:$F$56, 5, FALSE)</f>
        <v>989287332.79999995</v>
      </c>
      <c r="M28" s="36">
        <f>VLOOKUP($A28, '[1]Medicaid - Totals'!$A$3:$K$54, 4, FALSE)</f>
        <v>1548643.32426167</v>
      </c>
      <c r="N28" s="36">
        <f>VLOOKUP($A28, '[1]Medicaid - Totals'!$A$3:$K$54, 9, FALSE)</f>
        <v>898159.72914505005</v>
      </c>
      <c r="O28" s="37">
        <f>VLOOKUP($B28, '[2]Medicaid - Totals'!$A$4:$K$55, 6, FALSE)</f>
        <v>72443</v>
      </c>
      <c r="P28" s="37">
        <f>VLOOKUP($B28, '[2]Medicaid - Totals'!$A$4:$K$55, 7, FALSE)</f>
        <v>59630</v>
      </c>
      <c r="Q28" s="18">
        <f>VLOOKUP($B28, '[3]raw_data (4)'!$A$5:$F$56, 4, FALSE)</f>
        <v>464221700.5</v>
      </c>
      <c r="R28" s="36">
        <f>VLOOKUP($A28, '[1]Medicaid - Totals'!$A$3:$K$54, 6, FALSE)</f>
        <v>201680.53034973101</v>
      </c>
      <c r="S28" s="36">
        <f>VLOOKUP($A28, '[1]Medicaid - Totals'!$A$3:$K$54, 11, FALSE)</f>
        <v>49803.1550140381</v>
      </c>
      <c r="T28" s="37">
        <f>VLOOKUP($B28, '[2]Medicaid - Totals'!$A$4:$K$55, 10, FALSE)</f>
        <v>237050</v>
      </c>
      <c r="U28" s="37">
        <f>VLOOKUP($B28, '[2]Medicaid - Totals'!$A$4:$K$55, 11, FALSE)</f>
        <v>110311</v>
      </c>
      <c r="V28" s="18">
        <f>VLOOKUP($B28, '[3]raw_data (4)'!$A$5:$F$56, 3, FALSE)</f>
        <v>1785015591</v>
      </c>
      <c r="W28" s="36">
        <f>VLOOKUP($A28, '[1]Medicaid - Totals'!$A$3:$K$54, 5, FALSE)</f>
        <v>383535.13571166998</v>
      </c>
      <c r="X28" s="36">
        <f>VLOOKUP($A28, '[1]Medicaid - Totals'!$A$3:$K$54, 10, FALSE)</f>
        <v>183546.10064697301</v>
      </c>
      <c r="Y28" s="37">
        <f>VLOOKUP($B28, '[2]Medicaid - Totals'!$A$4:$K$55, 8, FALSE)</f>
        <v>23077</v>
      </c>
      <c r="Z28" s="37">
        <f>VLOOKUP($B28, '[2]Medicaid - Totals'!$A$4:$K$55, 9, FALSE)</f>
        <v>30638</v>
      </c>
      <c r="AA28" s="8">
        <f>VLOOKUP($B28, '[3]raw_data (4)'!$A$5:$F$56, 2, FALSE)</f>
        <v>931339863.79999995</v>
      </c>
    </row>
    <row r="29" spans="1:27" x14ac:dyDescent="0.25">
      <c r="A29" s="1" t="s">
        <v>58</v>
      </c>
      <c r="B29" s="31" t="s">
        <v>59</v>
      </c>
      <c r="C29" s="43">
        <f>VLOOKUP($A29, '[1]Medicaid - Totals'!$A$3:$K$54, 2, FALSE)</f>
        <v>5938243</v>
      </c>
      <c r="D29" s="36">
        <f>VLOOKUP($A29, '[1]Medicaid - Totals'!$A$3:$K$54, 7, FALSE)</f>
        <v>3462866.6262707692</v>
      </c>
      <c r="E29" s="37">
        <f>VLOOKUP($B29, '[2]Medicaid - Totals'!$A$4:$K$55, 2, FALSE)</f>
        <v>1129355</v>
      </c>
      <c r="F29" s="37">
        <f>VLOOKUP($B29, '[2]Medicaid - Totals'!$A$4:$K$55, 3, FALSE)</f>
        <v>843371</v>
      </c>
      <c r="G29" s="18">
        <f>VLOOKUP($B29, '[3]raw_data (4)'!$A$5:$F$56, 6, FALSE)</f>
        <v>7453930327</v>
      </c>
      <c r="H29" s="36">
        <f>VLOOKUP($A29, '[1]Medicaid - Totals'!$A$3:$K$54, 3, FALSE)</f>
        <v>1449592.7857332199</v>
      </c>
      <c r="I29" s="36">
        <f>VLOOKUP($A29, '[1]Medicaid - Totals'!$A$3:$K$54, 8, FALSE)</f>
        <v>730369.31001377106</v>
      </c>
      <c r="J29" s="37">
        <f>VLOOKUP($B29, '[2]Medicaid - Totals'!$A$4:$K$55, 4, FALSE)</f>
        <v>579922</v>
      </c>
      <c r="K29" s="37">
        <f>VLOOKUP($B29, '[2]Medicaid - Totals'!$A$4:$K$55, 5, FALSE)</f>
        <v>530228</v>
      </c>
      <c r="L29" s="18">
        <f>VLOOKUP($B29, '[3]raw_data (4)'!$A$5:$F$56, 5, FALSE)</f>
        <v>1793010481</v>
      </c>
      <c r="M29" s="36">
        <f>VLOOKUP($A29, '[1]Medicaid - Totals'!$A$3:$K$54, 4, FALSE)</f>
        <v>3209630.1315584201</v>
      </c>
      <c r="N29" s="36">
        <f>VLOOKUP($A29, '[1]Medicaid - Totals'!$A$3:$K$54, 9, FALSE)</f>
        <v>2163705.5707960101</v>
      </c>
      <c r="O29" s="37">
        <f>VLOOKUP($B29, '[2]Medicaid - Totals'!$A$4:$K$55, 6, FALSE)</f>
        <v>113349</v>
      </c>
      <c r="P29" s="37">
        <f>VLOOKUP($B29, '[2]Medicaid - Totals'!$A$4:$K$55, 7, FALSE)</f>
        <v>112387</v>
      </c>
      <c r="Q29" s="18">
        <f>VLOOKUP($B29, '[3]raw_data (4)'!$A$5:$F$56, 4, FALSE)</f>
        <v>705291215.20000005</v>
      </c>
      <c r="R29" s="36">
        <f>VLOOKUP($A29, '[1]Medicaid - Totals'!$A$3:$K$54, 6, FALSE)</f>
        <v>457573.95924758899</v>
      </c>
      <c r="S29" s="36">
        <f>VLOOKUP($A29, '[1]Medicaid - Totals'!$A$3:$K$54, 11, FALSE)</f>
        <v>107348.98997497599</v>
      </c>
      <c r="T29" s="37">
        <f>VLOOKUP($B29, '[2]Medicaid - Totals'!$A$4:$K$55, 10, FALSE)</f>
        <v>398659</v>
      </c>
      <c r="U29" s="37">
        <f>VLOOKUP($B29, '[2]Medicaid - Totals'!$A$4:$K$55, 11, FALSE)</f>
        <v>154545</v>
      </c>
      <c r="V29" s="18">
        <f>VLOOKUP($B29, '[3]raw_data (4)'!$A$5:$F$56, 3, FALSE)</f>
        <v>3539573171</v>
      </c>
      <c r="W29" s="36">
        <f>VLOOKUP($A29, '[1]Medicaid - Totals'!$A$3:$K$54, 5, FALSE)</f>
        <v>821445.89489030803</v>
      </c>
      <c r="X29" s="36">
        <f>VLOOKUP($A29, '[1]Medicaid - Totals'!$A$3:$K$54, 10, FALSE)</f>
        <v>461442.75548601203</v>
      </c>
      <c r="Y29" s="37">
        <f>VLOOKUP($B29, '[2]Medicaid - Totals'!$A$4:$K$55, 8, FALSE)</f>
        <v>37425</v>
      </c>
      <c r="Z29" s="37">
        <f>VLOOKUP($B29, '[2]Medicaid - Totals'!$A$4:$K$55, 9, FALSE)</f>
        <v>46211</v>
      </c>
      <c r="AA29" s="8">
        <f>VLOOKUP($B29, '[3]raw_data (4)'!$A$5:$F$56, 2, FALSE)</f>
        <v>1416055460</v>
      </c>
    </row>
    <row r="30" spans="1:27" x14ac:dyDescent="0.25">
      <c r="A30" s="1" t="s">
        <v>60</v>
      </c>
      <c r="B30" s="31" t="s">
        <v>61</v>
      </c>
      <c r="C30" s="43">
        <f>VLOOKUP($A30, '[1]Medicaid - Totals'!$A$3:$K$54, 2, FALSE)</f>
        <v>978695.25</v>
      </c>
      <c r="D30" s="36">
        <f>VLOOKUP($A30, '[1]Medicaid - Totals'!$A$3:$K$54, 7, FALSE)</f>
        <v>501078.13454055809</v>
      </c>
      <c r="E30" s="37">
        <f>VLOOKUP($B30, '[2]Medicaid - Totals'!$A$4:$K$55, 2, FALSE)</f>
        <v>230495</v>
      </c>
      <c r="F30" s="37">
        <f>VLOOKUP($B30, '[2]Medicaid - Totals'!$A$4:$K$55, 3, FALSE)</f>
        <v>99572</v>
      </c>
      <c r="G30" s="18">
        <f>VLOOKUP($B30, '[3]raw_data (4)'!$A$5:$F$56, 6, FALSE)</f>
        <v>949083689</v>
      </c>
      <c r="H30" s="36">
        <f>VLOOKUP($A30, '[1]Medicaid - Totals'!$A$3:$K$54, 3, FALSE)</f>
        <v>222522.815139771</v>
      </c>
      <c r="I30" s="36">
        <f>VLOOKUP($A30, '[1]Medicaid - Totals'!$A$3:$K$54, 8, FALSE)</f>
        <v>92189.214992523193</v>
      </c>
      <c r="J30" s="37">
        <f>VLOOKUP($B30, '[2]Medicaid - Totals'!$A$4:$K$55, 4, FALSE)</f>
        <v>100522</v>
      </c>
      <c r="K30" s="37">
        <f>VLOOKUP($B30, '[2]Medicaid - Totals'!$A$4:$K$55, 5, FALSE)</f>
        <v>74631</v>
      </c>
      <c r="L30" s="18">
        <f>VLOOKUP($B30, '[3]raw_data (4)'!$A$5:$F$56, 5, FALSE)</f>
        <v>230808175.30000001</v>
      </c>
      <c r="M30" s="36">
        <f>VLOOKUP($A30, '[1]Medicaid - Totals'!$A$3:$K$54, 4, FALSE)</f>
        <v>542227.90441131603</v>
      </c>
      <c r="N30" s="36">
        <f>VLOOKUP($A30, '[1]Medicaid - Totals'!$A$3:$K$54, 9, FALSE)</f>
        <v>312723.81949615502</v>
      </c>
      <c r="O30" s="37">
        <f>VLOOKUP($B30, '[2]Medicaid - Totals'!$A$4:$K$55, 6, FALSE)</f>
        <v>24303</v>
      </c>
      <c r="P30" s="37">
        <f>VLOOKUP($B30, '[2]Medicaid - Totals'!$A$4:$K$55, 7, FALSE)</f>
        <v>5437</v>
      </c>
      <c r="Q30" s="18">
        <f>VLOOKUP($B30, '[3]raw_data (4)'!$A$5:$F$56, 4, FALSE)</f>
        <v>99541383.219999999</v>
      </c>
      <c r="R30" s="36">
        <f>VLOOKUP($A30, '[1]Medicaid - Totals'!$A$3:$K$54, 6, FALSE)</f>
        <v>46041.089990615801</v>
      </c>
      <c r="S30" s="36">
        <f>VLOOKUP($A30, '[1]Medicaid - Totals'!$A$3:$K$54, 11, FALSE)</f>
        <v>9624.7649841308594</v>
      </c>
      <c r="T30" s="37">
        <f>VLOOKUP($B30, '[2]Medicaid - Totals'!$A$4:$K$55, 10, FALSE)</f>
        <v>51378</v>
      </c>
      <c r="U30" s="37">
        <f>VLOOKUP($B30, '[2]Medicaid - Totals'!$A$4:$K$55, 11, FALSE)</f>
        <v>15528</v>
      </c>
      <c r="V30" s="18">
        <f>VLOOKUP($B30, '[3]raw_data (4)'!$A$5:$F$56, 3, FALSE)</f>
        <v>363052717.69999999</v>
      </c>
      <c r="W30" s="36">
        <f>VLOOKUP($A30, '[1]Medicaid - Totals'!$A$3:$K$54, 5, FALSE)</f>
        <v>167903.47027587899</v>
      </c>
      <c r="X30" s="36">
        <f>VLOOKUP($A30, '[1]Medicaid - Totals'!$A$3:$K$54, 10, FALSE)</f>
        <v>86540.335067748994</v>
      </c>
      <c r="Y30" s="37">
        <f>VLOOKUP($B30, '[2]Medicaid - Totals'!$A$4:$K$55, 8, FALSE)</f>
        <v>54292</v>
      </c>
      <c r="Z30" s="37">
        <f>VLOOKUP($B30, '[2]Medicaid - Totals'!$A$4:$K$55, 9, FALSE)</f>
        <v>3976</v>
      </c>
      <c r="AA30" s="8">
        <f>VLOOKUP($B30, '[3]raw_data (4)'!$A$5:$F$56, 2, FALSE)</f>
        <v>255681412.80000001</v>
      </c>
    </row>
    <row r="31" spans="1:27" x14ac:dyDescent="0.25">
      <c r="A31" s="1" t="s">
        <v>62</v>
      </c>
      <c r="B31" s="31" t="s">
        <v>63</v>
      </c>
      <c r="C31" s="43">
        <f>VLOOKUP($A31, '[1]Medicaid - Totals'!$A$3:$K$54, 2, FALSE)</f>
        <v>1806568.625</v>
      </c>
      <c r="D31" s="36">
        <f>VLOOKUP($A31, '[1]Medicaid - Totals'!$A$3:$K$54, 7, FALSE)</f>
        <v>1115204.4802653787</v>
      </c>
      <c r="E31" s="37">
        <f>VLOOKUP($B31, '[2]Medicaid - Totals'!$A$4:$K$55, 2, FALSE)</f>
        <v>347985</v>
      </c>
      <c r="F31" s="37">
        <f>VLOOKUP($B31, '[2]Medicaid - Totals'!$A$4:$K$55, 3, FALSE)</f>
        <v>215718</v>
      </c>
      <c r="G31" s="18">
        <f>VLOOKUP($B31, '[3]raw_data (4)'!$A$5:$F$56, 6, FALSE)</f>
        <v>1592108338</v>
      </c>
      <c r="H31" s="36">
        <f>VLOOKUP($A31, '[1]Medicaid - Totals'!$A$3:$K$54, 3, FALSE)</f>
        <v>476216.91013395798</v>
      </c>
      <c r="I31" s="36">
        <f>VLOOKUP($A31, '[1]Medicaid - Totals'!$A$3:$K$54, 8, FALSE)</f>
        <v>255799.080028772</v>
      </c>
      <c r="J31" s="37">
        <f>VLOOKUP($B31, '[2]Medicaid - Totals'!$A$4:$K$55, 4, FALSE)</f>
        <v>172797</v>
      </c>
      <c r="K31" s="37">
        <f>VLOOKUP($B31, '[2]Medicaid - Totals'!$A$4:$K$55, 5, FALSE)</f>
        <v>148752</v>
      </c>
      <c r="L31" s="18">
        <f>VLOOKUP($B31, '[3]raw_data (4)'!$A$5:$F$56, 5, FALSE)</f>
        <v>334269188.19999999</v>
      </c>
      <c r="M31" s="36">
        <f>VLOOKUP($A31, '[1]Medicaid - Totals'!$A$3:$K$54, 4, FALSE)</f>
        <v>1040057.09960985</v>
      </c>
      <c r="N31" s="36">
        <f>VLOOKUP($A31, '[1]Medicaid - Totals'!$A$3:$K$54, 9, FALSE)</f>
        <v>702799.28453588497</v>
      </c>
      <c r="O31" s="37">
        <f>VLOOKUP($B31, '[2]Medicaid - Totals'!$A$4:$K$55, 6, FALSE)</f>
        <v>27142</v>
      </c>
      <c r="P31" s="37">
        <f>VLOOKUP($B31, '[2]Medicaid - Totals'!$A$4:$K$55, 7, FALSE)</f>
        <v>28493</v>
      </c>
      <c r="Q31" s="18">
        <f>VLOOKUP($B31, '[3]raw_data (4)'!$A$5:$F$56, 4, FALSE)</f>
        <v>189627263.90000001</v>
      </c>
      <c r="R31" s="36">
        <f>VLOOKUP($A31, '[1]Medicaid - Totals'!$A$3:$K$54, 6, FALSE)</f>
        <v>61506.210189223297</v>
      </c>
      <c r="S31" s="36">
        <f>VLOOKUP($A31, '[1]Medicaid - Totals'!$A$3:$K$54, 11, FALSE)</f>
        <v>20693.8250951767</v>
      </c>
      <c r="T31" s="37">
        <f>VLOOKUP($B31, '[2]Medicaid - Totals'!$A$4:$K$55, 10, FALSE)</f>
        <v>82344</v>
      </c>
      <c r="U31" s="37">
        <f>VLOOKUP($B31, '[2]Medicaid - Totals'!$A$4:$K$55, 11, FALSE)</f>
        <v>30754</v>
      </c>
      <c r="V31" s="18">
        <f>VLOOKUP($B31, '[3]raw_data (4)'!$A$5:$F$56, 3, FALSE)</f>
        <v>703489892.60000002</v>
      </c>
      <c r="W31" s="36">
        <f>VLOOKUP($A31, '[1]Medicaid - Totals'!$A$3:$K$54, 5, FALSE)</f>
        <v>228788.46147942499</v>
      </c>
      <c r="X31" s="36">
        <f>VLOOKUP($A31, '[1]Medicaid - Totals'!$A$3:$K$54, 10, FALSE)</f>
        <v>135912.29060554499</v>
      </c>
      <c r="Y31" s="37">
        <f>VLOOKUP($B31, '[2]Medicaid - Totals'!$A$4:$K$55, 8, FALSE)</f>
        <v>65702</v>
      </c>
      <c r="Z31" s="37">
        <f>VLOOKUP($B31, '[2]Medicaid - Totals'!$A$4:$K$55, 9, FALSE)</f>
        <v>7719</v>
      </c>
      <c r="AA31" s="8">
        <f>VLOOKUP($B31, '[3]raw_data (4)'!$A$5:$F$56, 2, FALSE)</f>
        <v>364721993.30000001</v>
      </c>
    </row>
    <row r="32" spans="1:27" x14ac:dyDescent="0.25">
      <c r="A32" s="1" t="s">
        <v>64</v>
      </c>
      <c r="B32" s="31" t="s">
        <v>65</v>
      </c>
      <c r="C32" s="43">
        <f>VLOOKUP($A32, '[1]Medicaid - Totals'!$A$3:$K$54, 2, FALSE)</f>
        <v>2661854</v>
      </c>
      <c r="D32" s="36">
        <f>VLOOKUP($A32, '[1]Medicaid - Totals'!$A$3:$K$54, 7, FALSE)</f>
        <v>1450313.7621289482</v>
      </c>
      <c r="E32" s="37">
        <f>VLOOKUP($B32, '[2]Medicaid - Totals'!$A$4:$K$55, 2, FALSE)</f>
        <v>429119</v>
      </c>
      <c r="F32" s="37">
        <f>VLOOKUP($B32, '[2]Medicaid - Totals'!$A$4:$K$55, 3, FALSE)</f>
        <v>252118</v>
      </c>
      <c r="G32" s="18">
        <f>VLOOKUP($B32, '[3]raw_data (4)'!$A$5:$F$56, 6, FALSE)</f>
        <v>1447268128</v>
      </c>
      <c r="H32" s="36">
        <f>VLOOKUP($A32, '[1]Medicaid - Totals'!$A$3:$K$54, 3, FALSE)</f>
        <v>690293.12552595104</v>
      </c>
      <c r="I32" s="36">
        <f>VLOOKUP($A32, '[1]Medicaid - Totals'!$A$3:$K$54, 8, FALSE)</f>
        <v>297997.25514411897</v>
      </c>
      <c r="J32" s="37">
        <f>VLOOKUP($B32, '[2]Medicaid - Totals'!$A$4:$K$55, 4, FALSE)</f>
        <v>282631</v>
      </c>
      <c r="K32" s="37">
        <f>VLOOKUP($B32, '[2]Medicaid - Totals'!$A$4:$K$55, 5, FALSE)</f>
        <v>173555</v>
      </c>
      <c r="L32" s="18">
        <f>VLOOKUP($B32, '[3]raw_data (4)'!$A$5:$F$56, 5, FALSE)</f>
        <v>450223629.60000002</v>
      </c>
      <c r="M32" s="36">
        <f>VLOOKUP($A32, '[1]Medicaid - Totals'!$A$3:$K$54, 4, FALSE)</f>
        <v>1546191.49666464</v>
      </c>
      <c r="N32" s="36">
        <f>VLOOKUP($A32, '[1]Medicaid - Totals'!$A$3:$K$54, 9, FALSE)</f>
        <v>928555.11730325199</v>
      </c>
      <c r="O32" s="37">
        <f>VLOOKUP($B32, '[2]Medicaid - Totals'!$A$4:$K$55, 6, FALSE)</f>
        <v>48175</v>
      </c>
      <c r="P32" s="37">
        <f>VLOOKUP($B32, '[2]Medicaid - Totals'!$A$4:$K$55, 7, FALSE)</f>
        <v>40360</v>
      </c>
      <c r="Q32" s="18">
        <f>VLOOKUP($B32, '[3]raw_data (4)'!$A$5:$F$56, 4, FALSE)</f>
        <v>180683261.40000001</v>
      </c>
      <c r="R32" s="36">
        <f>VLOOKUP($A32, '[1]Medicaid - Totals'!$A$3:$K$54, 6, FALSE)</f>
        <v>96189.289492607102</v>
      </c>
      <c r="S32" s="36">
        <f>VLOOKUP($A32, '[1]Medicaid - Totals'!$A$3:$K$54, 11, FALSE)</f>
        <v>29076.579910278298</v>
      </c>
      <c r="T32" s="37">
        <f>VLOOKUP($B32, '[2]Medicaid - Totals'!$A$4:$K$55, 10, FALSE)</f>
        <v>73620</v>
      </c>
      <c r="U32" s="37">
        <f>VLOOKUP($B32, '[2]Medicaid - Totals'!$A$4:$K$55, 11, FALSE)</f>
        <v>27334</v>
      </c>
      <c r="V32" s="18">
        <f>VLOOKUP($B32, '[3]raw_data (4)'!$A$5:$F$56, 3, FALSE)</f>
        <v>595682232.20000005</v>
      </c>
      <c r="W32" s="36">
        <f>VLOOKUP($A32, '[1]Medicaid - Totals'!$A$3:$K$54, 5, FALSE)</f>
        <v>329180.06504130398</v>
      </c>
      <c r="X32" s="36">
        <f>VLOOKUP($A32, '[1]Medicaid - Totals'!$A$3:$K$54, 10, FALSE)</f>
        <v>194684.80977129901</v>
      </c>
      <c r="Y32" s="37">
        <f>VLOOKUP($B32, '[2]Medicaid - Totals'!$A$4:$K$55, 8, FALSE)</f>
        <v>24693</v>
      </c>
      <c r="Z32" s="37">
        <f>VLOOKUP($B32, '[2]Medicaid - Totals'!$A$4:$K$55, 9, FALSE)</f>
        <v>10869</v>
      </c>
      <c r="AA32" s="8">
        <f>VLOOKUP($B32, '[3]raw_data (4)'!$A$5:$F$56, 2, FALSE)</f>
        <v>220679004.80000001</v>
      </c>
    </row>
    <row r="33" spans="1:27" x14ac:dyDescent="0.25">
      <c r="A33" s="1" t="s">
        <v>66</v>
      </c>
      <c r="B33" s="31" t="s">
        <v>67</v>
      </c>
      <c r="C33" s="43">
        <f>VLOOKUP($A33, '[1]Medicaid - Totals'!$A$3:$K$54, 2, FALSE)</f>
        <v>1301366.75</v>
      </c>
      <c r="D33" s="36">
        <f>VLOOKUP($A33, '[1]Medicaid - Totals'!$A$3:$K$54, 7, FALSE)</f>
        <v>952690.08485782123</v>
      </c>
      <c r="E33" s="37">
        <f>VLOOKUP($B33, '[2]Medicaid - Totals'!$A$4:$K$55, 2, FALSE)</f>
        <v>228063</v>
      </c>
      <c r="F33" s="37">
        <f>VLOOKUP($B33, '[2]Medicaid - Totals'!$A$4:$K$55, 3, FALSE)</f>
        <v>128906</v>
      </c>
      <c r="G33" s="18">
        <f>VLOOKUP($B33, '[3]raw_data (4)'!$A$5:$F$56, 6, FALSE)</f>
        <v>1243969694</v>
      </c>
      <c r="H33" s="36">
        <f>VLOOKUP($A33, '[1]Medicaid - Totals'!$A$3:$K$54, 3, FALSE)</f>
        <v>295111.06505644298</v>
      </c>
      <c r="I33" s="36">
        <f>VLOOKUP($A33, '[1]Medicaid - Totals'!$A$3:$K$54, 8, FALSE)</f>
        <v>211017.04494607399</v>
      </c>
      <c r="J33" s="37">
        <f>VLOOKUP($B33, '[2]Medicaid - Totals'!$A$4:$K$55, 4, FALSE)</f>
        <v>86225</v>
      </c>
      <c r="K33" s="37">
        <f>VLOOKUP($B33, '[2]Medicaid - Totals'!$A$4:$K$55, 5, FALSE)</f>
        <v>89366</v>
      </c>
      <c r="L33" s="18">
        <f>VLOOKUP($B33, '[3]raw_data (4)'!$A$5:$F$56, 5, FALSE)</f>
        <v>326109186.19999999</v>
      </c>
      <c r="M33" s="36">
        <f>VLOOKUP($A33, '[1]Medicaid - Totals'!$A$3:$K$54, 4, FALSE)</f>
        <v>775062.19506192196</v>
      </c>
      <c r="N33" s="36">
        <f>VLOOKUP($A33, '[1]Medicaid - Totals'!$A$3:$K$54, 9, FALSE)</f>
        <v>617806.21522855805</v>
      </c>
      <c r="O33" s="37">
        <f>VLOOKUP($B33, '[2]Medicaid - Totals'!$A$4:$K$55, 6, FALSE)</f>
        <v>15037</v>
      </c>
      <c r="P33" s="37">
        <f>VLOOKUP($B33, '[2]Medicaid - Totals'!$A$4:$K$55, 7, FALSE)</f>
        <v>15863</v>
      </c>
      <c r="Q33" s="18">
        <f>VLOOKUP($B33, '[3]raw_data (4)'!$A$5:$F$56, 4, FALSE)</f>
        <v>83079829.719999999</v>
      </c>
      <c r="R33" s="36">
        <f>VLOOKUP($A33, '[1]Medicaid - Totals'!$A$3:$K$54, 6, FALSE)</f>
        <v>53935.609968662298</v>
      </c>
      <c r="S33" s="36">
        <f>VLOOKUP($A33, '[1]Medicaid - Totals'!$A$3:$K$54, 11, FALSE)</f>
        <v>20367.6600122452</v>
      </c>
      <c r="T33" s="37">
        <f>VLOOKUP($B33, '[2]Medicaid - Totals'!$A$4:$K$55, 10, FALSE)</f>
        <v>63040</v>
      </c>
      <c r="U33" s="37">
        <f>VLOOKUP($B33, '[2]Medicaid - Totals'!$A$4:$K$55, 11, FALSE)</f>
        <v>19276</v>
      </c>
      <c r="V33" s="18">
        <f>VLOOKUP($B33, '[3]raw_data (4)'!$A$5:$F$56, 3, FALSE)</f>
        <v>535765548.5</v>
      </c>
      <c r="W33" s="36">
        <f>VLOOKUP($A33, '[1]Medicaid - Totals'!$A$3:$K$54, 5, FALSE)</f>
        <v>177257.84462094301</v>
      </c>
      <c r="X33" s="36">
        <f>VLOOKUP($A33, '[1]Medicaid - Totals'!$A$3:$K$54, 10, FALSE)</f>
        <v>103499.164670944</v>
      </c>
      <c r="Y33" s="37">
        <f>VLOOKUP($B33, '[2]Medicaid - Totals'!$A$4:$K$55, 8, FALSE)</f>
        <v>63761</v>
      </c>
      <c r="Z33" s="37">
        <f>VLOOKUP($B33, '[2]Medicaid - Totals'!$A$4:$K$55, 9, FALSE)</f>
        <v>4401</v>
      </c>
      <c r="AA33" s="8">
        <f>VLOOKUP($B33, '[3]raw_data (4)'!$A$5:$F$56, 2, FALSE)</f>
        <v>299015129.60000002</v>
      </c>
    </row>
    <row r="34" spans="1:27" x14ac:dyDescent="0.25">
      <c r="A34" s="1" t="s">
        <v>68</v>
      </c>
      <c r="B34" s="31" t="s">
        <v>69</v>
      </c>
      <c r="C34" s="43">
        <f>VLOOKUP($A34, '[1]Medicaid - Totals'!$A$3:$K$54, 2, FALSE)</f>
        <v>8661772</v>
      </c>
      <c r="D34" s="36">
        <f>VLOOKUP($A34, '[1]Medicaid - Totals'!$A$3:$K$54, 7, FALSE)</f>
        <v>5826286.8986740075</v>
      </c>
      <c r="E34" s="37">
        <f>VLOOKUP($B34, '[2]Medicaid - Totals'!$A$4:$K$55, 2, FALSE)</f>
        <v>1576749</v>
      </c>
      <c r="F34" s="37">
        <f>VLOOKUP($B34, '[2]Medicaid - Totals'!$A$4:$K$55, 3, FALSE)</f>
        <v>1089830</v>
      </c>
      <c r="G34" s="18">
        <f>VLOOKUP($B34, '[3]raw_data (4)'!$A$5:$F$56, 6, FALSE)</f>
        <v>9221716097</v>
      </c>
      <c r="H34" s="36">
        <f>VLOOKUP($A34, '[1]Medicaid - Totals'!$A$3:$K$54, 3, FALSE)</f>
        <v>2129076.5588984499</v>
      </c>
      <c r="I34" s="36">
        <f>VLOOKUP($A34, '[1]Medicaid - Totals'!$A$3:$K$54, 8, FALSE)</f>
        <v>1328306.5494818699</v>
      </c>
      <c r="J34" s="37">
        <f>VLOOKUP($B34, '[2]Medicaid - Totals'!$A$4:$K$55, 4, FALSE)</f>
        <v>776478</v>
      </c>
      <c r="K34" s="37">
        <f>VLOOKUP($B34, '[2]Medicaid - Totals'!$A$4:$K$55, 5, FALSE)</f>
        <v>650520</v>
      </c>
      <c r="L34" s="18">
        <f>VLOOKUP($B34, '[3]raw_data (4)'!$A$5:$F$56, 5, FALSE)</f>
        <v>1697822583</v>
      </c>
      <c r="M34" s="36">
        <f>VLOOKUP($A34, '[1]Medicaid - Totals'!$A$3:$K$54, 4, FALSE)</f>
        <v>4983804.0587921096</v>
      </c>
      <c r="N34" s="36">
        <f>VLOOKUP($A34, '[1]Medicaid - Totals'!$A$3:$K$54, 9, FALSE)</f>
        <v>3660719.8186459499</v>
      </c>
      <c r="O34" s="37">
        <f>VLOOKUP($B34, '[2]Medicaid - Totals'!$A$4:$K$55, 6, FALSE)</f>
        <v>158630</v>
      </c>
      <c r="P34" s="37">
        <f>VLOOKUP($B34, '[2]Medicaid - Totals'!$A$4:$K$55, 7, FALSE)</f>
        <v>226599</v>
      </c>
      <c r="Q34" s="18">
        <f>VLOOKUP($B34, '[3]raw_data (4)'!$A$5:$F$56, 4, FALSE)</f>
        <v>737611733.89999998</v>
      </c>
      <c r="R34" s="36">
        <f>VLOOKUP($A34, '[1]Medicaid - Totals'!$A$3:$K$54, 6, FALSE)</f>
        <v>384283.04980087298</v>
      </c>
      <c r="S34" s="36">
        <f>VLOOKUP($A34, '[1]Medicaid - Totals'!$A$3:$K$54, 11, FALSE)</f>
        <v>139053.679870605</v>
      </c>
      <c r="T34" s="37">
        <f>VLOOKUP($B34, '[2]Medicaid - Totals'!$A$4:$K$55, 10, FALSE)</f>
        <v>397353</v>
      </c>
      <c r="U34" s="37">
        <f>VLOOKUP($B34, '[2]Medicaid - Totals'!$A$4:$K$55, 11, FALSE)</f>
        <v>132450</v>
      </c>
      <c r="V34" s="18">
        <f>VLOOKUP($B34, '[3]raw_data (4)'!$A$5:$F$56, 3, FALSE)</f>
        <v>4056615234</v>
      </c>
      <c r="W34" s="36">
        <f>VLOOKUP($A34, '[1]Medicaid - Totals'!$A$3:$K$54, 5, FALSE)</f>
        <v>1164608.3486537901</v>
      </c>
      <c r="X34" s="36">
        <f>VLOOKUP($A34, '[1]Medicaid - Totals'!$A$3:$K$54, 10, FALSE)</f>
        <v>698206.850675583</v>
      </c>
      <c r="Y34" s="37">
        <f>VLOOKUP($B34, '[2]Medicaid - Totals'!$A$4:$K$55, 8, FALSE)</f>
        <v>244288</v>
      </c>
      <c r="Z34" s="37">
        <f>VLOOKUP($B34, '[2]Medicaid - Totals'!$A$4:$K$55, 9, FALSE)</f>
        <v>80261</v>
      </c>
      <c r="AA34" s="8">
        <f>VLOOKUP($B34, '[3]raw_data (4)'!$A$5:$F$56, 2, FALSE)</f>
        <v>2729666547</v>
      </c>
    </row>
    <row r="35" spans="1:27" x14ac:dyDescent="0.25">
      <c r="A35" s="1" t="s">
        <v>70</v>
      </c>
      <c r="B35" s="31" t="s">
        <v>71</v>
      </c>
      <c r="C35" s="43">
        <f>VLOOKUP($A35, '[1]Medicaid - Totals'!$A$3:$K$54, 2, FALSE)</f>
        <v>2026684.125</v>
      </c>
      <c r="D35" s="36">
        <f>VLOOKUP($A35, '[1]Medicaid - Totals'!$A$3:$K$54, 7, FALSE)</f>
        <v>995764.68444728933</v>
      </c>
      <c r="E35" s="37">
        <f>VLOOKUP($B35, '[2]Medicaid - Totals'!$A$4:$K$55, 2, FALSE)</f>
        <v>482049</v>
      </c>
      <c r="F35" s="37">
        <f>VLOOKUP($B35, '[2]Medicaid - Totals'!$A$4:$K$55, 3, FALSE)</f>
        <v>441880</v>
      </c>
      <c r="G35" s="18">
        <f>VLOOKUP($B35, '[3]raw_data (4)'!$A$5:$F$56, 6, FALSE)</f>
        <v>3286396184</v>
      </c>
      <c r="H35" s="36">
        <f>VLOOKUP($A35, '[1]Medicaid - Totals'!$A$3:$K$54, 3, FALSE)</f>
        <v>526454.87493491196</v>
      </c>
      <c r="I35" s="36">
        <f>VLOOKUP($A35, '[1]Medicaid - Totals'!$A$3:$K$54, 8, FALSE)</f>
        <v>205365.609765053</v>
      </c>
      <c r="J35" s="37">
        <f>VLOOKUP($B35, '[2]Medicaid - Totals'!$A$4:$K$55, 4, FALSE)</f>
        <v>301781</v>
      </c>
      <c r="K35" s="37">
        <f>VLOOKUP($B35, '[2]Medicaid - Totals'!$A$4:$K$55, 5, FALSE)</f>
        <v>309986</v>
      </c>
      <c r="L35" s="18">
        <f>VLOOKUP($B35, '[3]raw_data (4)'!$A$5:$F$56, 5, FALSE)</f>
        <v>1548571721</v>
      </c>
      <c r="M35" s="36">
        <f>VLOOKUP($A35, '[1]Medicaid - Totals'!$A$3:$K$54, 4, FALSE)</f>
        <v>1082455.10967207</v>
      </c>
      <c r="N35" s="36">
        <f>VLOOKUP($A35, '[1]Medicaid - Totals'!$A$3:$K$54, 9, FALSE)</f>
        <v>611273.26933860802</v>
      </c>
      <c r="O35" s="37">
        <f>VLOOKUP($B35, '[2]Medicaid - Totals'!$A$4:$K$55, 6, FALSE)</f>
        <v>59455</v>
      </c>
      <c r="P35" s="37">
        <f>VLOOKUP($B35, '[2]Medicaid - Totals'!$A$4:$K$55, 7, FALSE)</f>
        <v>60403</v>
      </c>
      <c r="Q35" s="18">
        <f>VLOOKUP($B35, '[3]raw_data (4)'!$A$5:$F$56, 4, FALSE)</f>
        <v>629433578.70000005</v>
      </c>
      <c r="R35" s="36">
        <f>VLOOKUP($A35, '[1]Medicaid - Totals'!$A$3:$K$54, 6, FALSE)</f>
        <v>118864.689851761</v>
      </c>
      <c r="S35" s="36">
        <f>VLOOKUP($A35, '[1]Medicaid - Totals'!$A$3:$K$54, 11, FALSE)</f>
        <v>21312.364852905299</v>
      </c>
      <c r="T35" s="37">
        <f>VLOOKUP($B35, '[2]Medicaid - Totals'!$A$4:$K$55, 10, FALSE)</f>
        <v>106033</v>
      </c>
      <c r="U35" s="37">
        <f>VLOOKUP($B35, '[2]Medicaid - Totals'!$A$4:$K$55, 11, FALSE)</f>
        <v>49764</v>
      </c>
      <c r="V35" s="18">
        <f>VLOOKUP($B35, '[3]raw_data (4)'!$A$5:$F$56, 3, FALSE)</f>
        <v>1035142163</v>
      </c>
      <c r="W35" s="36">
        <f>VLOOKUP($A35, '[1]Medicaid - Totals'!$A$3:$K$54, 5, FALSE)</f>
        <v>298909.49041748</v>
      </c>
      <c r="X35" s="36">
        <f>VLOOKUP($A35, '[1]Medicaid - Totals'!$A$3:$K$54, 10, FALSE)</f>
        <v>157813.44049072301</v>
      </c>
      <c r="Y35" s="37">
        <f>VLOOKUP($B35, '[2]Medicaid - Totals'!$A$4:$K$55, 8, FALSE)</f>
        <v>14780</v>
      </c>
      <c r="Z35" s="37">
        <f>VLOOKUP($B35, '[2]Medicaid - Totals'!$A$4:$K$55, 9, FALSE)</f>
        <v>21727</v>
      </c>
      <c r="AA35" s="8" t="str">
        <f>VLOOKUP($B35, '[3]raw_data (4)'!$A$5:$F$56, 2, FALSE)</f>
        <v>N/A</v>
      </c>
    </row>
    <row r="36" spans="1:27" x14ac:dyDescent="0.25">
      <c r="A36" s="1" t="s">
        <v>72</v>
      </c>
      <c r="B36" s="31" t="s">
        <v>73</v>
      </c>
      <c r="C36" s="43">
        <f>VLOOKUP($A36, '[1]Medicaid - Totals'!$A$3:$K$54, 2, FALSE)</f>
        <v>19314646</v>
      </c>
      <c r="D36" s="36">
        <f>VLOOKUP($A36, '[1]Medicaid - Totals'!$A$3:$K$54, 7, FALSE)</f>
        <v>11286396.02544928</v>
      </c>
      <c r="E36" s="37">
        <f>VLOOKUP($B36, '[2]Medicaid - Totals'!$A$4:$K$55, 2, FALSE)</f>
        <v>6846216</v>
      </c>
      <c r="F36" s="37">
        <f>VLOOKUP($B36, '[2]Medicaid - Totals'!$A$4:$K$55, 3, FALSE)</f>
        <v>4263194</v>
      </c>
      <c r="G36" s="18">
        <f>VLOOKUP($B36, '[3]raw_data (4)'!$A$5:$F$56, 6, FALSE)</f>
        <v>51788041221</v>
      </c>
      <c r="H36" s="36">
        <f>VLOOKUP($A36, '[1]Medicaid - Totals'!$A$3:$K$54, 3, FALSE)</f>
        <v>4520010.1004781704</v>
      </c>
      <c r="I36" s="36">
        <f>VLOOKUP($A36, '[1]Medicaid - Totals'!$A$3:$K$54, 8, FALSE)</f>
        <v>2241171.5854439698</v>
      </c>
      <c r="J36" s="37">
        <f>VLOOKUP($B36, '[2]Medicaid - Totals'!$A$4:$K$55, 4, FALSE)</f>
        <v>2415201</v>
      </c>
      <c r="K36" s="37">
        <f>VLOOKUP($B36, '[2]Medicaid - Totals'!$A$4:$K$55, 5, FALSE)</f>
        <v>2067129</v>
      </c>
      <c r="L36" s="18">
        <f>VLOOKUP($B36, '[3]raw_data (4)'!$A$5:$F$56, 5, FALSE)</f>
        <v>5675343013</v>
      </c>
      <c r="M36" s="36">
        <f>VLOOKUP($A36, '[1]Medicaid - Totals'!$A$3:$K$54, 4, FALSE)</f>
        <v>11121686.481300799</v>
      </c>
      <c r="N36" s="36">
        <f>VLOOKUP($A36, '[1]Medicaid - Totals'!$A$3:$K$54, 9, FALSE)</f>
        <v>7344754.6224088697</v>
      </c>
      <c r="O36" s="37">
        <f>VLOOKUP($B36, '[2]Medicaid - Totals'!$A$4:$K$55, 6, FALSE)</f>
        <v>1654240</v>
      </c>
      <c r="P36" s="37">
        <f>VLOOKUP($B36, '[2]Medicaid - Totals'!$A$4:$K$55, 7, FALSE)</f>
        <v>1256550</v>
      </c>
      <c r="Q36" s="18">
        <f>VLOOKUP($B36, '[3]raw_data (4)'!$A$5:$F$56, 4, FALSE)</f>
        <v>10615698681</v>
      </c>
      <c r="R36" s="36">
        <f>VLOOKUP($A36, '[1]Medicaid - Totals'!$A$3:$K$54, 6, FALSE)</f>
        <v>1094296.8678369501</v>
      </c>
      <c r="S36" s="36">
        <f>VLOOKUP($A36, '[1]Medicaid - Totals'!$A$3:$K$54, 11, FALSE)</f>
        <v>295948.97360611003</v>
      </c>
      <c r="T36" s="37">
        <f>VLOOKUP($B36, '[2]Medicaid - Totals'!$A$4:$K$55, 10, FALSE)</f>
        <v>1478505</v>
      </c>
      <c r="U36" s="37">
        <f>VLOOKUP($B36, '[2]Medicaid - Totals'!$A$4:$K$55, 11, FALSE)</f>
        <v>569515</v>
      </c>
      <c r="V36" s="18">
        <f>VLOOKUP($B36, '[3]raw_data (4)'!$A$5:$F$56, 3, FALSE)</f>
        <v>21564720489</v>
      </c>
      <c r="W36" s="36">
        <f>VLOOKUP($A36, '[1]Medicaid - Totals'!$A$3:$K$54, 5, FALSE)</f>
        <v>2578653.1257600798</v>
      </c>
      <c r="X36" s="36">
        <f>VLOOKUP($A36, '[1]Medicaid - Totals'!$A$3:$K$54, 10, FALSE)</f>
        <v>1404520.8439903299</v>
      </c>
      <c r="Y36" s="37">
        <f>VLOOKUP($B36, '[2]Medicaid - Totals'!$A$4:$K$55, 8, FALSE)</f>
        <v>1298270</v>
      </c>
      <c r="Z36" s="37">
        <f>VLOOKUP($B36, '[2]Medicaid - Totals'!$A$4:$K$55, 9, FALSE)</f>
        <v>370000</v>
      </c>
      <c r="AA36" s="8">
        <f>VLOOKUP($B36, '[3]raw_data (4)'!$A$5:$F$56, 2, FALSE)</f>
        <v>13932279038</v>
      </c>
    </row>
    <row r="37" spans="1:27" x14ac:dyDescent="0.25">
      <c r="A37" s="1" t="s">
        <v>74</v>
      </c>
      <c r="B37" s="31" t="s">
        <v>75</v>
      </c>
      <c r="C37" s="43">
        <f>VLOOKUP($A37, '[1]Medicaid - Totals'!$A$3:$K$54, 2, FALSE)</f>
        <v>9376616</v>
      </c>
      <c r="D37" s="36">
        <f>VLOOKUP($A37, '[1]Medicaid - Totals'!$A$3:$K$54, 7, FALSE)</f>
        <v>5098422.231726639</v>
      </c>
      <c r="E37" s="37">
        <f>VLOOKUP($B37, '[2]Medicaid - Totals'!$A$4:$K$55, 2, FALSE)</f>
        <v>2330848</v>
      </c>
      <c r="F37" s="37">
        <f>VLOOKUP($B37, '[2]Medicaid - Totals'!$A$4:$K$55, 3, FALSE)</f>
        <v>1461915</v>
      </c>
      <c r="G37" s="18">
        <f>VLOOKUP($B37, '[3]raw_data (4)'!$A$5:$F$56, 6, FALSE)</f>
        <v>10211202177</v>
      </c>
      <c r="H37" s="36">
        <f>VLOOKUP($A37, '[1]Medicaid - Totals'!$A$3:$K$54, 3, FALSE)</f>
        <v>2386848.1349873501</v>
      </c>
      <c r="I37" s="36">
        <f>VLOOKUP($A37, '[1]Medicaid - Totals'!$A$3:$K$54, 8, FALSE)</f>
        <v>1051568.48368549</v>
      </c>
      <c r="J37" s="37">
        <f>VLOOKUP($B37, '[2]Medicaid - Totals'!$A$4:$K$55, 4, FALSE)</f>
        <v>1166785</v>
      </c>
      <c r="K37" s="37">
        <f>VLOOKUP($B37, '[2]Medicaid - Totals'!$A$4:$K$55, 5, FALSE)</f>
        <v>934738</v>
      </c>
      <c r="L37" s="18">
        <f>VLOOKUP($B37, '[3]raw_data (4)'!$A$5:$F$56, 5, FALSE)</f>
        <v>2435055760</v>
      </c>
      <c r="M37" s="36">
        <f>VLOOKUP($A37, '[1]Medicaid - Totals'!$A$3:$K$54, 4, FALSE)</f>
        <v>5206733.3570213299</v>
      </c>
      <c r="N37" s="36">
        <f>VLOOKUP($A37, '[1]Medicaid - Totals'!$A$3:$K$54, 9, FALSE)</f>
        <v>3279977.43187141</v>
      </c>
      <c r="O37" s="37">
        <f>VLOOKUP($B37, '[2]Medicaid - Totals'!$A$4:$K$55, 6, FALSE)</f>
        <v>375889</v>
      </c>
      <c r="P37" s="37">
        <f>VLOOKUP($B37, '[2]Medicaid - Totals'!$A$4:$K$55, 7, FALSE)</f>
        <v>185778</v>
      </c>
      <c r="Q37" s="18">
        <f>VLOOKUP($B37, '[3]raw_data (4)'!$A$5:$F$56, 4, FALSE)</f>
        <v>1445985056</v>
      </c>
      <c r="R37" s="36">
        <f>VLOOKUP($A37, '[1]Medicaid - Totals'!$A$3:$K$54, 6, FALSE)</f>
        <v>554219.19531631505</v>
      </c>
      <c r="S37" s="36">
        <f>VLOOKUP($A37, '[1]Medicaid - Totals'!$A$3:$K$54, 11, FALSE)</f>
        <v>133662.62046050999</v>
      </c>
      <c r="T37" s="37">
        <f>VLOOKUP($B37, '[2]Medicaid - Totals'!$A$4:$K$55, 10, FALSE)</f>
        <v>606547</v>
      </c>
      <c r="U37" s="37">
        <f>VLOOKUP($B37, '[2]Medicaid - Totals'!$A$4:$K$55, 11, FALSE)</f>
        <v>242554</v>
      </c>
      <c r="V37" s="18">
        <f>VLOOKUP($B37, '[3]raw_data (4)'!$A$5:$F$56, 3, FALSE)</f>
        <v>4615533230</v>
      </c>
      <c r="W37" s="36">
        <f>VLOOKUP($A37, '[1]Medicaid - Totals'!$A$3:$K$54, 5, FALSE)</f>
        <v>1228814.9411086999</v>
      </c>
      <c r="X37" s="36">
        <f>VLOOKUP($A37, '[1]Medicaid - Totals'!$A$3:$K$54, 10, FALSE)</f>
        <v>633213.69570922898</v>
      </c>
      <c r="Y37" s="37">
        <f>VLOOKUP($B37, '[2]Medicaid - Totals'!$A$4:$K$55, 8, FALSE)</f>
        <v>181627</v>
      </c>
      <c r="Z37" s="37">
        <f>VLOOKUP($B37, '[2]Medicaid - Totals'!$A$4:$K$55, 9, FALSE)</f>
        <v>98845</v>
      </c>
      <c r="AA37" s="8">
        <f>VLOOKUP($B37, '[3]raw_data (4)'!$A$5:$F$56, 2, FALSE)</f>
        <v>1714628132</v>
      </c>
    </row>
    <row r="38" spans="1:27" x14ac:dyDescent="0.25">
      <c r="A38" s="1" t="s">
        <v>76</v>
      </c>
      <c r="B38" s="31" t="s">
        <v>77</v>
      </c>
      <c r="C38" s="43">
        <f>VLOOKUP($A38, '[1]Medicaid - Totals'!$A$3:$K$54, 2, FALSE)</f>
        <v>654970.9375</v>
      </c>
      <c r="D38" s="36">
        <f>VLOOKUP($A38, '[1]Medicaid - Totals'!$A$3:$K$54, 7, FALSE)</f>
        <v>430014.71042376745</v>
      </c>
      <c r="E38" s="37">
        <f>VLOOKUP($B38, '[2]Medicaid - Totals'!$A$4:$K$55, 2, FALSE)</f>
        <v>104491</v>
      </c>
      <c r="F38" s="37">
        <f>VLOOKUP($B38, '[2]Medicaid - Totals'!$A$4:$K$55, 3, FALSE)</f>
        <v>61180</v>
      </c>
      <c r="G38" s="18">
        <f>VLOOKUP($B38, '[3]raw_data (4)'!$A$5:$F$56, 6, FALSE)</f>
        <v>713793830</v>
      </c>
      <c r="H38" s="36">
        <f>VLOOKUP($A38, '[1]Medicaid - Totals'!$A$3:$K$54, 3, FALSE)</f>
        <v>157711.575065315</v>
      </c>
      <c r="I38" s="36">
        <f>VLOOKUP($A38, '[1]Medicaid - Totals'!$A$3:$K$54, 8, FALSE)</f>
        <v>98552.995014846296</v>
      </c>
      <c r="J38" s="37">
        <f>VLOOKUP($B38, '[2]Medicaid - Totals'!$A$4:$K$55, 4, FALSE)</f>
        <v>47827</v>
      </c>
      <c r="K38" s="37">
        <f>VLOOKUP($B38, '[2]Medicaid - Totals'!$A$4:$K$55, 5, FALSE)</f>
        <v>39334</v>
      </c>
      <c r="L38" s="18">
        <f>VLOOKUP($B38, '[3]raw_data (4)'!$A$5:$F$56, 5, FALSE)</f>
        <v>116281415.40000001</v>
      </c>
      <c r="M38" s="36">
        <f>VLOOKUP($A38, '[1]Medicaid - Totals'!$A$3:$K$54, 4, FALSE)</f>
        <v>392221.96047872299</v>
      </c>
      <c r="N38" s="36">
        <f>VLOOKUP($A38, '[1]Medicaid - Totals'!$A$3:$K$54, 9, FALSE)</f>
        <v>279171.62541639799</v>
      </c>
      <c r="O38" s="37">
        <f>VLOOKUP($B38, '[2]Medicaid - Totals'!$A$4:$K$55, 6, FALSE)</f>
        <v>19161</v>
      </c>
      <c r="P38" s="37">
        <f>VLOOKUP($B38, '[2]Medicaid - Totals'!$A$4:$K$55, 7, FALSE)</f>
        <v>11204</v>
      </c>
      <c r="Q38" s="18">
        <f>VLOOKUP($B38, '[3]raw_data (4)'!$A$5:$F$56, 4, FALSE)</f>
        <v>66106824</v>
      </c>
      <c r="R38" s="36">
        <f>VLOOKUP($A38, '[1]Medicaid - Totals'!$A$3:$K$54, 6, FALSE)</f>
        <v>17995.550075054201</v>
      </c>
      <c r="S38" s="36">
        <f>VLOOKUP($A38, '[1]Medicaid - Totals'!$A$3:$K$54, 11, FALSE)</f>
        <v>4946.6700363159198</v>
      </c>
      <c r="T38" s="37">
        <f>VLOOKUP($B38, '[2]Medicaid - Totals'!$A$4:$K$55, 10, FALSE)</f>
        <v>19920</v>
      </c>
      <c r="U38" s="37">
        <f>VLOOKUP($B38, '[2]Medicaid - Totals'!$A$4:$K$55, 11, FALSE)</f>
        <v>7990</v>
      </c>
      <c r="V38" s="18">
        <f>VLOOKUP($B38, '[3]raw_data (4)'!$A$5:$F$56, 3, FALSE)</f>
        <v>305429273.39999998</v>
      </c>
      <c r="W38" s="36">
        <f>VLOOKUP($A38, '[1]Medicaid - Totals'!$A$3:$K$54, 5, FALSE)</f>
        <v>87041.834972381606</v>
      </c>
      <c r="X38" s="36">
        <f>VLOOKUP($A38, '[1]Medicaid - Totals'!$A$3:$K$54, 10, FALSE)</f>
        <v>47343.419956207297</v>
      </c>
      <c r="Y38" s="37">
        <f>VLOOKUP($B38, '[2]Medicaid - Totals'!$A$4:$K$55, 8, FALSE)</f>
        <v>17583</v>
      </c>
      <c r="Z38" s="37">
        <f>VLOOKUP($B38, '[2]Medicaid - Totals'!$A$4:$K$55, 9, FALSE)</f>
        <v>2652</v>
      </c>
      <c r="AA38" s="8">
        <f>VLOOKUP($B38, '[3]raw_data (4)'!$A$5:$F$56, 2, FALSE)</f>
        <v>225976317.19999999</v>
      </c>
    </row>
    <row r="39" spans="1:27" x14ac:dyDescent="0.25">
      <c r="A39" s="1" t="s">
        <v>78</v>
      </c>
      <c r="B39" s="31" t="s">
        <v>79</v>
      </c>
      <c r="C39" s="43">
        <f>VLOOKUP($A39, '[1]Medicaid - Totals'!$A$3:$K$54, 2, FALSE)</f>
        <v>11334251</v>
      </c>
      <c r="D39" s="36">
        <f>VLOOKUP($A39, '[1]Medicaid - Totals'!$A$3:$K$54, 7, FALSE)</f>
        <v>6406586.3920488432</v>
      </c>
      <c r="E39" s="37">
        <f>VLOOKUP($B39, '[2]Medicaid - Totals'!$A$4:$K$55, 2, FALSE)</f>
        <v>2087020</v>
      </c>
      <c r="F39" s="37">
        <f>VLOOKUP($B39, '[2]Medicaid - Totals'!$A$4:$K$55, 3, FALSE)</f>
        <v>1893717</v>
      </c>
      <c r="G39" s="18">
        <f>VLOOKUP($B39, '[3]raw_data (4)'!$A$5:$F$56, 6, FALSE)</f>
        <v>15405556893</v>
      </c>
      <c r="H39" s="36">
        <f>VLOOKUP($A39, '[1]Medicaid - Totals'!$A$3:$K$54, 3, FALSE)</f>
        <v>2763683.59237719</v>
      </c>
      <c r="I39" s="36">
        <f>VLOOKUP($A39, '[1]Medicaid - Totals'!$A$3:$K$54, 8, FALSE)</f>
        <v>1300785.7229690601</v>
      </c>
      <c r="J39" s="37">
        <f>VLOOKUP($B39, '[2]Medicaid - Totals'!$A$4:$K$55, 4, FALSE)</f>
        <v>1161113</v>
      </c>
      <c r="K39" s="37">
        <f>VLOOKUP($B39, '[2]Medicaid - Totals'!$A$4:$K$55, 5, FALSE)</f>
        <v>1120965</v>
      </c>
      <c r="L39" s="18">
        <f>VLOOKUP($B39, '[3]raw_data (4)'!$A$5:$F$56, 5, FALSE)</f>
        <v>2384661860</v>
      </c>
      <c r="M39" s="36">
        <f>VLOOKUP($A39, '[1]Medicaid - Totals'!$A$3:$K$54, 4, FALSE)</f>
        <v>6340496.6777157802</v>
      </c>
      <c r="N39" s="36">
        <f>VLOOKUP($A39, '[1]Medicaid - Totals'!$A$3:$K$54, 9, FALSE)</f>
        <v>4121991.3888673801</v>
      </c>
      <c r="O39" s="37">
        <f>VLOOKUP($B39, '[2]Medicaid - Totals'!$A$4:$K$55, 6, FALSE)</f>
        <v>377440</v>
      </c>
      <c r="P39" s="37">
        <f>VLOOKUP($B39, '[2]Medicaid - Totals'!$A$4:$K$55, 7, FALSE)</f>
        <v>442217</v>
      </c>
      <c r="Q39" s="18">
        <f>VLOOKUP($B39, '[3]raw_data (4)'!$A$5:$F$56, 4, FALSE)</f>
        <v>2341590458</v>
      </c>
      <c r="R39" s="36">
        <f>VLOOKUP($A39, '[1]Medicaid - Totals'!$A$3:$K$54, 6, FALSE)</f>
        <v>648659.87492609001</v>
      </c>
      <c r="S39" s="36">
        <f>VLOOKUP($A39, '[1]Medicaid - Totals'!$A$3:$K$54, 11, FALSE)</f>
        <v>156524.424514771</v>
      </c>
      <c r="T39" s="37">
        <f>VLOOKUP($B39, '[2]Medicaid - Totals'!$A$4:$K$55, 10, FALSE)</f>
        <v>529509</v>
      </c>
      <c r="U39" s="37">
        <f>VLOOKUP($B39, '[2]Medicaid - Totals'!$A$4:$K$55, 11, FALSE)</f>
        <v>269782</v>
      </c>
      <c r="V39" s="18">
        <f>VLOOKUP($B39, '[3]raw_data (4)'!$A$5:$F$56, 3, FALSE)</f>
        <v>7110288566</v>
      </c>
      <c r="W39" s="36">
        <f>VLOOKUP($A39, '[1]Medicaid - Totals'!$A$3:$K$54, 5, FALSE)</f>
        <v>1581410.82157898</v>
      </c>
      <c r="X39" s="36">
        <f>VLOOKUP($A39, '[1]Medicaid - Totals'!$A$3:$K$54, 10, FALSE)</f>
        <v>827284.85569763195</v>
      </c>
      <c r="Y39" s="37">
        <f>VLOOKUP($B39, '[2]Medicaid - Totals'!$A$4:$K$55, 8, FALSE)</f>
        <v>18958</v>
      </c>
      <c r="Z39" s="37">
        <f>VLOOKUP($B39, '[2]Medicaid - Totals'!$A$4:$K$55, 9, FALSE)</f>
        <v>60753</v>
      </c>
      <c r="AA39" s="8">
        <f>VLOOKUP($B39, '[3]raw_data (4)'!$A$5:$F$56, 2, FALSE)</f>
        <v>3569016010</v>
      </c>
    </row>
    <row r="40" spans="1:27" x14ac:dyDescent="0.25">
      <c r="A40" s="1" t="s">
        <v>80</v>
      </c>
      <c r="B40" s="31" t="s">
        <v>81</v>
      </c>
      <c r="C40" s="43">
        <f>VLOOKUP($A40, '[1]Medicaid - Totals'!$A$3:$K$54, 2, FALSE)</f>
        <v>3720317.5</v>
      </c>
      <c r="D40" s="36">
        <f>VLOOKUP($A40, '[1]Medicaid - Totals'!$A$3:$K$54, 7, FALSE)</f>
        <v>2043630.2145366694</v>
      </c>
      <c r="E40" s="37">
        <f>VLOOKUP($B40, '[2]Medicaid - Totals'!$A$4:$K$55, 2, FALSE)</f>
        <v>790071</v>
      </c>
      <c r="F40" s="37">
        <f>VLOOKUP($B40, '[2]Medicaid - Totals'!$A$4:$K$55, 3, FALSE)</f>
        <v>640504</v>
      </c>
      <c r="G40" s="18">
        <f>VLOOKUP($B40, '[3]raw_data (4)'!$A$5:$F$56, 6, FALSE)</f>
        <v>4230970590</v>
      </c>
      <c r="H40" s="36">
        <f>VLOOKUP($A40, '[1]Medicaid - Totals'!$A$3:$K$54, 3, FALSE)</f>
        <v>965605.75990438496</v>
      </c>
      <c r="I40" s="36">
        <f>VLOOKUP($A40, '[1]Medicaid - Totals'!$A$3:$K$54, 8, FALSE)</f>
        <v>424587.79497337301</v>
      </c>
      <c r="J40" s="37">
        <f>VLOOKUP($B40, '[2]Medicaid - Totals'!$A$4:$K$55, 4, FALSE)</f>
        <v>437586</v>
      </c>
      <c r="K40" s="37">
        <f>VLOOKUP($B40, '[2]Medicaid - Totals'!$A$4:$K$55, 5, FALSE)</f>
        <v>428700</v>
      </c>
      <c r="L40" s="18">
        <f>VLOOKUP($B40, '[3]raw_data (4)'!$A$5:$F$56, 5, FALSE)</f>
        <v>1271469083</v>
      </c>
      <c r="M40" s="36">
        <f>VLOOKUP($A40, '[1]Medicaid - Totals'!$A$3:$K$54, 4, FALSE)</f>
        <v>2017206.50960779</v>
      </c>
      <c r="N40" s="36">
        <f>VLOOKUP($A40, '[1]Medicaid - Totals'!$A$3:$K$54, 9, FALSE)</f>
        <v>1268331.6192398099</v>
      </c>
      <c r="O40" s="37">
        <f>VLOOKUP($B40, '[2]Medicaid - Totals'!$A$4:$K$55, 6, FALSE)</f>
        <v>83213</v>
      </c>
      <c r="P40" s="37">
        <f>VLOOKUP($B40, '[2]Medicaid - Totals'!$A$4:$K$55, 7, FALSE)</f>
        <v>83900</v>
      </c>
      <c r="Q40" s="18">
        <f>VLOOKUP($B40, '[3]raw_data (4)'!$A$5:$F$56, 4, FALSE)</f>
        <v>562581444.79999995</v>
      </c>
      <c r="R40" s="36">
        <f>VLOOKUP($A40, '[1]Medicaid - Totals'!$A$3:$K$54, 6, FALSE)</f>
        <v>214861.15943145801</v>
      </c>
      <c r="S40" s="36">
        <f>VLOOKUP($A40, '[1]Medicaid - Totals'!$A$3:$K$54, 11, FALSE)</f>
        <v>59838.284645080603</v>
      </c>
      <c r="T40" s="37">
        <f>VLOOKUP($B40, '[2]Medicaid - Totals'!$A$4:$K$55, 10, FALSE)</f>
        <v>223227</v>
      </c>
      <c r="U40" s="37">
        <f>VLOOKUP($B40, '[2]Medicaid - Totals'!$A$4:$K$55, 11, FALSE)</f>
        <v>92839</v>
      </c>
      <c r="V40" s="18">
        <f>VLOOKUP($B40, '[3]raw_data (4)'!$A$5:$F$56, 3, FALSE)</f>
        <v>1736341157</v>
      </c>
      <c r="W40" s="36">
        <f>VLOOKUP($A40, '[1]Medicaid - Totals'!$A$3:$K$54, 5, FALSE)</f>
        <v>522644.04165649402</v>
      </c>
      <c r="X40" s="36">
        <f>VLOOKUP($A40, '[1]Medicaid - Totals'!$A$3:$K$54, 10, FALSE)</f>
        <v>290872.51567840599</v>
      </c>
      <c r="Y40" s="37">
        <f>VLOOKUP($B40, '[2]Medicaid - Totals'!$A$4:$K$55, 8, FALSE)</f>
        <v>46045</v>
      </c>
      <c r="Z40" s="37">
        <f>VLOOKUP($B40, '[2]Medicaid - Totals'!$A$4:$K$55, 9, FALSE)</f>
        <v>35065</v>
      </c>
      <c r="AA40" s="8">
        <f>VLOOKUP($B40, '[3]raw_data (4)'!$A$5:$F$56, 2, FALSE)</f>
        <v>660578905.39999998</v>
      </c>
    </row>
    <row r="41" spans="1:27" x14ac:dyDescent="0.25">
      <c r="A41" s="1" t="s">
        <v>82</v>
      </c>
      <c r="B41" s="31" t="s">
        <v>83</v>
      </c>
      <c r="C41" s="43">
        <f>VLOOKUP($A41, '[1]Medicaid - Totals'!$A$3:$K$54, 2, FALSE)</f>
        <v>3816614.25</v>
      </c>
      <c r="D41" s="36">
        <f>VLOOKUP($A41, '[1]Medicaid - Totals'!$A$3:$K$54, 7, FALSE)</f>
        <v>2197973.0566444425</v>
      </c>
      <c r="E41" s="37">
        <f>VLOOKUP($B41, '[2]Medicaid - Totals'!$A$4:$K$55, 2, FALSE)</f>
        <v>641558</v>
      </c>
      <c r="F41" s="37">
        <f>VLOOKUP($B41, '[2]Medicaid - Totals'!$A$4:$K$55, 3, FALSE)</f>
        <v>475351</v>
      </c>
      <c r="G41" s="18">
        <f>VLOOKUP($B41, '[3]raw_data (4)'!$A$5:$F$56, 6, FALSE)</f>
        <v>4309859291</v>
      </c>
      <c r="H41" s="36">
        <f>VLOOKUP($A41, '[1]Medicaid - Totals'!$A$3:$K$54, 3, FALSE)</f>
        <v>891733.94478702499</v>
      </c>
      <c r="I41" s="36">
        <f>VLOOKUP($A41, '[1]Medicaid - Totals'!$A$3:$K$54, 8, FALSE)</f>
        <v>421667.49958705902</v>
      </c>
      <c r="J41" s="37">
        <f>VLOOKUP($B41, '[2]Medicaid - Totals'!$A$4:$K$55, 4, FALSE)</f>
        <v>380950</v>
      </c>
      <c r="K41" s="37">
        <f>VLOOKUP($B41, '[2]Medicaid - Totals'!$A$4:$K$55, 5, FALSE)</f>
        <v>310395</v>
      </c>
      <c r="L41" s="18">
        <f>VLOOKUP($B41, '[3]raw_data (4)'!$A$5:$F$56, 5, FALSE)</f>
        <v>719663923.29999995</v>
      </c>
      <c r="M41" s="36">
        <f>VLOOKUP($A41, '[1]Medicaid - Totals'!$A$3:$K$54, 4, FALSE)</f>
        <v>2207180.1099138302</v>
      </c>
      <c r="N41" s="36">
        <f>VLOOKUP($A41, '[1]Medicaid - Totals'!$A$3:$K$54, 9, FALSE)</f>
        <v>1384388.8260374099</v>
      </c>
      <c r="O41" s="37">
        <f>VLOOKUP($B41, '[2]Medicaid - Totals'!$A$4:$K$55, 6, FALSE)</f>
        <v>101585</v>
      </c>
      <c r="P41" s="37">
        <f>VLOOKUP($B41, '[2]Medicaid - Totals'!$A$4:$K$55, 7, FALSE)</f>
        <v>66119</v>
      </c>
      <c r="Q41" s="18">
        <f>VLOOKUP($B41, '[3]raw_data (4)'!$A$5:$F$56, 4, FALSE)</f>
        <v>1064247248</v>
      </c>
      <c r="R41" s="36">
        <f>VLOOKUP($A41, '[1]Medicaid - Totals'!$A$3:$K$54, 6, FALSE)</f>
        <v>178788.29023122799</v>
      </c>
      <c r="S41" s="36">
        <f>VLOOKUP($A41, '[1]Medicaid - Totals'!$A$3:$K$54, 11, FALSE)</f>
        <v>56608.279907226599</v>
      </c>
      <c r="T41" s="37">
        <f>VLOOKUP($B41, '[2]Medicaid - Totals'!$A$4:$K$55, 10, FALSE)</f>
        <v>137697</v>
      </c>
      <c r="U41" s="37">
        <f>VLOOKUP($B41, '[2]Medicaid - Totals'!$A$4:$K$55, 11, FALSE)</f>
        <v>70923</v>
      </c>
      <c r="V41" s="18">
        <f>VLOOKUP($B41, '[3]raw_data (4)'!$A$5:$F$56, 3, FALSE)</f>
        <v>1542922321</v>
      </c>
      <c r="W41" s="36">
        <f>VLOOKUP($A41, '[1]Medicaid - Totals'!$A$3:$K$54, 5, FALSE)</f>
        <v>538911.986330032</v>
      </c>
      <c r="X41" s="36">
        <f>VLOOKUP($A41, '[1]Medicaid - Totals'!$A$3:$K$54, 10, FALSE)</f>
        <v>335308.45111274702</v>
      </c>
      <c r="Y41" s="37">
        <f>VLOOKUP($B41, '[2]Medicaid - Totals'!$A$4:$K$55, 8, FALSE)</f>
        <v>21326</v>
      </c>
      <c r="Z41" s="37">
        <f>VLOOKUP($B41, '[2]Medicaid - Totals'!$A$4:$K$55, 9, FALSE)</f>
        <v>27914</v>
      </c>
      <c r="AA41" s="8">
        <f>VLOOKUP($B41, '[3]raw_data (4)'!$A$5:$F$56, 2, FALSE)</f>
        <v>983025798.5</v>
      </c>
    </row>
    <row r="42" spans="1:27" x14ac:dyDescent="0.25">
      <c r="A42" s="1" t="s">
        <v>84</v>
      </c>
      <c r="B42" s="31" t="s">
        <v>85</v>
      </c>
      <c r="C42" s="43">
        <f>VLOOKUP($A42, '[1]Medicaid - Totals'!$A$3:$K$54, 2, FALSE)</f>
        <v>12584384</v>
      </c>
      <c r="D42" s="36">
        <f>VLOOKUP($A42, '[1]Medicaid - Totals'!$A$3:$K$54, 7, FALSE)</f>
        <v>7625439.460720052</v>
      </c>
      <c r="E42" s="37">
        <f>VLOOKUP($B42, '[2]Medicaid - Totals'!$A$4:$K$55, 2, FALSE)</f>
        <v>2763456</v>
      </c>
      <c r="F42" s="37">
        <f>VLOOKUP($B42, '[2]Medicaid - Totals'!$A$4:$K$55, 3, FALSE)</f>
        <v>2009918</v>
      </c>
      <c r="G42" s="18">
        <f>VLOOKUP($B42, '[3]raw_data (4)'!$A$5:$F$56, 6, FALSE)</f>
        <v>19772631841</v>
      </c>
      <c r="H42" s="36">
        <f>VLOOKUP($A42, '[1]Medicaid - Totals'!$A$3:$K$54, 3, FALSE)</f>
        <v>2826086.9506683401</v>
      </c>
      <c r="I42" s="36">
        <f>VLOOKUP($A42, '[1]Medicaid - Totals'!$A$3:$K$54, 8, FALSE)</f>
        <v>1542583.0047454799</v>
      </c>
      <c r="J42" s="37">
        <f>VLOOKUP($B42, '[2]Medicaid - Totals'!$A$4:$K$55, 4, FALSE)</f>
        <v>1132893</v>
      </c>
      <c r="K42" s="37">
        <f>VLOOKUP($B42, '[2]Medicaid - Totals'!$A$4:$K$55, 5, FALSE)</f>
        <v>1101047</v>
      </c>
      <c r="L42" s="18">
        <f>VLOOKUP($B42, '[3]raw_data (4)'!$A$5:$F$56, 5, FALSE)</f>
        <v>3541767820</v>
      </c>
      <c r="M42" s="36">
        <f>VLOOKUP($A42, '[1]Medicaid - Totals'!$A$3:$K$54, 4, FALSE)</f>
        <v>7014890.63795185</v>
      </c>
      <c r="N42" s="36">
        <f>VLOOKUP($A42, '[1]Medicaid - Totals'!$A$3:$K$54, 9, FALSE)</f>
        <v>4863699.8479194604</v>
      </c>
      <c r="O42" s="37">
        <f>VLOOKUP($B42, '[2]Medicaid - Totals'!$A$4:$K$55, 6, FALSE)</f>
        <v>272219</v>
      </c>
      <c r="P42" s="37">
        <f>VLOOKUP($B42, '[2]Medicaid - Totals'!$A$4:$K$55, 7, FALSE)</f>
        <v>293054</v>
      </c>
      <c r="Q42" s="18">
        <f>VLOOKUP($B42, '[3]raw_data (4)'!$A$5:$F$56, 4, FALSE)</f>
        <v>1884001590</v>
      </c>
      <c r="R42" s="36">
        <f>VLOOKUP($A42, '[1]Medicaid - Totals'!$A$3:$K$54, 6, FALSE)</f>
        <v>737156.44551658595</v>
      </c>
      <c r="S42" s="36">
        <f>VLOOKUP($A42, '[1]Medicaid - Totals'!$A$3:$K$54, 11, FALSE)</f>
        <v>160041.05025482201</v>
      </c>
      <c r="T42" s="37">
        <f>VLOOKUP($B42, '[2]Medicaid - Totals'!$A$4:$K$55, 10, FALSE)</f>
        <v>1031725</v>
      </c>
      <c r="U42" s="37">
        <f>VLOOKUP($B42, '[2]Medicaid - Totals'!$A$4:$K$55, 11, FALSE)</f>
        <v>498424</v>
      </c>
      <c r="V42" s="18">
        <f>VLOOKUP($B42, '[3]raw_data (4)'!$A$5:$F$56, 3, FALSE)</f>
        <v>9949593389</v>
      </c>
      <c r="W42" s="36">
        <f>VLOOKUP($A42, '[1]Medicaid - Totals'!$A$3:$K$54, 5, FALSE)</f>
        <v>2006250.2834034001</v>
      </c>
      <c r="X42" s="36">
        <f>VLOOKUP($A42, '[1]Medicaid - Totals'!$A$3:$K$54, 10, FALSE)</f>
        <v>1059115.5578002899</v>
      </c>
      <c r="Y42" s="37">
        <f>VLOOKUP($B42, '[2]Medicaid - Totals'!$A$4:$K$55, 8, FALSE)</f>
        <v>326619</v>
      </c>
      <c r="Z42" s="37">
        <f>VLOOKUP($B42, '[2]Medicaid - Totals'!$A$4:$K$55, 9, FALSE)</f>
        <v>117393</v>
      </c>
      <c r="AA42" s="8">
        <f>VLOOKUP($B42, '[3]raw_data (4)'!$A$5:$F$56, 2, FALSE)</f>
        <v>4397269043</v>
      </c>
    </row>
    <row r="43" spans="1:27" x14ac:dyDescent="0.25">
      <c r="A43" s="1" t="s">
        <v>86</v>
      </c>
      <c r="B43" s="31" t="s">
        <v>87</v>
      </c>
      <c r="C43" s="43">
        <f>VLOOKUP($A43, '[1]Medicaid - Totals'!$A$3:$K$54, 2, FALSE)</f>
        <v>1042956.1875</v>
      </c>
      <c r="D43" s="36">
        <f>VLOOKUP($A43, '[1]Medicaid - Totals'!$A$3:$K$54, 7, FALSE)</f>
        <v>642217.61108881235</v>
      </c>
      <c r="E43" s="37">
        <f>VLOOKUP($B43, '[2]Medicaid - Totals'!$A$4:$K$55, 2, FALSE)</f>
        <v>311273</v>
      </c>
      <c r="F43" s="37">
        <f>VLOOKUP($B43, '[2]Medicaid - Totals'!$A$4:$K$55, 3, FALSE)</f>
        <v>164357</v>
      </c>
      <c r="G43" s="18">
        <f>VLOOKUP($B43, '[3]raw_data (4)'!$A$5:$F$56, 6, FALSE)</f>
        <v>1961071462</v>
      </c>
      <c r="H43" s="36">
        <f>VLOOKUP($A43, '[1]Medicaid - Totals'!$A$3:$K$54, 3, FALSE)</f>
        <v>237095.26502782101</v>
      </c>
      <c r="I43" s="36">
        <f>VLOOKUP($A43, '[1]Medicaid - Totals'!$A$3:$K$54, 8, FALSE)</f>
        <v>130477.33508527299</v>
      </c>
      <c r="J43" s="37">
        <f>VLOOKUP($B43, '[2]Medicaid - Totals'!$A$4:$K$55, 4, FALSE)</f>
        <v>101992</v>
      </c>
      <c r="K43" s="37">
        <f>VLOOKUP($B43, '[2]Medicaid - Totals'!$A$4:$K$55, 5, FALSE)</f>
        <v>89139</v>
      </c>
      <c r="L43" s="18">
        <f>VLOOKUP($B43, '[3]raw_data (4)'!$A$5:$F$56, 5, FALSE)</f>
        <v>437289717.80000001</v>
      </c>
      <c r="M43" s="36">
        <f>VLOOKUP($A43, '[1]Medicaid - Totals'!$A$3:$K$54, 4, FALSE)</f>
        <v>588126.676197469</v>
      </c>
      <c r="N43" s="36">
        <f>VLOOKUP($A43, '[1]Medicaid - Totals'!$A$3:$K$54, 9, FALSE)</f>
        <v>416437.93599098898</v>
      </c>
      <c r="O43" s="37">
        <f>VLOOKUP($B43, '[2]Medicaid - Totals'!$A$4:$K$55, 6, FALSE)</f>
        <v>54555</v>
      </c>
      <c r="P43" s="37">
        <f>VLOOKUP($B43, '[2]Medicaid - Totals'!$A$4:$K$55, 7, FALSE)</f>
        <v>29707</v>
      </c>
      <c r="Q43" s="18">
        <f>VLOOKUP($B43, '[3]raw_data (4)'!$A$5:$F$56, 4, FALSE)</f>
        <v>270331724</v>
      </c>
      <c r="R43" s="36">
        <f>VLOOKUP($A43, '[1]Medicaid - Totals'!$A$3:$K$54, 6, FALSE)</f>
        <v>61653.190134704098</v>
      </c>
      <c r="S43" s="36">
        <f>VLOOKUP($A43, '[1]Medicaid - Totals'!$A$3:$K$54, 11, FALSE)</f>
        <v>14746.0550374985</v>
      </c>
      <c r="T43" s="37">
        <f>VLOOKUP($B43, '[2]Medicaid - Totals'!$A$4:$K$55, 10, FALSE)</f>
        <v>82511</v>
      </c>
      <c r="U43" s="37">
        <f>VLOOKUP($B43, '[2]Medicaid - Totals'!$A$4:$K$55, 11, FALSE)</f>
        <v>34202</v>
      </c>
      <c r="V43" s="18">
        <f>VLOOKUP($B43, '[3]raw_data (4)'!$A$5:$F$56, 3, FALSE)</f>
        <v>885592712.10000002</v>
      </c>
      <c r="W43" s="36">
        <f>VLOOKUP($A43, '[1]Medicaid - Totals'!$A$3:$K$54, 5, FALSE)</f>
        <v>156081.03469562501</v>
      </c>
      <c r="X43" s="36">
        <f>VLOOKUP($A43, '[1]Medicaid - Totals'!$A$3:$K$54, 10, FALSE)</f>
        <v>80556.284975051894</v>
      </c>
      <c r="Y43" s="37">
        <f>VLOOKUP($B43, '[2]Medicaid - Totals'!$A$4:$K$55, 8, FALSE)</f>
        <v>72215</v>
      </c>
      <c r="Z43" s="37">
        <f>VLOOKUP($B43, '[2]Medicaid - Totals'!$A$4:$K$55, 9, FALSE)</f>
        <v>11309</v>
      </c>
      <c r="AA43" s="8">
        <f>VLOOKUP($B43, '[3]raw_data (4)'!$A$5:$F$56, 2, FALSE)</f>
        <v>367857308.10000002</v>
      </c>
    </row>
    <row r="44" spans="1:27" x14ac:dyDescent="0.25">
      <c r="A44" s="1" t="s">
        <v>88</v>
      </c>
      <c r="B44" s="31" t="s">
        <v>89</v>
      </c>
      <c r="C44" s="43">
        <f>VLOOKUP($A44, '[1]Medicaid - Totals'!$A$3:$K$54, 2, FALSE)</f>
        <v>4569375.5</v>
      </c>
      <c r="D44" s="36">
        <f>VLOOKUP($A44, '[1]Medicaid - Totals'!$A$3:$K$54, 7, FALSE)</f>
        <v>2297842.459383483</v>
      </c>
      <c r="E44" s="37">
        <f>VLOOKUP($B44, '[2]Medicaid - Totals'!$A$4:$K$55, 2, FALSE)</f>
        <v>1033251</v>
      </c>
      <c r="F44" s="37">
        <f>VLOOKUP($B44, '[2]Medicaid - Totals'!$A$4:$K$55, 3, FALSE)</f>
        <v>743898</v>
      </c>
      <c r="G44" s="18">
        <f>VLOOKUP($B44, '[3]raw_data (4)'!$A$5:$F$56, 6, FALSE)</f>
        <v>4636071692</v>
      </c>
      <c r="H44" s="36">
        <f>VLOOKUP($A44, '[1]Medicaid - Totals'!$A$3:$K$54, 3, FALSE)</f>
        <v>1105194.7446584699</v>
      </c>
      <c r="I44" s="36">
        <f>VLOOKUP($A44, '[1]Medicaid - Totals'!$A$3:$K$54, 8, FALSE)</f>
        <v>443323.14494323701</v>
      </c>
      <c r="J44" s="37">
        <f>VLOOKUP($B44, '[2]Medicaid - Totals'!$A$4:$K$55, 4, FALSE)</f>
        <v>544972</v>
      </c>
      <c r="K44" s="37">
        <f>VLOOKUP($B44, '[2]Medicaid - Totals'!$A$4:$K$55, 5, FALSE)</f>
        <v>450282</v>
      </c>
      <c r="L44" s="18">
        <f>VLOOKUP($B44, '[3]raw_data (4)'!$A$5:$F$56, 5, FALSE)</f>
        <v>999653601.39999998</v>
      </c>
      <c r="M44" s="36">
        <f>VLOOKUP($A44, '[1]Medicaid - Totals'!$A$3:$K$54, 4, FALSE)</f>
        <v>2497100.6900253301</v>
      </c>
      <c r="N44" s="36">
        <f>VLOOKUP($A44, '[1]Medicaid - Totals'!$A$3:$K$54, 9, FALSE)</f>
        <v>1472228.2119469601</v>
      </c>
      <c r="O44" s="37">
        <f>VLOOKUP($B44, '[2]Medicaid - Totals'!$A$4:$K$55, 6, FALSE)</f>
        <v>116619</v>
      </c>
      <c r="P44" s="37">
        <f>VLOOKUP($B44, '[2]Medicaid - Totals'!$A$4:$K$55, 7, FALSE)</f>
        <v>112543</v>
      </c>
      <c r="Q44" s="18">
        <f>VLOOKUP($B44, '[3]raw_data (4)'!$A$5:$F$56, 4, FALSE)</f>
        <v>782670083</v>
      </c>
      <c r="R44" s="36">
        <f>VLOOKUP($A44, '[1]Medicaid - Totals'!$A$3:$K$54, 6, FALSE)</f>
        <v>322405.41501998901</v>
      </c>
      <c r="S44" s="36">
        <f>VLOOKUP($A44, '[1]Medicaid - Totals'!$A$3:$K$54, 11, FALSE)</f>
        <v>85140.409729003906</v>
      </c>
      <c r="T44" s="37">
        <f>VLOOKUP($B44, '[2]Medicaid - Totals'!$A$4:$K$55, 10, FALSE)</f>
        <v>295723</v>
      </c>
      <c r="U44" s="37">
        <f>VLOOKUP($B44, '[2]Medicaid - Totals'!$A$4:$K$55, 11, FALSE)</f>
        <v>128637</v>
      </c>
      <c r="V44" s="18">
        <f>VLOOKUP($B44, '[3]raw_data (4)'!$A$5:$F$56, 3, FALSE)</f>
        <v>1968424452</v>
      </c>
      <c r="W44" s="36">
        <f>VLOOKUP($A44, '[1]Medicaid - Totals'!$A$3:$K$54, 5, FALSE)</f>
        <v>644674.61488342297</v>
      </c>
      <c r="X44" s="36">
        <f>VLOOKUP($A44, '[1]Medicaid - Totals'!$A$3:$K$54, 10, FALSE)</f>
        <v>297150.69276428199</v>
      </c>
      <c r="Y44" s="37">
        <f>VLOOKUP($B44, '[2]Medicaid - Totals'!$A$4:$K$55, 8, FALSE)</f>
        <v>75937</v>
      </c>
      <c r="Z44" s="37">
        <f>VLOOKUP($B44, '[2]Medicaid - Totals'!$A$4:$K$55, 9, FALSE)</f>
        <v>52436</v>
      </c>
      <c r="AA44" s="8">
        <f>VLOOKUP($B44, '[3]raw_data (4)'!$A$5:$F$56, 2, FALSE)</f>
        <v>885323555.60000002</v>
      </c>
    </row>
    <row r="45" spans="1:27" x14ac:dyDescent="0.25">
      <c r="A45" s="1" t="s">
        <v>90</v>
      </c>
      <c r="B45" s="31" t="s">
        <v>91</v>
      </c>
      <c r="C45" s="43">
        <f>VLOOKUP($A45, '[1]Medicaid - Totals'!$A$3:$K$54, 2, FALSE)</f>
        <v>808996.875</v>
      </c>
      <c r="D45" s="36">
        <f>VLOOKUP($A45, '[1]Medicaid - Totals'!$A$3:$K$54, 7, FALSE)</f>
        <v>462029.7754564283</v>
      </c>
      <c r="E45" s="37">
        <f>VLOOKUP($B45, '[2]Medicaid - Totals'!$A$4:$K$55, 2, FALSE)</f>
        <v>118988</v>
      </c>
      <c r="F45" s="37">
        <f>VLOOKUP($B45, '[2]Medicaid - Totals'!$A$4:$K$55, 3, FALSE)</f>
        <v>105289</v>
      </c>
      <c r="G45" s="18">
        <f>VLOOKUP($B45, '[3]raw_data (4)'!$A$5:$F$56, 6, FALSE)</f>
        <v>751418305</v>
      </c>
      <c r="H45" s="36">
        <f>VLOOKUP($A45, '[1]Medicaid - Totals'!$A$3:$K$54, 3, FALSE)</f>
        <v>206183.74507117301</v>
      </c>
      <c r="I45" s="36">
        <f>VLOOKUP($A45, '[1]Medicaid - Totals'!$A$3:$K$54, 8, FALSE)</f>
        <v>99134.774961471601</v>
      </c>
      <c r="J45" s="37">
        <f>VLOOKUP($B45, '[2]Medicaid - Totals'!$A$4:$K$55, 4, FALSE)</f>
        <v>73507</v>
      </c>
      <c r="K45" s="37">
        <f>VLOOKUP($B45, '[2]Medicaid - Totals'!$A$4:$K$55, 5, FALSE)</f>
        <v>74943</v>
      </c>
      <c r="L45" s="18">
        <f>VLOOKUP($B45, '[3]raw_data (4)'!$A$5:$F$56, 5, FALSE)</f>
        <v>203748001.80000001</v>
      </c>
      <c r="M45" s="36">
        <f>VLOOKUP($A45, '[1]Medicaid - Totals'!$A$3:$K$54, 4, FALSE)</f>
        <v>459416.69552815001</v>
      </c>
      <c r="N45" s="36">
        <f>VLOOKUP($A45, '[1]Medicaid - Totals'!$A$3:$K$54, 9, FALSE)</f>
        <v>293124.52048778499</v>
      </c>
      <c r="O45" s="37">
        <f>VLOOKUP($B45, '[2]Medicaid - Totals'!$A$4:$K$55, 6, FALSE)</f>
        <v>14802</v>
      </c>
      <c r="P45" s="37">
        <f>VLOOKUP($B45, '[2]Medicaid - Totals'!$A$4:$K$55, 7, FALSE)</f>
        <v>14164</v>
      </c>
      <c r="Q45" s="18">
        <f>VLOOKUP($B45, '[3]raw_data (4)'!$A$5:$F$56, 4, FALSE)</f>
        <v>96841840.099999994</v>
      </c>
      <c r="R45" s="36">
        <f>VLOOKUP($A45, '[1]Medicaid - Totals'!$A$3:$K$54, 6, FALSE)</f>
        <v>31552.944999694799</v>
      </c>
      <c r="S45" s="36">
        <f>VLOOKUP($A45, '[1]Medicaid - Totals'!$A$3:$K$54, 11, FALSE)</f>
        <v>6247.4700393676803</v>
      </c>
      <c r="T45" s="37">
        <f>VLOOKUP($B45, '[2]Medicaid - Totals'!$A$4:$K$55, 10, FALSE)</f>
        <v>27103</v>
      </c>
      <c r="U45" s="37">
        <f>VLOOKUP($B45, '[2]Medicaid - Totals'!$A$4:$K$55, 11, FALSE)</f>
        <v>12715</v>
      </c>
      <c r="V45" s="18">
        <f>VLOOKUP($B45, '[3]raw_data (4)'!$A$5:$F$56, 3, FALSE)</f>
        <v>309280040.89999998</v>
      </c>
      <c r="W45" s="36">
        <f>VLOOKUP($A45, '[1]Medicaid - Totals'!$A$3:$K$54, 5, FALSE)</f>
        <v>111843.519939423</v>
      </c>
      <c r="X45" s="36">
        <f>VLOOKUP($A45, '[1]Medicaid - Totals'!$A$3:$K$54, 10, FALSE)</f>
        <v>63523.009967803999</v>
      </c>
      <c r="Y45" s="37">
        <f>VLOOKUP($B45, '[2]Medicaid - Totals'!$A$4:$K$55, 8, FALSE)</f>
        <v>3576</v>
      </c>
      <c r="Z45" s="37">
        <f>VLOOKUP($B45, '[2]Medicaid - Totals'!$A$4:$K$55, 9, FALSE)</f>
        <v>3467</v>
      </c>
      <c r="AA45" s="8">
        <f>VLOOKUP($B45, '[3]raw_data (4)'!$A$5:$F$56, 2, FALSE)</f>
        <v>141548422.19999999</v>
      </c>
    </row>
    <row r="46" spans="1:27" x14ac:dyDescent="0.25">
      <c r="A46" s="1" t="s">
        <v>92</v>
      </c>
      <c r="B46" s="31" t="s">
        <v>93</v>
      </c>
      <c r="C46" s="43">
        <f>VLOOKUP($A46, '[1]Medicaid - Totals'!$A$3:$K$54, 2, FALSE)</f>
        <v>6323933.5</v>
      </c>
      <c r="D46" s="36">
        <f>VLOOKUP($A46, '[1]Medicaid - Totals'!$A$3:$K$54, 7, FALSE)</f>
        <v>3215312.1324729919</v>
      </c>
      <c r="E46" s="37">
        <f>VLOOKUP($B46, '[2]Medicaid - Totals'!$A$4:$K$55, 2, FALSE)</f>
        <v>1622113</v>
      </c>
      <c r="F46" s="37">
        <f>VLOOKUP($B46, '[2]Medicaid - Totals'!$A$4:$K$55, 3, FALSE)</f>
        <v>1221298</v>
      </c>
      <c r="G46" s="18">
        <f>VLOOKUP($B46, '[3]raw_data (4)'!$A$5:$F$56, 6, FALSE)</f>
        <v>7956732957</v>
      </c>
      <c r="H46" s="36">
        <f>VLOOKUP($A46, '[1]Medicaid - Totals'!$A$3:$K$54, 3, FALSE)</f>
        <v>1538183.3424358401</v>
      </c>
      <c r="I46" s="36">
        <f>VLOOKUP($A46, '[1]Medicaid - Totals'!$A$3:$K$54, 8, FALSE)</f>
        <v>667790.41110992397</v>
      </c>
      <c r="J46" s="37">
        <f>VLOOKUP($B46, '[2]Medicaid - Totals'!$A$4:$K$55, 4, FALSE)</f>
        <v>829207</v>
      </c>
      <c r="K46" s="37">
        <f>VLOOKUP($B46, '[2]Medicaid - Totals'!$A$4:$K$55, 5, FALSE)</f>
        <v>750637</v>
      </c>
      <c r="L46" s="18">
        <f>VLOOKUP($B46, '[3]raw_data (4)'!$A$5:$F$56, 5, FALSE)</f>
        <v>1985712365</v>
      </c>
      <c r="M46" s="36">
        <f>VLOOKUP($A46, '[1]Medicaid - Totals'!$A$3:$K$54, 4, FALSE)</f>
        <v>3517440.8628954901</v>
      </c>
      <c r="N46" s="36">
        <f>VLOOKUP($A46, '[1]Medicaid - Totals'!$A$3:$K$54, 9, FALSE)</f>
        <v>2078011.6966814999</v>
      </c>
      <c r="O46" s="37">
        <f>VLOOKUP($B46, '[2]Medicaid - Totals'!$A$4:$K$55, 6, FALSE)</f>
        <v>246994</v>
      </c>
      <c r="P46" s="37">
        <f>VLOOKUP($B46, '[2]Medicaid - Totals'!$A$4:$K$55, 7, FALSE)</f>
        <v>236453</v>
      </c>
      <c r="Q46" s="18">
        <f>VLOOKUP($B46, '[3]raw_data (4)'!$A$5:$F$56, 4, FALSE)</f>
        <v>1500789962</v>
      </c>
      <c r="R46" s="36">
        <f>VLOOKUP($A46, '[1]Medicaid - Totals'!$A$3:$K$54, 6, FALSE)</f>
        <v>450471.77513122599</v>
      </c>
      <c r="S46" s="36">
        <f>VLOOKUP($A46, '[1]Medicaid - Totals'!$A$3:$K$54, 11, FALSE)</f>
        <v>114316.974975586</v>
      </c>
      <c r="T46" s="37">
        <f>VLOOKUP($B46, '[2]Medicaid - Totals'!$A$4:$K$55, 10, FALSE)</f>
        <v>461277</v>
      </c>
      <c r="U46" s="37">
        <f>VLOOKUP($B46, '[2]Medicaid - Totals'!$A$4:$K$55, 11, FALSE)</f>
        <v>185142</v>
      </c>
      <c r="V46" s="18">
        <f>VLOOKUP($B46, '[3]raw_data (4)'!$A$5:$F$56, 3, FALSE)</f>
        <v>3213518484</v>
      </c>
      <c r="W46" s="36">
        <f>VLOOKUP($A46, '[1]Medicaid - Totals'!$A$3:$K$54, 5, FALSE)</f>
        <v>817837.42478132201</v>
      </c>
      <c r="X46" s="36">
        <f>VLOOKUP($A46, '[1]Medicaid - Totals'!$A$3:$K$54, 10, FALSE)</f>
        <v>355193.04970598198</v>
      </c>
      <c r="Y46" s="37">
        <f>VLOOKUP($B46, '[2]Medicaid - Totals'!$A$4:$K$55, 8, FALSE)</f>
        <v>84635</v>
      </c>
      <c r="Z46" s="37">
        <f>VLOOKUP($B46, '[2]Medicaid - Totals'!$A$4:$K$55, 9, FALSE)</f>
        <v>49066</v>
      </c>
      <c r="AA46" s="8">
        <f>VLOOKUP($B46, '[3]raw_data (4)'!$A$5:$F$56, 2, FALSE)</f>
        <v>1256712146</v>
      </c>
    </row>
    <row r="47" spans="1:27" x14ac:dyDescent="0.25">
      <c r="A47" s="1" t="s">
        <v>94</v>
      </c>
      <c r="B47" s="31" t="s">
        <v>95</v>
      </c>
      <c r="C47" s="43">
        <f>VLOOKUP($A47, '[1]Medicaid - Totals'!$A$3:$K$54, 2, FALSE)</f>
        <v>25373166</v>
      </c>
      <c r="D47" s="36">
        <f>VLOOKUP($A47, '[1]Medicaid - Totals'!$A$3:$K$54, 7, FALSE)</f>
        <v>13106161.257021897</v>
      </c>
      <c r="E47" s="37">
        <f>VLOOKUP($B47, '[2]Medicaid - Totals'!$A$4:$K$55, 2, FALSE)</f>
        <v>5222182</v>
      </c>
      <c r="F47" s="37">
        <f>VLOOKUP($B47, '[2]Medicaid - Totals'!$A$4:$K$55, 3, FALSE)</f>
        <v>3743707</v>
      </c>
      <c r="G47" s="18">
        <f>VLOOKUP($B47, '[3]raw_data (4)'!$A$5:$F$56, 6, FALSE)</f>
        <v>27011324822</v>
      </c>
      <c r="H47" s="36">
        <f>VLOOKUP($A47, '[1]Medicaid - Totals'!$A$3:$K$54, 3, FALSE)</f>
        <v>7214932.2335195504</v>
      </c>
      <c r="I47" s="36">
        <f>VLOOKUP($A47, '[1]Medicaid - Totals'!$A$3:$K$54, 8, FALSE)</f>
        <v>2832999.3106784802</v>
      </c>
      <c r="J47" s="37">
        <f>VLOOKUP($B47, '[2]Medicaid - Totals'!$A$4:$K$55, 4, FALSE)</f>
        <v>3591870</v>
      </c>
      <c r="K47" s="37">
        <f>VLOOKUP($B47, '[2]Medicaid - Totals'!$A$4:$K$55, 5, FALSE)</f>
        <v>2883249</v>
      </c>
      <c r="L47" s="18">
        <f>VLOOKUP($B47, '[3]raw_data (4)'!$A$5:$F$56, 5, FALSE)</f>
        <v>10092913790</v>
      </c>
      <c r="M47" s="36">
        <f>VLOOKUP($A47, '[1]Medicaid - Totals'!$A$3:$K$54, 4, FALSE)</f>
        <v>14362007.138918901</v>
      </c>
      <c r="N47" s="36">
        <f>VLOOKUP($A47, '[1]Medicaid - Totals'!$A$3:$K$54, 9, FALSE)</f>
        <v>8561972.2705302201</v>
      </c>
      <c r="O47" s="37">
        <f>VLOOKUP($B47, '[2]Medicaid - Totals'!$A$4:$K$55, 6, FALSE)</f>
        <v>515732</v>
      </c>
      <c r="P47" s="37">
        <f>VLOOKUP($B47, '[2]Medicaid - Totals'!$A$4:$K$55, 7, FALSE)</f>
        <v>224664</v>
      </c>
      <c r="Q47" s="18">
        <f>VLOOKUP($B47, '[3]raw_data (4)'!$A$5:$F$56, 4, FALSE)</f>
        <v>2221896451</v>
      </c>
      <c r="R47" s="36">
        <f>VLOOKUP($A47, '[1]Medicaid - Totals'!$A$3:$K$54, 6, FALSE)</f>
        <v>1176378.1404023201</v>
      </c>
      <c r="S47" s="36">
        <f>VLOOKUP($A47, '[1]Medicaid - Totals'!$A$3:$K$54, 11, FALSE)</f>
        <v>262904.43530559499</v>
      </c>
      <c r="T47" s="37">
        <f>VLOOKUP($B47, '[2]Medicaid - Totals'!$A$4:$K$55, 10, FALSE)</f>
        <v>954884</v>
      </c>
      <c r="U47" s="37">
        <f>VLOOKUP($B47, '[2]Medicaid - Totals'!$A$4:$K$55, 11, FALSE)</f>
        <v>452648</v>
      </c>
      <c r="V47" s="18">
        <f>VLOOKUP($B47, '[3]raw_data (4)'!$A$5:$F$56, 3, FALSE)</f>
        <v>10204400701</v>
      </c>
      <c r="W47" s="36">
        <f>VLOOKUP($A47, '[1]Medicaid - Totals'!$A$3:$K$54, 5, FALSE)</f>
        <v>2619848.2962193498</v>
      </c>
      <c r="X47" s="36">
        <f>VLOOKUP($A47, '[1]Medicaid - Totals'!$A$3:$K$54, 10, FALSE)</f>
        <v>1448285.2405075999</v>
      </c>
      <c r="Y47" s="37">
        <f>VLOOKUP($B47, '[2]Medicaid - Totals'!$A$4:$K$55, 8, FALSE)</f>
        <v>159696</v>
      </c>
      <c r="Z47" s="37">
        <f>VLOOKUP($B47, '[2]Medicaid - Totals'!$A$4:$K$55, 9, FALSE)</f>
        <v>183146</v>
      </c>
      <c r="AA47" s="8">
        <f>VLOOKUP($B47, '[3]raw_data (4)'!$A$5:$F$56, 2, FALSE)</f>
        <v>4492113880</v>
      </c>
    </row>
    <row r="48" spans="1:27" x14ac:dyDescent="0.25">
      <c r="A48" s="1" t="s">
        <v>96</v>
      </c>
      <c r="B48" s="31" t="s">
        <v>97</v>
      </c>
      <c r="C48" s="43">
        <f>VLOOKUP($A48, '[1]Medicaid - Totals'!$A$3:$K$54, 2, FALSE)</f>
        <v>2821433.75</v>
      </c>
      <c r="D48" s="36">
        <f>VLOOKUP($A48, '[1]Medicaid - Totals'!$A$3:$K$54, 7, FALSE)</f>
        <v>1635295.925413609</v>
      </c>
      <c r="E48" s="37">
        <f>VLOOKUP($B48, '[2]Medicaid - Totals'!$A$4:$K$55, 2, FALSE)</f>
        <v>529528</v>
      </c>
      <c r="F48" s="37">
        <f>VLOOKUP($B48, '[2]Medicaid - Totals'!$A$4:$K$55, 3, FALSE)</f>
        <v>260186</v>
      </c>
      <c r="G48" s="18">
        <f>VLOOKUP($B48, '[3]raw_data (4)'!$A$5:$F$56, 6, FALSE)</f>
        <v>1794587075</v>
      </c>
      <c r="H48" s="36">
        <f>VLOOKUP($A48, '[1]Medicaid - Totals'!$A$3:$K$54, 3, FALSE)</f>
        <v>912755.66535115195</v>
      </c>
      <c r="I48" s="36">
        <f>VLOOKUP($A48, '[1]Medicaid - Totals'!$A$3:$K$54, 8, FALSE)</f>
        <v>446479.56485080702</v>
      </c>
      <c r="J48" s="37">
        <f>VLOOKUP($B48, '[2]Medicaid - Totals'!$A$4:$K$55, 4, FALSE)</f>
        <v>293762</v>
      </c>
      <c r="K48" s="37">
        <f>VLOOKUP($B48, '[2]Medicaid - Totals'!$A$4:$K$55, 5, FALSE)</f>
        <v>183213</v>
      </c>
      <c r="L48" s="18">
        <f>VLOOKUP($B48, '[3]raw_data (4)'!$A$5:$F$56, 5, FALSE)</f>
        <v>492714650.39999998</v>
      </c>
      <c r="M48" s="36">
        <f>VLOOKUP($A48, '[1]Medicaid - Totals'!$A$3:$K$54, 4, FALSE)</f>
        <v>1533779.2205026201</v>
      </c>
      <c r="N48" s="36">
        <f>VLOOKUP($A48, '[1]Medicaid - Totals'!$A$3:$K$54, 9, FALSE)</f>
        <v>996328.20010137605</v>
      </c>
      <c r="O48" s="37">
        <f>VLOOKUP($B48, '[2]Medicaid - Totals'!$A$4:$K$55, 6, FALSE)</f>
        <v>90196</v>
      </c>
      <c r="P48" s="37">
        <f>VLOOKUP($B48, '[2]Medicaid - Totals'!$A$4:$K$55, 7, FALSE)</f>
        <v>35721</v>
      </c>
      <c r="Q48" s="18">
        <f>VLOOKUP($B48, '[3]raw_data (4)'!$A$5:$F$56, 4, FALSE)</f>
        <v>272254274.5</v>
      </c>
      <c r="R48" s="36">
        <f>VLOOKUP($A48, '[1]Medicaid - Totals'!$A$3:$K$54, 6, FALSE)</f>
        <v>90477.325211048097</v>
      </c>
      <c r="S48" s="36">
        <f>VLOOKUP($A48, '[1]Medicaid - Totals'!$A$3:$K$54, 11, FALSE)</f>
        <v>36112.254989624002</v>
      </c>
      <c r="T48" s="37">
        <f>VLOOKUP($B48, '[2]Medicaid - Totals'!$A$4:$K$55, 10, FALSE)</f>
        <v>97932</v>
      </c>
      <c r="U48" s="37">
        <f>VLOOKUP($B48, '[2]Medicaid - Totals'!$A$4:$K$55, 11, FALSE)</f>
        <v>32172</v>
      </c>
      <c r="V48" s="18">
        <f>VLOOKUP($B48, '[3]raw_data (4)'!$A$5:$F$56, 3, FALSE)</f>
        <v>851217764.89999998</v>
      </c>
      <c r="W48" s="36">
        <f>VLOOKUP($A48, '[1]Medicaid - Totals'!$A$3:$K$54, 5, FALSE)</f>
        <v>284421.59054565401</v>
      </c>
      <c r="X48" s="36">
        <f>VLOOKUP($A48, '[1]Medicaid - Totals'!$A$3:$K$54, 10, FALSE)</f>
        <v>156375.90547180199</v>
      </c>
      <c r="Y48" s="37">
        <f>VLOOKUP($B48, '[2]Medicaid - Totals'!$A$4:$K$55, 8, FALSE)</f>
        <v>47638</v>
      </c>
      <c r="Z48" s="37">
        <f>VLOOKUP($B48, '[2]Medicaid - Totals'!$A$4:$K$55, 9, FALSE)</f>
        <v>9080</v>
      </c>
      <c r="AA48" s="8">
        <f>VLOOKUP($B48, '[3]raw_data (4)'!$A$5:$F$56, 2, FALSE)</f>
        <v>178400385.19999999</v>
      </c>
    </row>
    <row r="49" spans="1:27" x14ac:dyDescent="0.25">
      <c r="A49" s="1" t="s">
        <v>98</v>
      </c>
      <c r="B49" s="31" t="s">
        <v>99</v>
      </c>
      <c r="C49" s="43">
        <f>VLOOKUP($A49, '[1]Medicaid - Totals'!$A$3:$K$54, 2, FALSE)</f>
        <v>619353.375</v>
      </c>
      <c r="D49" s="36">
        <f>VLOOKUP($A49, '[1]Medicaid - Totals'!$A$3:$K$54, 7, FALSE)</f>
        <v>395740.63415384281</v>
      </c>
      <c r="E49" s="37">
        <f>VLOOKUP($B49, '[2]Medicaid - Totals'!$A$4:$K$55, 2, FALSE)</f>
        <v>200860</v>
      </c>
      <c r="F49" s="37">
        <f>VLOOKUP($B49, '[2]Medicaid - Totals'!$A$4:$K$55, 3, FALSE)</f>
        <v>132449</v>
      </c>
      <c r="G49" s="18">
        <f>VLOOKUP($B49, '[3]raw_data (4)'!$A$5:$F$56, 6, FALSE)</f>
        <v>1258455394</v>
      </c>
      <c r="H49" s="36">
        <f>VLOOKUP($A49, '[1]Medicaid - Totals'!$A$3:$K$54, 3, FALSE)</f>
        <v>126655.154966652</v>
      </c>
      <c r="I49" s="36">
        <f>VLOOKUP($A49, '[1]Medicaid - Totals'!$A$3:$K$54, 8, FALSE)</f>
        <v>73061.2549794316</v>
      </c>
      <c r="J49" s="37">
        <f>VLOOKUP($B49, '[2]Medicaid - Totals'!$A$4:$K$55, 4, FALSE)</f>
        <v>63698</v>
      </c>
      <c r="K49" s="37">
        <f>VLOOKUP($B49, '[2]Medicaid - Totals'!$A$4:$K$55, 5, FALSE)</f>
        <v>61603</v>
      </c>
      <c r="L49" s="18">
        <f>VLOOKUP($B49, '[3]raw_data (4)'!$A$5:$F$56, 5, FALSE)</f>
        <v>357436626.69999999</v>
      </c>
      <c r="M49" s="36">
        <f>VLOOKUP($A49, '[1]Medicaid - Totals'!$A$3:$K$54, 4, FALSE)</f>
        <v>372147.41470068699</v>
      </c>
      <c r="N49" s="36">
        <f>VLOOKUP($A49, '[1]Medicaid - Totals'!$A$3:$K$54, 9, FALSE)</f>
        <v>267417.51454824198</v>
      </c>
      <c r="O49" s="37">
        <f>VLOOKUP($B49, '[2]Medicaid - Totals'!$A$4:$K$55, 6, FALSE)</f>
        <v>71730</v>
      </c>
      <c r="P49" s="37">
        <f>VLOOKUP($B49, '[2]Medicaid - Totals'!$A$4:$K$55, 7, FALSE)</f>
        <v>45954</v>
      </c>
      <c r="Q49" s="18">
        <f>VLOOKUP($B49, '[3]raw_data (4)'!$A$5:$F$56, 4, FALSE)</f>
        <v>370176083.80000001</v>
      </c>
      <c r="R49" s="36">
        <f>VLOOKUP($A49, '[1]Medicaid - Totals'!$A$3:$K$54, 6, FALSE)</f>
        <v>33566.059931158998</v>
      </c>
      <c r="S49" s="36">
        <f>VLOOKUP($A49, '[1]Medicaid - Totals'!$A$3:$K$54, 11, FALSE)</f>
        <v>7895.8700141906702</v>
      </c>
      <c r="T49" s="37">
        <f>VLOOKUP($B49, '[2]Medicaid - Totals'!$A$4:$K$55, 10, FALSE)</f>
        <v>47331</v>
      </c>
      <c r="U49" s="37">
        <f>VLOOKUP($B49, '[2]Medicaid - Totals'!$A$4:$K$55, 11, FALSE)</f>
        <v>18564</v>
      </c>
      <c r="V49" s="18">
        <f>VLOOKUP($B49, '[3]raw_data (4)'!$A$5:$F$56, 3, FALSE)</f>
        <v>388312876.5</v>
      </c>
      <c r="W49" s="36">
        <f>VLOOKUP($A49, '[1]Medicaid - Totals'!$A$3:$K$54, 5, FALSE)</f>
        <v>86984.744199037596</v>
      </c>
      <c r="X49" s="36">
        <f>VLOOKUP($A49, '[1]Medicaid - Totals'!$A$3:$K$54, 10, FALSE)</f>
        <v>47365.994611978502</v>
      </c>
      <c r="Y49" s="37">
        <f>VLOOKUP($B49, '[2]Medicaid - Totals'!$A$4:$K$55, 8, FALSE)</f>
        <v>18101</v>
      </c>
      <c r="Z49" s="37">
        <f>VLOOKUP($B49, '[2]Medicaid - Totals'!$A$4:$K$55, 9, FALSE)</f>
        <v>6328</v>
      </c>
      <c r="AA49" s="8">
        <f>VLOOKUP($B49, '[3]raw_data (4)'!$A$5:$F$56, 2, FALSE)</f>
        <v>142529807.09999999</v>
      </c>
    </row>
    <row r="50" spans="1:27" x14ac:dyDescent="0.25">
      <c r="A50" s="1" t="s">
        <v>100</v>
      </c>
      <c r="B50" s="31" t="s">
        <v>101</v>
      </c>
      <c r="C50" s="43">
        <f>VLOOKUP($A50, '[1]Medicaid - Totals'!$A$3:$K$54, 2, FALSE)</f>
        <v>7873385.5</v>
      </c>
      <c r="D50" s="36">
        <f>VLOOKUP($A50, '[1]Medicaid - Totals'!$A$3:$K$54, 7, FALSE)</f>
        <v>5164473.982846735</v>
      </c>
      <c r="E50" s="37">
        <f>VLOOKUP($B50, '[2]Medicaid - Totals'!$A$4:$K$55, 2, FALSE)</f>
        <v>1107222</v>
      </c>
      <c r="F50" s="37">
        <f>VLOOKUP($B50, '[2]Medicaid - Totals'!$A$4:$K$55, 3, FALSE)</f>
        <v>852387</v>
      </c>
      <c r="G50" s="18">
        <f>VLOOKUP($B50, '[3]raw_data (4)'!$A$5:$F$56, 6, FALSE)</f>
        <v>6672804559</v>
      </c>
      <c r="H50" s="36">
        <f>VLOOKUP($A50, '[1]Medicaid - Totals'!$A$3:$K$54, 3, FALSE)</f>
        <v>1946126.27903366</v>
      </c>
      <c r="I50" s="36">
        <f>VLOOKUP($A50, '[1]Medicaid - Totals'!$A$3:$K$54, 8, FALSE)</f>
        <v>1177692.75481987</v>
      </c>
      <c r="J50" s="37">
        <f>VLOOKUP($B50, '[2]Medicaid - Totals'!$A$4:$K$55, 4, FALSE)</f>
        <v>572935</v>
      </c>
      <c r="K50" s="37">
        <f>VLOOKUP($B50, '[2]Medicaid - Totals'!$A$4:$K$55, 5, FALSE)</f>
        <v>567213</v>
      </c>
      <c r="L50" s="18">
        <f>VLOOKUP($B50, '[3]raw_data (4)'!$A$5:$F$56, 5, FALSE)</f>
        <v>1603537103</v>
      </c>
      <c r="M50" s="36">
        <f>VLOOKUP($A50, '[1]Medicaid - Totals'!$A$3:$K$54, 4, FALSE)</f>
        <v>4641902.5516405096</v>
      </c>
      <c r="N50" s="36">
        <f>VLOOKUP($A50, '[1]Medicaid - Totals'!$A$3:$K$54, 9, FALSE)</f>
        <v>3311292.23647642</v>
      </c>
      <c r="O50" s="37">
        <f>VLOOKUP($B50, '[2]Medicaid - Totals'!$A$4:$K$55, 6, FALSE)</f>
        <v>97952</v>
      </c>
      <c r="P50" s="37">
        <f>VLOOKUP($B50, '[2]Medicaid - Totals'!$A$4:$K$55, 7, FALSE)</f>
        <v>109742</v>
      </c>
      <c r="Q50" s="18">
        <f>VLOOKUP($B50, '[3]raw_data (4)'!$A$5:$F$56, 4, FALSE)</f>
        <v>787349572</v>
      </c>
      <c r="R50" s="36">
        <f>VLOOKUP($A50, '[1]Medicaid - Totals'!$A$3:$K$54, 6, FALSE)</f>
        <v>310890.75035572099</v>
      </c>
      <c r="S50" s="36">
        <f>VLOOKUP($A50, '[1]Medicaid - Totals'!$A$3:$K$54, 11, FALSE)</f>
        <v>90375.849990844697</v>
      </c>
      <c r="T50" s="37">
        <f>VLOOKUP($B50, '[2]Medicaid - Totals'!$A$4:$K$55, 10, FALSE)</f>
        <v>314841</v>
      </c>
      <c r="U50" s="37">
        <f>VLOOKUP($B50, '[2]Medicaid - Totals'!$A$4:$K$55, 11, FALSE)</f>
        <v>125072</v>
      </c>
      <c r="V50" s="18">
        <f>VLOOKUP($B50, '[3]raw_data (4)'!$A$5:$F$56, 3, FALSE)</f>
        <v>2989890926</v>
      </c>
      <c r="W50" s="36">
        <f>VLOOKUP($A50, '[1]Medicaid - Totals'!$A$3:$K$54, 5, FALSE)</f>
        <v>974465.96182346297</v>
      </c>
      <c r="X50" s="36">
        <f>VLOOKUP($A50, '[1]Medicaid - Totals'!$A$3:$K$54, 10, FALSE)</f>
        <v>585113.14155960095</v>
      </c>
      <c r="Y50" s="37">
        <f>VLOOKUP($B50, '[2]Medicaid - Totals'!$A$4:$K$55, 8, FALSE)</f>
        <v>121494</v>
      </c>
      <c r="Z50" s="37">
        <f>VLOOKUP($B50, '[2]Medicaid - Totals'!$A$4:$K$55, 9, FALSE)</f>
        <v>50360</v>
      </c>
      <c r="AA50" s="8">
        <f>VLOOKUP($B50, '[3]raw_data (4)'!$A$5:$F$56, 2, FALSE)</f>
        <v>1292026958</v>
      </c>
    </row>
    <row r="51" spans="1:27" x14ac:dyDescent="0.25">
      <c r="A51" s="1" t="s">
        <v>102</v>
      </c>
      <c r="B51" s="31" t="s">
        <v>103</v>
      </c>
      <c r="C51" s="43">
        <f>VLOOKUP($A51, '[1]Medicaid - Totals'!$A$3:$K$54, 2, FALSE)</f>
        <v>6770326</v>
      </c>
      <c r="D51" s="36">
        <f>VLOOKUP($A51, '[1]Medicaid - Totals'!$A$3:$K$54, 7, FALSE)</f>
        <v>4078566.369532112</v>
      </c>
      <c r="E51" s="37">
        <f>VLOOKUP($B51, '[2]Medicaid - Totals'!$A$4:$K$55, 2, FALSE)</f>
        <v>1594726</v>
      </c>
      <c r="F51" s="37">
        <f>VLOOKUP($B51, '[2]Medicaid - Totals'!$A$4:$K$55, 3, FALSE)</f>
        <v>992662</v>
      </c>
      <c r="G51" s="18">
        <f>VLOOKUP($B51, '[3]raw_data (4)'!$A$5:$F$56, 6, FALSE)</f>
        <v>6975052001</v>
      </c>
      <c r="H51" s="36">
        <f>VLOOKUP($A51, '[1]Medicaid - Totals'!$A$3:$K$54, 3, FALSE)</f>
        <v>1704084.9999265701</v>
      </c>
      <c r="I51" s="36">
        <f>VLOOKUP($A51, '[1]Medicaid - Totals'!$A$3:$K$54, 8, FALSE)</f>
        <v>834194.47557878494</v>
      </c>
      <c r="J51" s="37">
        <f>VLOOKUP($B51, '[2]Medicaid - Totals'!$A$4:$K$55, 4, FALSE)</f>
        <v>916523</v>
      </c>
      <c r="K51" s="37">
        <f>VLOOKUP($B51, '[2]Medicaid - Totals'!$A$4:$K$55, 5, FALSE)</f>
        <v>661252</v>
      </c>
      <c r="L51" s="18">
        <f>VLOOKUP($B51, '[3]raw_data (4)'!$A$5:$F$56, 5, FALSE)</f>
        <v>1664977902</v>
      </c>
      <c r="M51" s="36">
        <f>VLOOKUP($A51, '[1]Medicaid - Totals'!$A$3:$K$54, 4, FALSE)</f>
        <v>3923108.5721359299</v>
      </c>
      <c r="N51" s="36">
        <f>VLOOKUP($A51, '[1]Medicaid - Totals'!$A$3:$K$54, 9, FALSE)</f>
        <v>2606330.3827571901</v>
      </c>
      <c r="O51" s="37">
        <f>VLOOKUP($B51, '[2]Medicaid - Totals'!$A$4:$K$55, 6, FALSE)</f>
        <v>172897</v>
      </c>
      <c r="P51" s="37">
        <f>VLOOKUP($B51, '[2]Medicaid - Totals'!$A$4:$K$55, 7, FALSE)</f>
        <v>125274</v>
      </c>
      <c r="Q51" s="18">
        <f>VLOOKUP($B51, '[3]raw_data (4)'!$A$5:$F$56, 4, FALSE)</f>
        <v>1070508630</v>
      </c>
      <c r="R51" s="36">
        <f>VLOOKUP($A51, '[1]Medicaid - Totals'!$A$3:$K$54, 6, FALSE)</f>
        <v>270842.96459579503</v>
      </c>
      <c r="S51" s="36">
        <f>VLOOKUP($A51, '[1]Medicaid - Totals'!$A$3:$K$54, 11, FALSE)</f>
        <v>92155.064819335894</v>
      </c>
      <c r="T51" s="37">
        <f>VLOOKUP($B51, '[2]Medicaid - Totals'!$A$4:$K$55, 10, FALSE)</f>
        <v>337602</v>
      </c>
      <c r="U51" s="37">
        <f>VLOOKUP($B51, '[2]Medicaid - Totals'!$A$4:$K$55, 11, FALSE)</f>
        <v>152044</v>
      </c>
      <c r="V51" s="18">
        <f>VLOOKUP($B51, '[3]raw_data (4)'!$A$5:$F$56, 3, FALSE)</f>
        <v>3022330377</v>
      </c>
      <c r="W51" s="36">
        <f>VLOOKUP($A51, '[1]Medicaid - Totals'!$A$3:$K$54, 5, FALSE)</f>
        <v>872289.48227310204</v>
      </c>
      <c r="X51" s="36">
        <f>VLOOKUP($A51, '[1]Medicaid - Totals'!$A$3:$K$54, 10, FALSE)</f>
        <v>545886.446376801</v>
      </c>
      <c r="Y51" s="37">
        <f>VLOOKUP($B51, '[2]Medicaid - Totals'!$A$4:$K$55, 8, FALSE)</f>
        <v>167704</v>
      </c>
      <c r="Z51" s="37">
        <f>VLOOKUP($B51, '[2]Medicaid - Totals'!$A$4:$K$55, 9, FALSE)</f>
        <v>54092</v>
      </c>
      <c r="AA51" s="8">
        <f>VLOOKUP($B51, '[3]raw_data (4)'!$A$5:$F$56, 2, FALSE)</f>
        <v>1217235093</v>
      </c>
    </row>
    <row r="52" spans="1:27" x14ac:dyDescent="0.25">
      <c r="A52" s="1" t="s">
        <v>104</v>
      </c>
      <c r="B52" s="31" t="s">
        <v>105</v>
      </c>
      <c r="C52" s="43">
        <f>VLOOKUP($A52, '[1]Medicaid - Totals'!$A$3:$K$54, 2, FALSE)</f>
        <v>1816362</v>
      </c>
      <c r="D52" s="36">
        <f>VLOOKUP($A52, '[1]Medicaid - Totals'!$A$3:$K$54, 7, FALSE)</f>
        <v>963587.93747329677</v>
      </c>
      <c r="E52" s="37">
        <f>VLOOKUP($B52, '[2]Medicaid - Totals'!$A$4:$K$55, 2, FALSE)</f>
        <v>594262</v>
      </c>
      <c r="F52" s="37">
        <f>VLOOKUP($B52, '[2]Medicaid - Totals'!$A$4:$K$55, 3, FALSE)</f>
        <v>319608</v>
      </c>
      <c r="G52" s="18">
        <f>VLOOKUP($B52, '[3]raw_data (4)'!$A$5:$F$56, 6, FALSE)</f>
        <v>2769269700</v>
      </c>
      <c r="H52" s="36">
        <f>VLOOKUP($A52, '[1]Medicaid - Totals'!$A$3:$K$54, 3, FALSE)</f>
        <v>403030.12023925799</v>
      </c>
      <c r="I52" s="36">
        <f>VLOOKUP($A52, '[1]Medicaid - Totals'!$A$3:$K$54, 8, FALSE)</f>
        <v>177912.71986770601</v>
      </c>
      <c r="J52" s="37">
        <f>VLOOKUP($B52, '[2]Medicaid - Totals'!$A$4:$K$55, 4, FALSE)</f>
        <v>174399</v>
      </c>
      <c r="K52" s="37">
        <f>VLOOKUP($B52, '[2]Medicaid - Totals'!$A$4:$K$55, 5, FALSE)</f>
        <v>181575</v>
      </c>
      <c r="L52" s="18">
        <f>VLOOKUP($B52, '[3]raw_data (4)'!$A$5:$F$56, 5, FALSE)</f>
        <v>521131296</v>
      </c>
      <c r="M52" s="36">
        <f>VLOOKUP($A52, '[1]Medicaid - Totals'!$A$3:$K$54, 4, FALSE)</f>
        <v>955174.25743222202</v>
      </c>
      <c r="N52" s="36">
        <f>VLOOKUP($A52, '[1]Medicaid - Totals'!$A$3:$K$54, 9, FALSE)</f>
        <v>610414.497810364</v>
      </c>
      <c r="O52" s="37">
        <f>VLOOKUP($B52, '[2]Medicaid - Totals'!$A$4:$K$55, 6, FALSE)</f>
        <v>45158</v>
      </c>
      <c r="P52" s="37">
        <f>VLOOKUP($B52, '[2]Medicaid - Totals'!$A$4:$K$55, 7, FALSE)</f>
        <v>37372</v>
      </c>
      <c r="Q52" s="18">
        <f>VLOOKUP($B52, '[3]raw_data (4)'!$A$5:$F$56, 4, FALSE)</f>
        <v>273612262.89999998</v>
      </c>
      <c r="R52" s="36">
        <f>VLOOKUP($A52, '[1]Medicaid - Totals'!$A$3:$K$54, 6, FALSE)</f>
        <v>212176.18006896999</v>
      </c>
      <c r="S52" s="36">
        <f>VLOOKUP($A52, '[1]Medicaid - Totals'!$A$3:$K$54, 11, FALSE)</f>
        <v>50554.339935302698</v>
      </c>
      <c r="T52" s="37">
        <f>VLOOKUP($B52, '[2]Medicaid - Totals'!$A$4:$K$55, 10, FALSE)</f>
        <v>233590</v>
      </c>
      <c r="U52" s="37">
        <f>VLOOKUP($B52, '[2]Medicaid - Totals'!$A$4:$K$55, 11, FALSE)</f>
        <v>85493</v>
      </c>
      <c r="V52" s="18">
        <f>VLOOKUP($B52, '[3]raw_data (4)'!$A$5:$F$56, 3, FALSE)</f>
        <v>1360749945</v>
      </c>
      <c r="W52" s="36">
        <f>VLOOKUP($A52, '[1]Medicaid - Totals'!$A$3:$K$54, 5, FALSE)</f>
        <v>245981.470039368</v>
      </c>
      <c r="X52" s="36">
        <f>VLOOKUP($A52, '[1]Medicaid - Totals'!$A$3:$K$54, 10, FALSE)</f>
        <v>124706.379859924</v>
      </c>
      <c r="Y52" s="37">
        <f>VLOOKUP($B52, '[2]Medicaid - Totals'!$A$4:$K$55, 8, FALSE)</f>
        <v>141115</v>
      </c>
      <c r="Z52" s="37">
        <f>VLOOKUP($B52, '[2]Medicaid - Totals'!$A$4:$K$55, 9, FALSE)</f>
        <v>15168</v>
      </c>
      <c r="AA52" s="8">
        <f>VLOOKUP($B52, '[3]raw_data (4)'!$A$5:$F$56, 2, FALSE)</f>
        <v>613776196.10000002</v>
      </c>
    </row>
    <row r="53" spans="1:27" x14ac:dyDescent="0.25">
      <c r="A53" s="1" t="s">
        <v>106</v>
      </c>
      <c r="B53" s="31" t="s">
        <v>107</v>
      </c>
      <c r="C53" s="43">
        <f>VLOOKUP($A53, '[1]Medicaid - Totals'!$A$3:$K$54, 2, FALSE)</f>
        <v>5648114</v>
      </c>
      <c r="D53" s="36">
        <f>VLOOKUP($A53, '[1]Medicaid - Totals'!$A$3:$K$54, 7, FALSE)</f>
        <v>3536887.977611063</v>
      </c>
      <c r="E53" s="37">
        <f>VLOOKUP($B53, '[2]Medicaid - Totals'!$A$4:$K$55, 2, FALSE)</f>
        <v>1233993</v>
      </c>
      <c r="F53" s="37">
        <f>VLOOKUP($B53, '[2]Medicaid - Totals'!$A$4:$K$55, 3, FALSE)</f>
        <v>1012757</v>
      </c>
      <c r="G53" s="18">
        <f>VLOOKUP($B53, '[3]raw_data (4)'!$A$5:$F$56, 6, FALSE)</f>
        <v>7031419790</v>
      </c>
      <c r="H53" s="36">
        <f>VLOOKUP($A53, '[1]Medicaid - Totals'!$A$3:$K$54, 3, FALSE)</f>
        <v>1358661.84505391</v>
      </c>
      <c r="I53" s="36">
        <f>VLOOKUP($A53, '[1]Medicaid - Totals'!$A$3:$K$54, 8, FALSE)</f>
        <v>731309.97964620602</v>
      </c>
      <c r="J53" s="37">
        <f>VLOOKUP($B53, '[2]Medicaid - Totals'!$A$4:$K$55, 4, FALSE)</f>
        <v>466198</v>
      </c>
      <c r="K53" s="37">
        <f>VLOOKUP($B53, '[2]Medicaid - Totals'!$A$4:$K$55, 5, FALSE)</f>
        <v>466874</v>
      </c>
      <c r="L53" s="18">
        <f>VLOOKUP($B53, '[3]raw_data (4)'!$A$5:$F$56, 5, FALSE)</f>
        <v>833168297</v>
      </c>
      <c r="M53" s="36">
        <f>VLOOKUP($A53, '[1]Medicaid - Totals'!$A$3:$K$54, 4, FALSE)</f>
        <v>3235175.1267242399</v>
      </c>
      <c r="N53" s="36">
        <f>VLOOKUP($A53, '[1]Medicaid - Totals'!$A$3:$K$54, 9, FALSE)</f>
        <v>2246660.5923099499</v>
      </c>
      <c r="O53" s="37">
        <f>VLOOKUP($B53, '[2]Medicaid - Totals'!$A$4:$K$55, 6, FALSE)</f>
        <v>344378</v>
      </c>
      <c r="P53" s="37">
        <f>VLOOKUP($B53, '[2]Medicaid - Totals'!$A$4:$K$55, 7, FALSE)</f>
        <v>318163</v>
      </c>
      <c r="Q53" s="18">
        <f>VLOOKUP($B53, '[3]raw_data (4)'!$A$5:$F$56, 4, FALSE)</f>
        <v>1234100948</v>
      </c>
      <c r="R53" s="36">
        <f>VLOOKUP($A53, '[1]Medicaid - Totals'!$A$3:$K$54, 6, FALSE)</f>
        <v>231251.869998932</v>
      </c>
      <c r="S53" s="36">
        <f>VLOOKUP($A53, '[1]Medicaid - Totals'!$A$3:$K$54, 11, FALSE)</f>
        <v>65169.304771423303</v>
      </c>
      <c r="T53" s="37">
        <f>VLOOKUP($B53, '[2]Medicaid - Totals'!$A$4:$K$55, 10, FALSE)</f>
        <v>289085</v>
      </c>
      <c r="U53" s="37">
        <f>VLOOKUP($B53, '[2]Medicaid - Totals'!$A$4:$K$55, 11, FALSE)</f>
        <v>134612</v>
      </c>
      <c r="V53" s="18">
        <f>VLOOKUP($B53, '[3]raw_data (4)'!$A$5:$F$56, 3, FALSE)</f>
        <v>2760301640</v>
      </c>
      <c r="W53" s="36">
        <f>VLOOKUP($A53, '[1]Medicaid - Totals'!$A$3:$K$54, 5, FALSE)</f>
        <v>823024.94528389</v>
      </c>
      <c r="X53" s="36">
        <f>VLOOKUP($A53, '[1]Medicaid - Totals'!$A$3:$K$54, 10, FALSE)</f>
        <v>493748.100883484</v>
      </c>
      <c r="Y53" s="37">
        <f>VLOOKUP($B53, '[2]Medicaid - Totals'!$A$4:$K$55, 8, FALSE)</f>
        <v>134332</v>
      </c>
      <c r="Z53" s="37">
        <f>VLOOKUP($B53, '[2]Medicaid - Totals'!$A$4:$K$55, 9, FALSE)</f>
        <v>93108</v>
      </c>
      <c r="AA53" s="8">
        <f>VLOOKUP($B53, '[3]raw_data (4)'!$A$5:$F$56, 2, FALSE)</f>
        <v>2203842800</v>
      </c>
    </row>
    <row r="54" spans="1:27" x14ac:dyDescent="0.25">
      <c r="A54" s="1" t="s">
        <v>108</v>
      </c>
      <c r="B54" s="31" t="s">
        <v>109</v>
      </c>
      <c r="C54" s="44">
        <f>VLOOKUP($A54, '[1]Medicaid - Totals'!$A$3:$K$54, 2, FALSE)</f>
        <v>549871.625</v>
      </c>
      <c r="D54" s="45">
        <f>VLOOKUP($A54, '[1]Medicaid - Totals'!$A$3:$K$54, 7, FALSE)</f>
        <v>338841.74967312842</v>
      </c>
      <c r="E54" s="46">
        <f>VLOOKUP($B54, '[2]Medicaid - Totals'!$A$4:$K$55, 2, FALSE)</f>
        <v>70790</v>
      </c>
      <c r="F54" s="46">
        <f>VLOOKUP($B54, '[2]Medicaid - Totals'!$A$4:$K$55, 3, FALSE)</f>
        <v>66306</v>
      </c>
      <c r="G54" s="49">
        <f>VLOOKUP($B54, '[3]raw_data (4)'!$A$5:$F$56, 6, FALSE)</f>
        <v>544228281</v>
      </c>
      <c r="H54" s="45">
        <f>VLOOKUP($A54, '[1]Medicaid - Totals'!$A$3:$K$54, 3, FALSE)</f>
        <v>140695.29506832399</v>
      </c>
      <c r="I54" s="45">
        <f>VLOOKUP($A54, '[1]Medicaid - Totals'!$A$3:$K$54, 8, FALSE)</f>
        <v>75458.825020015196</v>
      </c>
      <c r="J54" s="46">
        <f>VLOOKUP($B54, '[2]Medicaid - Totals'!$A$4:$K$55, 4, FALSE)</f>
        <v>45176</v>
      </c>
      <c r="K54" s="46">
        <f>VLOOKUP($B54, '[2]Medicaid - Totals'!$A$4:$K$55, 5, FALSE)</f>
        <v>49232</v>
      </c>
      <c r="L54" s="49">
        <f>VLOOKUP($B54, '[3]raw_data (4)'!$A$5:$F$56, 5, FALSE)</f>
        <v>113457168.09999999</v>
      </c>
      <c r="M54" s="45">
        <f>VLOOKUP($A54, '[1]Medicaid - Totals'!$A$3:$K$54, 4, FALSE)</f>
        <v>326491.63497507601</v>
      </c>
      <c r="N54" s="45">
        <f>VLOOKUP($A54, '[1]Medicaid - Totals'!$A$3:$K$54, 9, FALSE)</f>
        <v>221382.269785941</v>
      </c>
      <c r="O54" s="46">
        <f>VLOOKUP($B54, '[2]Medicaid - Totals'!$A$4:$K$55, 6, FALSE)</f>
        <v>9189</v>
      </c>
      <c r="P54" s="46">
        <f>VLOOKUP($B54, '[2]Medicaid - Totals'!$A$4:$K$55, 7, FALSE)</f>
        <v>7703</v>
      </c>
      <c r="Q54" s="49">
        <f>VLOOKUP($B54, '[3]raw_data (4)'!$A$5:$F$56, 4, FALSE)</f>
        <v>51399536.5</v>
      </c>
      <c r="R54" s="45">
        <f>VLOOKUP($A54, '[1]Medicaid - Totals'!$A$3:$K$54, 6, FALSE)</f>
        <v>20530.2349739075</v>
      </c>
      <c r="S54" s="45">
        <f>VLOOKUP($A54, '[1]Medicaid - Totals'!$A$3:$K$54, 11, FALSE)</f>
        <v>7077.9149703979501</v>
      </c>
      <c r="T54" s="46">
        <f>VLOOKUP($B54, '[2]Medicaid - Totals'!$A$4:$K$55, 10, FALSE)</f>
        <v>13913</v>
      </c>
      <c r="U54" s="46">
        <f>VLOOKUP($B54, '[2]Medicaid - Totals'!$A$4:$K$55, 11, FALSE)</f>
        <v>7837</v>
      </c>
      <c r="V54" s="49">
        <f>VLOOKUP($B54, '[3]raw_data (4)'!$A$5:$F$56, 3, FALSE)</f>
        <v>254414148.19999999</v>
      </c>
      <c r="W54" s="45">
        <f>VLOOKUP($A54, '[1]Medicaid - Totals'!$A$3:$K$54, 5, FALSE)</f>
        <v>62154.444747447997</v>
      </c>
      <c r="X54" s="45">
        <f>VLOOKUP($A54, '[1]Medicaid - Totals'!$A$3:$K$54, 10, FALSE)</f>
        <v>34922.739896774299</v>
      </c>
      <c r="Y54" s="46">
        <f>VLOOKUP($B54, '[2]Medicaid - Totals'!$A$4:$K$55, 8, FALSE)</f>
        <v>2512</v>
      </c>
      <c r="Z54" s="46">
        <f>VLOOKUP($B54, '[2]Medicaid - Totals'!$A$4:$K$55, 9, FALSE)</f>
        <v>1534</v>
      </c>
      <c r="AA54" s="47">
        <f>VLOOKUP($B54, '[3]raw_data (4)'!$A$5:$F$56, 2, FALSE)</f>
        <v>124957428.3</v>
      </c>
    </row>
  </sheetData>
  <mergeCells count="5">
    <mergeCell ref="W1:AA1"/>
    <mergeCell ref="C1:G1"/>
    <mergeCell ref="H1:L1"/>
    <mergeCell ref="M1:Q1"/>
    <mergeCell ref="R1:V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workbookViewId="0">
      <selection activeCell="N4" sqref="N4"/>
    </sheetView>
  </sheetViews>
  <sheetFormatPr defaultRowHeight="15" x14ac:dyDescent="0.25"/>
  <cols>
    <col min="2" max="2" width="19.140625" bestFit="1" customWidth="1"/>
    <col min="3" max="3" width="16.28515625" style="7" customWidth="1"/>
    <col min="4" max="4" width="2.5703125" bestFit="1" customWidth="1"/>
    <col min="5" max="5" width="15.85546875" customWidth="1"/>
    <col min="6" max="6" width="2.28515625" bestFit="1" customWidth="1"/>
    <col min="7" max="7" width="17.5703125" style="74" customWidth="1"/>
    <col min="8" max="8" width="19.42578125" customWidth="1"/>
    <col min="9" max="9" width="4.28515625" bestFit="1" customWidth="1"/>
    <col min="10" max="10" width="29.7109375" customWidth="1"/>
    <col min="11" max="11" width="4" bestFit="1" customWidth="1"/>
    <col min="12" max="12" width="29.5703125" customWidth="1"/>
    <col min="13" max="13" width="2" bestFit="1" customWidth="1"/>
    <col min="14" max="14" width="18.5703125" bestFit="1" customWidth="1"/>
  </cols>
  <sheetData>
    <row r="1" spans="1:16" x14ac:dyDescent="0.25">
      <c r="A1" s="1"/>
      <c r="B1" s="1"/>
      <c r="C1" s="133" t="s">
        <v>111</v>
      </c>
      <c r="D1" s="134"/>
      <c r="E1" s="134"/>
      <c r="F1" s="134"/>
      <c r="G1" s="135"/>
      <c r="H1" s="133" t="s">
        <v>112</v>
      </c>
      <c r="I1" s="134"/>
      <c r="J1" s="134"/>
      <c r="K1" s="134"/>
      <c r="L1" s="134"/>
      <c r="M1" s="134"/>
      <c r="N1" s="135"/>
    </row>
    <row r="2" spans="1:16" s="11" customFormat="1" ht="45.75" customHeight="1" x14ac:dyDescent="0.25">
      <c r="A2" s="9" t="s">
        <v>0</v>
      </c>
      <c r="B2" s="9" t="s">
        <v>1</v>
      </c>
      <c r="C2" s="9" t="s">
        <v>113</v>
      </c>
      <c r="D2" s="9" t="s">
        <v>114</v>
      </c>
      <c r="E2" s="9" t="s">
        <v>115</v>
      </c>
      <c r="F2" s="9" t="s">
        <v>116</v>
      </c>
      <c r="G2" s="52" t="s">
        <v>117</v>
      </c>
      <c r="H2" s="51" t="s">
        <v>118</v>
      </c>
      <c r="I2" s="10" t="s">
        <v>114</v>
      </c>
      <c r="J2" s="10" t="s">
        <v>119</v>
      </c>
      <c r="K2" s="10" t="s">
        <v>116</v>
      </c>
      <c r="L2" s="10" t="s">
        <v>120</v>
      </c>
      <c r="M2" s="10" t="s">
        <v>116</v>
      </c>
      <c r="N2" s="52" t="s">
        <v>121</v>
      </c>
    </row>
    <row r="3" spans="1:16" x14ac:dyDescent="0.25">
      <c r="A3" s="65" t="s">
        <v>10</v>
      </c>
      <c r="B3" s="66" t="s">
        <v>11</v>
      </c>
      <c r="C3" s="67">
        <f>VLOOKUP($A3,'Data - Total'!$A$2:$G$54,7,FALSE)/VLOOKUP($A3,'Data - Total'!$A$2:$G$54,3,FALSE)</f>
        <v>1867.9927742085968</v>
      </c>
      <c r="D3" s="68"/>
      <c r="E3" s="68">
        <f>VLOOKUP($A3,'Data - Total'!$A$2:$G$54,6,FALSE)/VLOOKUP($A3,'Data - Total'!$A$2:$G$54,3,FALSE)</f>
        <v>0.15663632690003701</v>
      </c>
      <c r="F3" s="68"/>
      <c r="G3" s="12">
        <f>VLOOKUP($A3,'Data - Total'!$A$2:$G$54,7,FALSE)/VLOOKUP($A3,'Data - Total'!$A$2:$G$54,6,FALSE)</f>
        <v>11925.667635201395</v>
      </c>
      <c r="H3" s="68">
        <f>VLOOKUP($A3,'Data - Total'!$A$2:$G$54,6,FALSE)/VLOOKUP($A3,'Data - Total'!$A$2:$G$54,3,FALSE)</f>
        <v>0.15663632690003701</v>
      </c>
      <c r="I3" s="68"/>
      <c r="J3" s="68">
        <f>VLOOKUP($A3,'Data - Total'!$A$2:$G$54,4,FALSE)/VLOOKUP($A3,'Data - Total'!$A$2:$G$54,3,FALSE)</f>
        <v>0.63532540206703192</v>
      </c>
      <c r="K3" s="68"/>
      <c r="L3" s="68">
        <f>VLOOKUP($A3,'Data - Total'!$A$2:$G$54,5,FALSE)/VLOOKUP($A3,'Data - Total'!$A$2:$G$54,4,FALSE)</f>
        <v>0.33260701628824868</v>
      </c>
      <c r="M3" s="68"/>
      <c r="N3" s="75">
        <f>VLOOKUP($A3,'Data - Total'!$A$2:$G$54,6,FALSE)/VLOOKUP($A3,'Data - Total'!$A$2:$G$54,5,FALSE)</f>
        <v>0.74125026922248549</v>
      </c>
      <c r="P3" s="54"/>
    </row>
    <row r="4" spans="1:16" x14ac:dyDescent="0.25">
      <c r="A4" s="69" t="s">
        <v>8</v>
      </c>
      <c r="B4" s="70" t="s">
        <v>9</v>
      </c>
      <c r="C4" s="6">
        <f>VLOOKUP($A4,'Data - Total'!$A$2:$G$54,7,FALSE)/VLOOKUP($A4,'Data - Total'!$A$2:$G$54,3,FALSE)</f>
        <v>925.55193039488051</v>
      </c>
      <c r="D4" s="4"/>
      <c r="E4" s="4">
        <f>VLOOKUP($A4,'Data - Total'!$A$2:$G$54,6,FALSE)/VLOOKUP($A4,'Data - Total'!$A$2:$G$54,3,FALSE)</f>
        <v>0.15422516906048708</v>
      </c>
      <c r="F4" s="4"/>
      <c r="G4" s="18">
        <f>VLOOKUP($A4,'Data - Total'!$A$2:$G$54,7,FALSE)/VLOOKUP($A4,'Data - Total'!$A$2:$G$54,6,FALSE)</f>
        <v>6001.3027447671602</v>
      </c>
      <c r="H4" s="4">
        <f>VLOOKUP($A4,'Data - Total'!$A$2:$G$54,6,FALSE)/VLOOKUP($A4,'Data - Total'!$A$2:$G$54,3,FALSE)</f>
        <v>0.15422516906048708</v>
      </c>
      <c r="I4" s="4"/>
      <c r="J4" s="4">
        <f>VLOOKUP($A4,'Data - Total'!$A$2:$G$54,4,FALSE)/VLOOKUP($A4,'Data - Total'!$A$2:$G$54,3,FALSE)</f>
        <v>0.5370073252508496</v>
      </c>
      <c r="K4" s="4"/>
      <c r="L4" s="4">
        <f>VLOOKUP($A4,'Data - Total'!$A$2:$G$54,5,FALSE)/VLOOKUP($A4,'Data - Total'!$A$2:$G$54,4,FALSE)</f>
        <v>0.28050442022750632</v>
      </c>
      <c r="M4" s="4"/>
      <c r="N4" s="124">
        <f>VLOOKUP($A4,'Data - Total'!$A$2:$G$54,6,FALSE)/VLOOKUP($A4,'Data - Total'!$A$2:$G$54,5,FALSE)</f>
        <v>1.0238476452033169</v>
      </c>
    </row>
    <row r="5" spans="1:16" x14ac:dyDescent="0.25">
      <c r="A5" s="69" t="s">
        <v>14</v>
      </c>
      <c r="B5" s="70" t="s">
        <v>15</v>
      </c>
      <c r="C5" s="6">
        <f>VLOOKUP($A5,'Data - Total'!$A$2:$G$54,7,FALSE)/VLOOKUP($A5,'Data - Total'!$A$2:$G$54,3,FALSE)</f>
        <v>1305.5348262468497</v>
      </c>
      <c r="D5" s="4"/>
      <c r="E5" s="4">
        <f>VLOOKUP($A5,'Data - Total'!$A$2:$G$54,6,FALSE)/VLOOKUP($A5,'Data - Total'!$A$2:$G$54,3,FALSE)</f>
        <v>0.17631980180549159</v>
      </c>
      <c r="F5" s="4"/>
      <c r="G5" s="18">
        <f>VLOOKUP($A5,'Data - Total'!$A$2:$G$54,7,FALSE)/VLOOKUP($A5,'Data - Total'!$A$2:$G$54,6,FALSE)</f>
        <v>7404.3573828823801</v>
      </c>
      <c r="H5" s="4">
        <f>VLOOKUP($A5,'Data - Total'!$A$2:$G$54,6,FALSE)/VLOOKUP($A5,'Data - Total'!$A$2:$G$54,3,FALSE)</f>
        <v>0.17631980180549159</v>
      </c>
      <c r="I5" s="4"/>
      <c r="J5" s="4">
        <f>VLOOKUP($A5,'Data - Total'!$A$2:$G$54,4,FALSE)/VLOOKUP($A5,'Data - Total'!$A$2:$G$54,3,FALSE)</f>
        <v>0.48778597272532875</v>
      </c>
      <c r="K5" s="4"/>
      <c r="L5" s="4">
        <f>VLOOKUP($A5,'Data - Total'!$A$2:$G$54,5,FALSE)/VLOOKUP($A5,'Data - Total'!$A$2:$G$54,4,FALSE)</f>
        <v>0.54927956557754753</v>
      </c>
      <c r="M5" s="4"/>
      <c r="N5" s="64">
        <f>VLOOKUP($A5,'Data - Total'!$A$2:$G$54,6,FALSE)/VLOOKUP($A5,'Data - Total'!$A$2:$G$54,5,FALSE)</f>
        <v>0.65807946524588223</v>
      </c>
    </row>
    <row r="6" spans="1:16" x14ac:dyDescent="0.25">
      <c r="A6" s="69" t="s">
        <v>12</v>
      </c>
      <c r="B6" s="70" t="s">
        <v>13</v>
      </c>
      <c r="C6" s="6">
        <f>VLOOKUP($A6,'Data - Total'!$A$2:$G$54,7,FALSE)/VLOOKUP($A6,'Data - Total'!$A$2:$G$54,3,FALSE)</f>
        <v>1338.6940088191413</v>
      </c>
      <c r="D6" s="4"/>
      <c r="E6" s="4">
        <f>VLOOKUP($A6,'Data - Total'!$A$2:$G$54,6,FALSE)/VLOOKUP($A6,'Data - Total'!$A$2:$G$54,3,FALSE)</f>
        <v>0.17339360525559905</v>
      </c>
      <c r="F6" s="4"/>
      <c r="G6" s="18">
        <f>VLOOKUP($A6,'Data - Total'!$A$2:$G$54,7,FALSE)/VLOOKUP($A6,'Data - Total'!$A$2:$G$54,6,FALSE)</f>
        <v>7720.5500563055721</v>
      </c>
      <c r="H6" s="4">
        <f>VLOOKUP($A6,'Data - Total'!$A$2:$G$54,6,FALSE)/VLOOKUP($A6,'Data - Total'!$A$2:$G$54,3,FALSE)</f>
        <v>0.17339360525559905</v>
      </c>
      <c r="I6" s="4"/>
      <c r="J6" s="4">
        <f>VLOOKUP($A6,'Data - Total'!$A$2:$G$54,4,FALSE)/VLOOKUP($A6,'Data - Total'!$A$2:$G$54,3,FALSE)</f>
        <v>0.53030944994783036</v>
      </c>
      <c r="K6" s="4"/>
      <c r="L6" s="4">
        <f>VLOOKUP($A6,'Data - Total'!$A$2:$G$54,5,FALSE)/VLOOKUP($A6,'Data - Total'!$A$2:$G$54,4,FALSE)</f>
        <v>0.50637289667319652</v>
      </c>
      <c r="M6" s="4"/>
      <c r="N6" s="64">
        <f>VLOOKUP($A6,'Data - Total'!$A$2:$G$54,6,FALSE)/VLOOKUP($A6,'Data - Total'!$A$2:$G$54,5,FALSE)</f>
        <v>0.64570367508832294</v>
      </c>
    </row>
    <row r="7" spans="1:16" x14ac:dyDescent="0.25">
      <c r="A7" s="69" t="s">
        <v>16</v>
      </c>
      <c r="B7" s="70" t="s">
        <v>17</v>
      </c>
      <c r="C7" s="6">
        <f>VLOOKUP($A7,'Data - Total'!$A$2:$G$54,7,FALSE)/VLOOKUP($A7,'Data - Total'!$A$2:$G$54,3,FALSE)</f>
        <v>1392.7403289826423</v>
      </c>
      <c r="D7" s="4"/>
      <c r="E7" s="4">
        <f>VLOOKUP($A7,'Data - Total'!$A$2:$G$54,6,FALSE)/VLOOKUP($A7,'Data - Total'!$A$2:$G$54,3,FALSE)</f>
        <v>0.19178468349169428</v>
      </c>
      <c r="F7" s="4"/>
      <c r="G7" s="18">
        <f>VLOOKUP($A7,'Data - Total'!$A$2:$G$54,7,FALSE)/VLOOKUP($A7,'Data - Total'!$A$2:$G$54,6,FALSE)</f>
        <v>7261.9997782198216</v>
      </c>
      <c r="H7" s="4">
        <f>VLOOKUP($A7,'Data - Total'!$A$2:$G$54,6,FALSE)/VLOOKUP($A7,'Data - Total'!$A$2:$G$54,3,FALSE)</f>
        <v>0.19178468349169428</v>
      </c>
      <c r="I7" s="4"/>
      <c r="J7" s="4">
        <f>VLOOKUP($A7,'Data - Total'!$A$2:$G$54,4,FALSE)/VLOOKUP($A7,'Data - Total'!$A$2:$G$54,3,FALSE)</f>
        <v>0.53637135825956439</v>
      </c>
      <c r="K7" s="4"/>
      <c r="L7" s="4">
        <f>VLOOKUP($A7,'Data - Total'!$A$2:$G$54,5,FALSE)/VLOOKUP($A7,'Data - Total'!$A$2:$G$54,4,FALSE)</f>
        <v>0.49889314540024404</v>
      </c>
      <c r="M7" s="4"/>
      <c r="N7" s="64">
        <f>VLOOKUP($A7,'Data - Total'!$A$2:$G$54,6,FALSE)/VLOOKUP($A7,'Data - Total'!$A$2:$G$54,5,FALSE)</f>
        <v>0.71670561068422955</v>
      </c>
    </row>
    <row r="8" spans="1:16" x14ac:dyDescent="0.25">
      <c r="A8" s="69" t="s">
        <v>18</v>
      </c>
      <c r="B8" s="70" t="s">
        <v>19</v>
      </c>
      <c r="C8" s="6">
        <f>VLOOKUP($A8,'Data - Total'!$A$2:$G$54,7,FALSE)/VLOOKUP($A8,'Data - Total'!$A$2:$G$54,3,FALSE)</f>
        <v>839.7385538623821</v>
      </c>
      <c r="D8" s="4"/>
      <c r="E8" s="4">
        <f>VLOOKUP($A8,'Data - Total'!$A$2:$G$54,6,FALSE)/VLOOKUP($A8,'Data - Total'!$A$2:$G$54,3,FALSE)</f>
        <v>0.10005661185256706</v>
      </c>
      <c r="F8" s="4"/>
      <c r="G8" s="18">
        <f>VLOOKUP($A8,'Data - Total'!$A$2:$G$54,7,FALSE)/VLOOKUP($A8,'Data - Total'!$A$2:$G$54,6,FALSE)</f>
        <v>8392.6343128601329</v>
      </c>
      <c r="H8" s="4">
        <f>VLOOKUP($A8,'Data - Total'!$A$2:$G$54,6,FALSE)/VLOOKUP($A8,'Data - Total'!$A$2:$G$54,3,FALSE)</f>
        <v>0.10005661185256706</v>
      </c>
      <c r="I8" s="4"/>
      <c r="J8" s="4">
        <f>VLOOKUP($A8,'Data - Total'!$A$2:$G$54,4,FALSE)/VLOOKUP($A8,'Data - Total'!$A$2:$G$54,3,FALSE)</f>
        <v>0.64980370811207644</v>
      </c>
      <c r="K8" s="4"/>
      <c r="L8" s="4">
        <f>VLOOKUP($A8,'Data - Total'!$A$2:$G$54,5,FALSE)/VLOOKUP($A8,'Data - Total'!$A$2:$G$54,4,FALSE)</f>
        <v>0.21098605096700779</v>
      </c>
      <c r="M8" s="4"/>
      <c r="N8" s="64">
        <f>VLOOKUP($A8,'Data - Total'!$A$2:$G$54,6,FALSE)/VLOOKUP($A8,'Data - Total'!$A$2:$G$54,5,FALSE)</f>
        <v>0.7298100905757503</v>
      </c>
    </row>
    <row r="9" spans="1:16" x14ac:dyDescent="0.25">
      <c r="A9" s="69" t="s">
        <v>20</v>
      </c>
      <c r="B9" s="70" t="s">
        <v>21</v>
      </c>
      <c r="C9" s="6">
        <f>VLOOKUP($A9,'Data - Total'!$A$2:$G$54,7,FALSE)/VLOOKUP($A9,'Data - Total'!$A$2:$G$54,3,FALSE)</f>
        <v>1673.1320345093718</v>
      </c>
      <c r="D9" s="4"/>
      <c r="E9" s="4">
        <f>VLOOKUP($A9,'Data - Total'!$A$2:$G$54,6,FALSE)/VLOOKUP($A9,'Data - Total'!$A$2:$G$54,3,FALSE)</f>
        <v>0.1535264867605225</v>
      </c>
      <c r="F9" s="4"/>
      <c r="G9" s="18">
        <f>VLOOKUP($A9,'Data - Total'!$A$2:$G$54,7,FALSE)/VLOOKUP($A9,'Data - Total'!$A$2:$G$54,6,FALSE)</f>
        <v>10898.002486822996</v>
      </c>
      <c r="H9" s="4">
        <f>VLOOKUP($A9,'Data - Total'!$A$2:$G$54,6,FALSE)/VLOOKUP($A9,'Data - Total'!$A$2:$G$54,3,FALSE)</f>
        <v>0.1535264867605225</v>
      </c>
      <c r="I9" s="4"/>
      <c r="J9" s="4">
        <f>VLOOKUP($A9,'Data - Total'!$A$2:$G$54,4,FALSE)/VLOOKUP($A9,'Data - Total'!$A$2:$G$54,3,FALSE)</f>
        <v>0.70330972415911097</v>
      </c>
      <c r="K9" s="4"/>
      <c r="L9" s="4">
        <f>VLOOKUP($A9,'Data - Total'!$A$2:$G$54,5,FALSE)/VLOOKUP($A9,'Data - Total'!$A$2:$G$54,4,FALSE)</f>
        <v>0.30953924346907535</v>
      </c>
      <c r="M9" s="4"/>
      <c r="N9" s="64">
        <f>VLOOKUP($A9,'Data - Total'!$A$2:$G$54,6,FALSE)/VLOOKUP($A9,'Data - Total'!$A$2:$G$54,5,FALSE)</f>
        <v>0.70521407709132822</v>
      </c>
    </row>
    <row r="10" spans="1:16" x14ac:dyDescent="0.25">
      <c r="A10" s="69" t="s">
        <v>24</v>
      </c>
      <c r="B10" s="70" t="s">
        <v>25</v>
      </c>
      <c r="C10" s="6">
        <f>VLOOKUP($A10,'Data - Total'!$A$2:$G$54,7,FALSE)/VLOOKUP($A10,'Data - Total'!$A$2:$G$54,3,FALSE)</f>
        <v>3377.6312918332119</v>
      </c>
      <c r="D10" s="4"/>
      <c r="E10" s="4">
        <f>VLOOKUP($A10,'Data - Total'!$A$2:$G$54,6,FALSE)/VLOOKUP($A10,'Data - Total'!$A$2:$G$54,3,FALSE)</f>
        <v>0.26023363469673189</v>
      </c>
      <c r="F10" s="4"/>
      <c r="G10" s="18">
        <f>VLOOKUP($A10,'Data - Total'!$A$2:$G$54,7,FALSE)/VLOOKUP($A10,'Data - Total'!$A$2:$G$54,6,FALSE)</f>
        <v>12979.226516085817</v>
      </c>
      <c r="H10" s="4">
        <f>VLOOKUP($A10,'Data - Total'!$A$2:$G$54,6,FALSE)/VLOOKUP($A10,'Data - Total'!$A$2:$G$54,3,FALSE)</f>
        <v>0.26023363469673189</v>
      </c>
      <c r="I10" s="4"/>
      <c r="J10" s="4">
        <f>VLOOKUP($A10,'Data - Total'!$A$2:$G$54,4,FALSE)/VLOOKUP($A10,'Data - Total'!$A$2:$G$54,3,FALSE)</f>
        <v>0.5855280229098262</v>
      </c>
      <c r="K10" s="4"/>
      <c r="L10" s="4">
        <f>VLOOKUP($A10,'Data - Total'!$A$2:$G$54,5,FALSE)/VLOOKUP($A10,'Data - Total'!$A$2:$G$54,4,FALSE)</f>
        <v>0.64701093741656668</v>
      </c>
      <c r="M10" s="4"/>
      <c r="N10" s="64">
        <f>VLOOKUP($A10,'Data - Total'!$A$2:$G$54,6,FALSE)/VLOOKUP($A10,'Data - Total'!$A$2:$G$54,5,FALSE)</f>
        <v>0.68691677202397849</v>
      </c>
    </row>
    <row r="11" spans="1:16" x14ac:dyDescent="0.25">
      <c r="A11" s="69" t="s">
        <v>22</v>
      </c>
      <c r="B11" s="70" t="s">
        <v>23</v>
      </c>
      <c r="C11" s="6">
        <f>VLOOKUP($A11,'Data - Total'!$A$2:$G$54,7,FALSE)/VLOOKUP($A11,'Data - Total'!$A$2:$G$54,3,FALSE)</f>
        <v>1617.7461276959089</v>
      </c>
      <c r="D11" s="4"/>
      <c r="E11" s="4">
        <f>VLOOKUP($A11,'Data - Total'!$A$2:$G$54,6,FALSE)/VLOOKUP($A11,'Data - Total'!$A$2:$G$54,3,FALSE)</f>
        <v>0.18158826671382769</v>
      </c>
      <c r="F11" s="4"/>
      <c r="G11" s="18">
        <f>VLOOKUP($A11,'Data - Total'!$A$2:$G$54,7,FALSE)/VLOOKUP($A11,'Data - Total'!$A$2:$G$54,6,FALSE)</f>
        <v>8908.8692621609771</v>
      </c>
      <c r="H11" s="4">
        <f>VLOOKUP($A11,'Data - Total'!$A$2:$G$54,6,FALSE)/VLOOKUP($A11,'Data - Total'!$A$2:$G$54,3,FALSE)</f>
        <v>0.18158826671382769</v>
      </c>
      <c r="I11" s="4"/>
      <c r="J11" s="4">
        <f>VLOOKUP($A11,'Data - Total'!$A$2:$G$54,4,FALSE)/VLOOKUP($A11,'Data - Total'!$A$2:$G$54,3,FALSE)</f>
        <v>0.60897192021983426</v>
      </c>
      <c r="K11" s="4"/>
      <c r="L11" s="4">
        <f>VLOOKUP($A11,'Data - Total'!$A$2:$G$54,5,FALSE)/VLOOKUP($A11,'Data - Total'!$A$2:$G$54,4,FALSE)</f>
        <v>0.31583951088981088</v>
      </c>
      <c r="M11" s="4"/>
      <c r="N11" s="64">
        <f>VLOOKUP($A11,'Data - Total'!$A$2:$G$54,6,FALSE)/VLOOKUP($A11,'Data - Total'!$A$2:$G$54,5,FALSE)</f>
        <v>0.94411317257418648</v>
      </c>
    </row>
    <row r="12" spans="1:16" x14ac:dyDescent="0.25">
      <c r="A12" s="69" t="s">
        <v>26</v>
      </c>
      <c r="B12" s="70" t="s">
        <v>27</v>
      </c>
      <c r="C12" s="6">
        <f>VLOOKUP($A12,'Data - Total'!$A$2:$G$54,7,FALSE)/VLOOKUP($A12,'Data - Total'!$A$2:$G$54,3,FALSE)</f>
        <v>919.35420139174494</v>
      </c>
      <c r="D12" s="4"/>
      <c r="E12" s="4">
        <f>VLOOKUP($A12,'Data - Total'!$A$2:$G$54,6,FALSE)/VLOOKUP($A12,'Data - Total'!$A$2:$G$54,3,FALSE)</f>
        <v>0.14875413770927209</v>
      </c>
      <c r="F12" s="4"/>
      <c r="G12" s="18">
        <f>VLOOKUP($A12,'Data - Total'!$A$2:$G$54,7,FALSE)/VLOOKUP($A12,'Data - Total'!$A$2:$G$54,6,FALSE)</f>
        <v>6180.3605301289044</v>
      </c>
      <c r="H12" s="4">
        <f>VLOOKUP($A12,'Data - Total'!$A$2:$G$54,6,FALSE)/VLOOKUP($A12,'Data - Total'!$A$2:$G$54,3,FALSE)</f>
        <v>0.14875413770927209</v>
      </c>
      <c r="I12" s="4"/>
      <c r="J12" s="4">
        <f>VLOOKUP($A12,'Data - Total'!$A$2:$G$54,4,FALSE)/VLOOKUP($A12,'Data - Total'!$A$2:$G$54,3,FALSE)</f>
        <v>0.55070327480065318</v>
      </c>
      <c r="K12" s="4"/>
      <c r="L12" s="4">
        <f>VLOOKUP($A12,'Data - Total'!$A$2:$G$54,5,FALSE)/VLOOKUP($A12,'Data - Total'!$A$2:$G$54,4,FALSE)</f>
        <v>0.35214519742628436</v>
      </c>
      <c r="M12" s="4"/>
      <c r="N12" s="64">
        <f>VLOOKUP($A12,'Data - Total'!$A$2:$G$54,6,FALSE)/VLOOKUP($A12,'Data - Total'!$A$2:$G$54,5,FALSE)</f>
        <v>0.76706051183664481</v>
      </c>
    </row>
    <row r="13" spans="1:16" x14ac:dyDescent="0.25">
      <c r="A13" s="69" t="s">
        <v>28</v>
      </c>
      <c r="B13" s="70" t="s">
        <v>29</v>
      </c>
      <c r="C13" s="6">
        <f>VLOOKUP($A13,'Data - Total'!$A$2:$G$54,7,FALSE)/VLOOKUP($A13,'Data - Total'!$A$2:$G$54,3,FALSE)</f>
        <v>789.48777962869701</v>
      </c>
      <c r="D13" s="4"/>
      <c r="E13" s="4">
        <f>VLOOKUP($A13,'Data - Total'!$A$2:$G$54,6,FALSE)/VLOOKUP($A13,'Data - Total'!$A$2:$G$54,3,FALSE)</f>
        <v>0.15330407528137355</v>
      </c>
      <c r="F13" s="4"/>
      <c r="G13" s="18">
        <f>VLOOKUP($A13,'Data - Total'!$A$2:$G$54,7,FALSE)/VLOOKUP($A13,'Data - Total'!$A$2:$G$54,6,FALSE)</f>
        <v>5149.8159992138171</v>
      </c>
      <c r="H13" s="4">
        <f>VLOOKUP($A13,'Data - Total'!$A$2:$G$54,6,FALSE)/VLOOKUP($A13,'Data - Total'!$A$2:$G$54,3,FALSE)</f>
        <v>0.15330407528137355</v>
      </c>
      <c r="I13" s="4"/>
      <c r="J13" s="4">
        <f>VLOOKUP($A13,'Data - Total'!$A$2:$G$54,4,FALSE)/VLOOKUP($A13,'Data - Total'!$A$2:$G$54,3,FALSE)</f>
        <v>0.52795210662560488</v>
      </c>
      <c r="K13" s="4"/>
      <c r="L13" s="4">
        <f>VLOOKUP($A13,'Data - Total'!$A$2:$G$54,5,FALSE)/VLOOKUP($A13,'Data - Total'!$A$2:$G$54,4,FALSE)</f>
        <v>0.40566840834709006</v>
      </c>
      <c r="M13" s="4"/>
      <c r="N13" s="64">
        <f>VLOOKUP($A13,'Data - Total'!$A$2:$G$54,6,FALSE)/VLOOKUP($A13,'Data - Total'!$A$2:$G$54,5,FALSE)</f>
        <v>0.71579388618203643</v>
      </c>
    </row>
    <row r="14" spans="1:16" x14ac:dyDescent="0.25">
      <c r="A14" s="69" t="s">
        <v>30</v>
      </c>
      <c r="B14" s="70" t="s">
        <v>31</v>
      </c>
      <c r="C14" s="6">
        <f>VLOOKUP($A14,'Data - Total'!$A$2:$G$54,7,FALSE)/VLOOKUP($A14,'Data - Total'!$A$2:$G$54,3,FALSE)</f>
        <v>1189.8969141169209</v>
      </c>
      <c r="D14" s="4"/>
      <c r="E14" s="4">
        <f>VLOOKUP($A14,'Data - Total'!$A$2:$G$54,6,FALSE)/VLOOKUP($A14,'Data - Total'!$A$2:$G$54,3,FALSE)</f>
        <v>0.18802945795097981</v>
      </c>
      <c r="F14" s="4"/>
      <c r="G14" s="18">
        <f>VLOOKUP($A14,'Data - Total'!$A$2:$G$54,7,FALSE)/VLOOKUP($A14,'Data - Total'!$A$2:$G$54,6,FALSE)</f>
        <v>6328.2473240290519</v>
      </c>
      <c r="H14" s="4">
        <f>VLOOKUP($A14,'Data - Total'!$A$2:$G$54,6,FALSE)/VLOOKUP($A14,'Data - Total'!$A$2:$G$54,3,FALSE)</f>
        <v>0.18802945795097981</v>
      </c>
      <c r="I14" s="4"/>
      <c r="J14" s="4">
        <f>VLOOKUP($A14,'Data - Total'!$A$2:$G$54,4,FALSE)/VLOOKUP($A14,'Data - Total'!$A$2:$G$54,3,FALSE)</f>
        <v>0.60742702446806018</v>
      </c>
      <c r="K14" s="4"/>
      <c r="L14" s="4">
        <f>VLOOKUP($A14,'Data - Total'!$A$2:$G$54,5,FALSE)/VLOOKUP($A14,'Data - Total'!$A$2:$G$54,4,FALSE)</f>
        <v>0.44299566892522146</v>
      </c>
      <c r="M14" s="4"/>
      <c r="N14" s="64">
        <f>VLOOKUP($A14,'Data - Total'!$A$2:$G$54,6,FALSE)/VLOOKUP($A14,'Data - Total'!$A$2:$G$54,5,FALSE)</f>
        <v>0.69876686684566369</v>
      </c>
    </row>
    <row r="15" spans="1:16" x14ac:dyDescent="0.25">
      <c r="A15" s="69" t="s">
        <v>38</v>
      </c>
      <c r="B15" s="70" t="s">
        <v>39</v>
      </c>
      <c r="C15" s="6">
        <f>VLOOKUP($A15,'Data - Total'!$A$2:$G$54,7,FALSE)/VLOOKUP($A15,'Data - Total'!$A$2:$G$54,3,FALSE)</f>
        <v>1096.0007752080203</v>
      </c>
      <c r="D15" s="4"/>
      <c r="E15" s="4">
        <f>VLOOKUP($A15,'Data - Total'!$A$2:$G$54,6,FALSE)/VLOOKUP($A15,'Data - Total'!$A$2:$G$54,3,FALSE)</f>
        <v>0.14504295499690617</v>
      </c>
      <c r="F15" s="4"/>
      <c r="G15" s="18">
        <f>VLOOKUP($A15,'Data - Total'!$A$2:$G$54,7,FALSE)/VLOOKUP($A15,'Data - Total'!$A$2:$G$54,6,FALSE)</f>
        <v>7556.3875214166619</v>
      </c>
      <c r="H15" s="4">
        <f>VLOOKUP($A15,'Data - Total'!$A$2:$G$54,6,FALSE)/VLOOKUP($A15,'Data - Total'!$A$2:$G$54,3,FALSE)</f>
        <v>0.14504295499690617</v>
      </c>
      <c r="I15" s="4"/>
      <c r="J15" s="4">
        <f>VLOOKUP($A15,'Data - Total'!$A$2:$G$54,4,FALSE)/VLOOKUP($A15,'Data - Total'!$A$2:$G$54,3,FALSE)</f>
        <v>0.61178646849202356</v>
      </c>
      <c r="K15" s="4"/>
      <c r="L15" s="4">
        <f>VLOOKUP($A15,'Data - Total'!$A$2:$G$54,5,FALSE)/VLOOKUP($A15,'Data - Total'!$A$2:$G$54,4,FALSE)</f>
        <v>0.34577815081964108</v>
      </c>
      <c r="M15" s="4"/>
      <c r="N15" s="64">
        <f>VLOOKUP($A15,'Data - Total'!$A$2:$G$54,6,FALSE)/VLOOKUP($A15,'Data - Total'!$A$2:$G$54,5,FALSE)</f>
        <v>0.68564486016676551</v>
      </c>
    </row>
    <row r="16" spans="1:16" x14ac:dyDescent="0.25">
      <c r="A16" s="69" t="s">
        <v>32</v>
      </c>
      <c r="B16" s="70" t="s">
        <v>33</v>
      </c>
      <c r="C16" s="6">
        <f>VLOOKUP($A16,'Data - Total'!$A$2:$G$54,7,FALSE)/VLOOKUP($A16,'Data - Total'!$A$2:$G$54,3,FALSE)</f>
        <v>998.21275013823947</v>
      </c>
      <c r="D16" s="4"/>
      <c r="E16" s="4">
        <f>VLOOKUP($A16,'Data - Total'!$A$2:$G$54,6,FALSE)/VLOOKUP($A16,'Data - Total'!$A$2:$G$54,3,FALSE)</f>
        <v>0.11664782015476868</v>
      </c>
      <c r="F16" s="4"/>
      <c r="G16" s="18">
        <f>VLOOKUP($A16,'Data - Total'!$A$2:$G$54,7,FALSE)/VLOOKUP($A16,'Data - Total'!$A$2:$G$54,6,FALSE)</f>
        <v>8557.4916772024353</v>
      </c>
      <c r="H16" s="4">
        <f>VLOOKUP($A16,'Data - Total'!$A$2:$G$54,6,FALSE)/VLOOKUP($A16,'Data - Total'!$A$2:$G$54,3,FALSE)</f>
        <v>0.11664782015476868</v>
      </c>
      <c r="I16" s="4"/>
      <c r="J16" s="4">
        <f>VLOOKUP($A16,'Data - Total'!$A$2:$G$54,4,FALSE)/VLOOKUP($A16,'Data - Total'!$A$2:$G$54,3,FALSE)</f>
        <v>0.49967701772588474</v>
      </c>
      <c r="K16" s="4"/>
      <c r="L16" s="4">
        <f>VLOOKUP($A16,'Data - Total'!$A$2:$G$54,5,FALSE)/VLOOKUP($A16,'Data - Total'!$A$2:$G$54,4,FALSE)</f>
        <v>0.34593646016527452</v>
      </c>
      <c r="M16" s="4"/>
      <c r="N16" s="64">
        <f>VLOOKUP($A16,'Data - Total'!$A$2:$G$54,6,FALSE)/VLOOKUP($A16,'Data - Total'!$A$2:$G$54,5,FALSE)</f>
        <v>0.67482461467387456</v>
      </c>
    </row>
    <row r="17" spans="1:14" x14ac:dyDescent="0.25">
      <c r="A17" s="69" t="s">
        <v>34</v>
      </c>
      <c r="B17" s="70" t="s">
        <v>35</v>
      </c>
      <c r="C17" s="6">
        <f>VLOOKUP($A17,'Data - Total'!$A$2:$G$54,7,FALSE)/VLOOKUP($A17,'Data - Total'!$A$2:$G$54,3,FALSE)</f>
        <v>1023.6374992112831</v>
      </c>
      <c r="D17" s="4"/>
      <c r="E17" s="4">
        <f>VLOOKUP($A17,'Data - Total'!$A$2:$G$54,6,FALSE)/VLOOKUP($A17,'Data - Total'!$A$2:$G$54,3,FALSE)</f>
        <v>0.19299911413811824</v>
      </c>
      <c r="F17" s="4"/>
      <c r="G17" s="18">
        <f>VLOOKUP($A17,'Data - Total'!$A$2:$G$54,7,FALSE)/VLOOKUP($A17,'Data - Total'!$A$2:$G$54,6,FALSE)</f>
        <v>5303.8455838648315</v>
      </c>
      <c r="H17" s="4">
        <f>VLOOKUP($A17,'Data - Total'!$A$2:$G$54,6,FALSE)/VLOOKUP($A17,'Data - Total'!$A$2:$G$54,3,FALSE)</f>
        <v>0.19299911413811824</v>
      </c>
      <c r="I17" s="4"/>
      <c r="J17" s="4">
        <f>VLOOKUP($A17,'Data - Total'!$A$2:$G$54,4,FALSE)/VLOOKUP($A17,'Data - Total'!$A$2:$G$54,3,FALSE)</f>
        <v>0.57495286277918367</v>
      </c>
      <c r="K17" s="4"/>
      <c r="L17" s="4">
        <f>VLOOKUP($A17,'Data - Total'!$A$2:$G$54,5,FALSE)/VLOOKUP($A17,'Data - Total'!$A$2:$G$54,4,FALSE)</f>
        <v>0.42408484815517239</v>
      </c>
      <c r="M17" s="4"/>
      <c r="N17" s="64">
        <f>VLOOKUP($A17,'Data - Total'!$A$2:$G$54,6,FALSE)/VLOOKUP($A17,'Data - Total'!$A$2:$G$54,5,FALSE)</f>
        <v>0.79153535640806871</v>
      </c>
    </row>
    <row r="18" spans="1:14" x14ac:dyDescent="0.25">
      <c r="A18" s="69" t="s">
        <v>36</v>
      </c>
      <c r="B18" s="70" t="s">
        <v>37</v>
      </c>
      <c r="C18" s="6">
        <f>VLOOKUP($A18,'Data - Total'!$A$2:$G$54,7,FALSE)/VLOOKUP($A18,'Data - Total'!$A$2:$G$54,3,FALSE)</f>
        <v>1018.4721622334498</v>
      </c>
      <c r="D18" s="4"/>
      <c r="E18" s="4">
        <f>VLOOKUP($A18,'Data - Total'!$A$2:$G$54,6,FALSE)/VLOOKUP($A18,'Data - Total'!$A$2:$G$54,3,FALSE)</f>
        <v>0.1482620378802843</v>
      </c>
      <c r="F18" s="4"/>
      <c r="G18" s="18">
        <f>VLOOKUP($A18,'Data - Total'!$A$2:$G$54,7,FALSE)/VLOOKUP($A18,'Data - Total'!$A$2:$G$54,6,FALSE)</f>
        <v>6869.4061999594633</v>
      </c>
      <c r="H18" s="4">
        <f>VLOOKUP($A18,'Data - Total'!$A$2:$G$54,6,FALSE)/VLOOKUP($A18,'Data - Total'!$A$2:$G$54,3,FALSE)</f>
        <v>0.1482620378802843</v>
      </c>
      <c r="I18" s="4"/>
      <c r="J18" s="4">
        <f>VLOOKUP($A18,'Data - Total'!$A$2:$G$54,4,FALSE)/VLOOKUP($A18,'Data - Total'!$A$2:$G$54,3,FALSE)</f>
        <v>0.55754861234249653</v>
      </c>
      <c r="K18" s="4"/>
      <c r="L18" s="4">
        <f>VLOOKUP($A18,'Data - Total'!$A$2:$G$54,5,FALSE)/VLOOKUP($A18,'Data - Total'!$A$2:$G$54,4,FALSE)</f>
        <v>0.32447759028318562</v>
      </c>
      <c r="M18" s="4"/>
      <c r="N18" s="64">
        <f>VLOOKUP($A18,'Data - Total'!$A$2:$G$54,6,FALSE)/VLOOKUP($A18,'Data - Total'!$A$2:$G$54,5,FALSE)</f>
        <v>0.81952558775391648</v>
      </c>
    </row>
    <row r="19" spans="1:14" x14ac:dyDescent="0.25">
      <c r="A19" s="69" t="s">
        <v>40</v>
      </c>
      <c r="B19" s="70" t="s">
        <v>41</v>
      </c>
      <c r="C19" s="6">
        <f>VLOOKUP($A19,'Data - Total'!$A$2:$G$54,7,FALSE)/VLOOKUP($A19,'Data - Total'!$A$2:$G$54,3,FALSE)</f>
        <v>940.73298597528185</v>
      </c>
      <c r="D19" s="4"/>
      <c r="E19" s="4">
        <f>VLOOKUP($A19,'Data - Total'!$A$2:$G$54,6,FALSE)/VLOOKUP($A19,'Data - Total'!$A$2:$G$54,3,FALSE)</f>
        <v>0.11498192268146847</v>
      </c>
      <c r="F19" s="4"/>
      <c r="G19" s="18">
        <f>VLOOKUP($A19,'Data - Total'!$A$2:$G$54,7,FALSE)/VLOOKUP($A19,'Data - Total'!$A$2:$G$54,6,FALSE)</f>
        <v>8181.5729293496925</v>
      </c>
      <c r="H19" s="4">
        <f>VLOOKUP($A19,'Data - Total'!$A$2:$G$54,6,FALSE)/VLOOKUP($A19,'Data - Total'!$A$2:$G$54,3,FALSE)</f>
        <v>0.11498192268146847</v>
      </c>
      <c r="I19" s="4"/>
      <c r="J19" s="4">
        <f>VLOOKUP($A19,'Data - Total'!$A$2:$G$54,4,FALSE)/VLOOKUP($A19,'Data - Total'!$A$2:$G$54,3,FALSE)</f>
        <v>0.56370788617433842</v>
      </c>
      <c r="K19" s="4"/>
      <c r="L19" s="4">
        <f>VLOOKUP($A19,'Data - Total'!$A$2:$G$54,5,FALSE)/VLOOKUP($A19,'Data - Total'!$A$2:$G$54,4,FALSE)</f>
        <v>0.38071000163816832</v>
      </c>
      <c r="M19" s="4"/>
      <c r="N19" s="64">
        <f>VLOOKUP($A19,'Data - Total'!$A$2:$G$54,6,FALSE)/VLOOKUP($A19,'Data - Total'!$A$2:$G$54,5,FALSE)</f>
        <v>0.5357734266014994</v>
      </c>
    </row>
    <row r="20" spans="1:14" x14ac:dyDescent="0.25">
      <c r="A20" s="69" t="s">
        <v>42</v>
      </c>
      <c r="B20" s="70" t="s">
        <v>43</v>
      </c>
      <c r="C20" s="6">
        <f>VLOOKUP($A20,'Data - Total'!$A$2:$G$54,7,FALSE)/VLOOKUP($A20,'Data - Total'!$A$2:$G$54,3,FALSE)</f>
        <v>1307.315869034381</v>
      </c>
      <c r="D20" s="4"/>
      <c r="E20" s="4">
        <f>VLOOKUP($A20,'Data - Total'!$A$2:$G$54,6,FALSE)/VLOOKUP($A20,'Data - Total'!$A$2:$G$54,3,FALSE)</f>
        <v>0.16828731920085574</v>
      </c>
      <c r="F20" s="4"/>
      <c r="G20" s="18">
        <f>VLOOKUP($A20,'Data - Total'!$A$2:$G$54,7,FALSE)/VLOOKUP($A20,'Data - Total'!$A$2:$G$54,6,FALSE)</f>
        <v>7768.3563755273908</v>
      </c>
      <c r="H20" s="4">
        <f>VLOOKUP($A20,'Data - Total'!$A$2:$G$54,6,FALSE)/VLOOKUP($A20,'Data - Total'!$A$2:$G$54,3,FALSE)</f>
        <v>0.16828731920085574</v>
      </c>
      <c r="I20" s="4"/>
      <c r="J20" s="4">
        <f>VLOOKUP($A20,'Data - Total'!$A$2:$G$54,4,FALSE)/VLOOKUP($A20,'Data - Total'!$A$2:$G$54,3,FALSE)</f>
        <v>0.50600098462768772</v>
      </c>
      <c r="K20" s="4"/>
      <c r="L20" s="4">
        <f>VLOOKUP($A20,'Data - Total'!$A$2:$G$54,5,FALSE)/VLOOKUP($A20,'Data - Total'!$A$2:$G$54,4,FALSE)</f>
        <v>0.4975061901796014</v>
      </c>
      <c r="M20" s="4"/>
      <c r="N20" s="64">
        <f>VLOOKUP($A20,'Data - Total'!$A$2:$G$54,6,FALSE)/VLOOKUP($A20,'Data - Total'!$A$2:$G$54,5,FALSE)</f>
        <v>0.66850019994624998</v>
      </c>
    </row>
    <row r="21" spans="1:14" x14ac:dyDescent="0.25">
      <c r="A21" s="69" t="s">
        <v>44</v>
      </c>
      <c r="B21" s="70" t="s">
        <v>45</v>
      </c>
      <c r="C21" s="6">
        <f>VLOOKUP($A21,'Data - Total'!$A$2:$G$54,7,FALSE)/VLOOKUP($A21,'Data - Total'!$A$2:$G$54,3,FALSE)</f>
        <v>1400.5975896707077</v>
      </c>
      <c r="D21" s="4"/>
      <c r="E21" s="4">
        <f>VLOOKUP($A21,'Data - Total'!$A$2:$G$54,6,FALSE)/VLOOKUP($A21,'Data - Total'!$A$2:$G$54,3,FALSE)</f>
        <v>0.21942987853249005</v>
      </c>
      <c r="F21" s="4"/>
      <c r="G21" s="18">
        <f>VLOOKUP($A21,'Data - Total'!$A$2:$G$54,7,FALSE)/VLOOKUP($A21,'Data - Total'!$A$2:$G$54,6,FALSE)</f>
        <v>6382.8937017951603</v>
      </c>
      <c r="H21" s="4">
        <f>VLOOKUP($A21,'Data - Total'!$A$2:$G$54,6,FALSE)/VLOOKUP($A21,'Data - Total'!$A$2:$G$54,3,FALSE)</f>
        <v>0.21942987853249005</v>
      </c>
      <c r="I21" s="4"/>
      <c r="J21" s="4">
        <f>VLOOKUP($A21,'Data - Total'!$A$2:$G$54,4,FALSE)/VLOOKUP($A21,'Data - Total'!$A$2:$G$54,3,FALSE)</f>
        <v>0.50346951290865538</v>
      </c>
      <c r="K21" s="4"/>
      <c r="L21" s="4">
        <f>VLOOKUP($A21,'Data - Total'!$A$2:$G$54,5,FALSE)/VLOOKUP($A21,'Data - Total'!$A$2:$G$54,4,FALSE)</f>
        <v>0.58757459590817762</v>
      </c>
      <c r="M21" s="4"/>
      <c r="N21" s="64">
        <f>VLOOKUP($A21,'Data - Total'!$A$2:$G$54,6,FALSE)/VLOOKUP($A21,'Data - Total'!$A$2:$G$54,5,FALSE)</f>
        <v>0.74175344956833589</v>
      </c>
    </row>
    <row r="22" spans="1:14" x14ac:dyDescent="0.25">
      <c r="A22" s="69" t="s">
        <v>50</v>
      </c>
      <c r="B22" s="70" t="s">
        <v>51</v>
      </c>
      <c r="C22" s="6">
        <f>VLOOKUP($A22,'Data - Total'!$A$2:$G$54,7,FALSE)/VLOOKUP($A22,'Data - Total'!$A$2:$G$54,3,FALSE)</f>
        <v>2002.0130638847177</v>
      </c>
      <c r="D22" s="4"/>
      <c r="E22" s="4">
        <f>VLOOKUP($A22,'Data - Total'!$A$2:$G$54,6,FALSE)/VLOOKUP($A22,'Data - Total'!$A$2:$G$54,3,FALSE)</f>
        <v>0.15930298143497545</v>
      </c>
      <c r="F22" s="4"/>
      <c r="G22" s="18">
        <f>VLOOKUP($A22,'Data - Total'!$A$2:$G$54,7,FALSE)/VLOOKUP($A22,'Data - Total'!$A$2:$G$54,6,FALSE)</f>
        <v>12567.329536778961</v>
      </c>
      <c r="H22" s="4">
        <f>VLOOKUP($A22,'Data - Total'!$A$2:$G$54,6,FALSE)/VLOOKUP($A22,'Data - Total'!$A$2:$G$54,3,FALSE)</f>
        <v>0.15930298143497545</v>
      </c>
      <c r="I22" s="4"/>
      <c r="J22" s="4">
        <f>VLOOKUP($A22,'Data - Total'!$A$2:$G$54,4,FALSE)/VLOOKUP($A22,'Data - Total'!$A$2:$G$54,3,FALSE)</f>
        <v>0.67634735721521744</v>
      </c>
      <c r="K22" s="4"/>
      <c r="L22" s="4">
        <f>VLOOKUP($A22,'Data - Total'!$A$2:$G$54,5,FALSE)/VLOOKUP($A22,'Data - Total'!$A$2:$G$54,4,FALSE)</f>
        <v>0.41821009058249109</v>
      </c>
      <c r="M22" s="4"/>
      <c r="N22" s="64">
        <f>VLOOKUP($A22,'Data - Total'!$A$2:$G$54,6,FALSE)/VLOOKUP($A22,'Data - Total'!$A$2:$G$54,5,FALSE)</f>
        <v>0.56319604877043383</v>
      </c>
    </row>
    <row r="23" spans="1:14" x14ac:dyDescent="0.25">
      <c r="A23" s="69" t="s">
        <v>48</v>
      </c>
      <c r="B23" s="70" t="s">
        <v>49</v>
      </c>
      <c r="C23" s="6">
        <f>VLOOKUP($A23,'Data - Total'!$A$2:$G$54,7,FALSE)/VLOOKUP($A23,'Data - Total'!$A$2:$G$54,3,FALSE)</f>
        <v>1282.6137135012536</v>
      </c>
      <c r="D23" s="4"/>
      <c r="E23" s="4">
        <f>VLOOKUP($A23,'Data - Total'!$A$2:$G$54,6,FALSE)/VLOOKUP($A23,'Data - Total'!$A$2:$G$54,3,FALSE)</f>
        <v>0.13242691150687139</v>
      </c>
      <c r="F23" s="4"/>
      <c r="G23" s="18">
        <f>VLOOKUP($A23,'Data - Total'!$A$2:$G$54,7,FALSE)/VLOOKUP($A23,'Data - Total'!$A$2:$G$54,6,FALSE)</f>
        <v>9685.4460993353387</v>
      </c>
      <c r="H23" s="4">
        <f>VLOOKUP($A23,'Data - Total'!$A$2:$G$54,6,FALSE)/VLOOKUP($A23,'Data - Total'!$A$2:$G$54,3,FALSE)</f>
        <v>0.13242691150687139</v>
      </c>
      <c r="I23" s="4"/>
      <c r="J23" s="4">
        <f>VLOOKUP($A23,'Data - Total'!$A$2:$G$54,4,FALSE)/VLOOKUP($A23,'Data - Total'!$A$2:$G$54,3,FALSE)</f>
        <v>0.6886831320447897</v>
      </c>
      <c r="K23" s="4"/>
      <c r="L23" s="4">
        <f>VLOOKUP($A23,'Data - Total'!$A$2:$G$54,5,FALSE)/VLOOKUP($A23,'Data - Total'!$A$2:$G$54,4,FALSE)</f>
        <v>0.26141195530589811</v>
      </c>
      <c r="M23" s="4"/>
      <c r="N23" s="64">
        <f>VLOOKUP($A23,'Data - Total'!$A$2:$G$54,6,FALSE)/VLOOKUP($A23,'Data - Total'!$A$2:$G$54,5,FALSE)</f>
        <v>0.73558244995811795</v>
      </c>
    </row>
    <row r="24" spans="1:14" x14ac:dyDescent="0.25">
      <c r="A24" s="69" t="s">
        <v>46</v>
      </c>
      <c r="B24" s="70" t="s">
        <v>47</v>
      </c>
      <c r="C24" s="6">
        <f>VLOOKUP($A24,'Data - Total'!$A$2:$G$54,7,FALSE)/VLOOKUP($A24,'Data - Total'!$A$2:$G$54,3,FALSE)</f>
        <v>1709.318034693136</v>
      </c>
      <c r="D24" s="4"/>
      <c r="E24" s="4">
        <f>VLOOKUP($A24,'Data - Total'!$A$2:$G$54,6,FALSE)/VLOOKUP($A24,'Data - Total'!$A$2:$G$54,3,FALSE)</f>
        <v>0.20697917264329566</v>
      </c>
      <c r="F24" s="4"/>
      <c r="G24" s="18">
        <f>VLOOKUP($A24,'Data - Total'!$A$2:$G$54,7,FALSE)/VLOOKUP($A24,'Data - Total'!$A$2:$G$54,6,FALSE)</f>
        <v>8258.4059684060358</v>
      </c>
      <c r="H24" s="4">
        <f>VLOOKUP($A24,'Data - Total'!$A$2:$G$54,6,FALSE)/VLOOKUP($A24,'Data - Total'!$A$2:$G$54,3,FALSE)</f>
        <v>0.20697917264329566</v>
      </c>
      <c r="I24" s="4"/>
      <c r="J24" s="4">
        <f>VLOOKUP($A24,'Data - Total'!$A$2:$G$54,4,FALSE)/VLOOKUP($A24,'Data - Total'!$A$2:$G$54,3,FALSE)</f>
        <v>0.5938328974790551</v>
      </c>
      <c r="K24" s="4"/>
      <c r="L24" s="4">
        <f>VLOOKUP($A24,'Data - Total'!$A$2:$G$54,5,FALSE)/VLOOKUP($A24,'Data - Total'!$A$2:$G$54,4,FALSE)</f>
        <v>0.53845860279126234</v>
      </c>
      <c r="M24" s="4"/>
      <c r="N24" s="64">
        <f>VLOOKUP($A24,'Data - Total'!$A$2:$G$54,6,FALSE)/VLOOKUP($A24,'Data - Total'!$A$2:$G$54,5,FALSE)</f>
        <v>0.64730665709671631</v>
      </c>
    </row>
    <row r="25" spans="1:14" x14ac:dyDescent="0.25">
      <c r="A25" s="69" t="s">
        <v>52</v>
      </c>
      <c r="B25" s="70" t="s">
        <v>53</v>
      </c>
      <c r="C25" s="6">
        <f>VLOOKUP($A25,'Data - Total'!$A$2:$G$54,7,FALSE)/VLOOKUP($A25,'Data - Total'!$A$2:$G$54,3,FALSE)</f>
        <v>1221.6207413374589</v>
      </c>
      <c r="D25" s="4"/>
      <c r="E25" s="4">
        <f>VLOOKUP($A25,'Data - Total'!$A$2:$G$54,6,FALSE)/VLOOKUP($A25,'Data - Total'!$A$2:$G$54,3,FALSE)</f>
        <v>0.17713201684424659</v>
      </c>
      <c r="F25" s="4"/>
      <c r="G25" s="18">
        <f>VLOOKUP($A25,'Data - Total'!$A$2:$G$54,7,FALSE)/VLOOKUP($A25,'Data - Total'!$A$2:$G$54,6,FALSE)</f>
        <v>6896.6681636761268</v>
      </c>
      <c r="H25" s="4">
        <f>VLOOKUP($A25,'Data - Total'!$A$2:$G$54,6,FALSE)/VLOOKUP($A25,'Data - Total'!$A$2:$G$54,3,FALSE)</f>
        <v>0.17713201684424659</v>
      </c>
      <c r="I25" s="4"/>
      <c r="J25" s="4">
        <f>VLOOKUP($A25,'Data - Total'!$A$2:$G$54,4,FALSE)/VLOOKUP($A25,'Data - Total'!$A$2:$G$54,3,FALSE)</f>
        <v>0.57919215955627978</v>
      </c>
      <c r="K25" s="4"/>
      <c r="L25" s="4">
        <f>VLOOKUP($A25,'Data - Total'!$A$2:$G$54,5,FALSE)/VLOOKUP($A25,'Data - Total'!$A$2:$G$54,4,FALSE)</f>
        <v>0.40625692076863545</v>
      </c>
      <c r="M25" s="4"/>
      <c r="N25" s="64">
        <f>VLOOKUP($A25,'Data - Total'!$A$2:$G$54,6,FALSE)/VLOOKUP($A25,'Data - Total'!$A$2:$G$54,5,FALSE)</f>
        <v>0.75278961789894616</v>
      </c>
    </row>
    <row r="26" spans="1:14" x14ac:dyDescent="0.25">
      <c r="A26" s="69" t="s">
        <v>54</v>
      </c>
      <c r="B26" s="70" t="s">
        <v>55</v>
      </c>
      <c r="C26" s="6">
        <f>VLOOKUP($A26,'Data - Total'!$A$2:$G$54,7,FALSE)/VLOOKUP($A26,'Data - Total'!$A$2:$G$54,3,FALSE)</f>
        <v>1582.7801227931502</v>
      </c>
      <c r="D26" s="4"/>
      <c r="E26" s="4">
        <f>VLOOKUP($A26,'Data - Total'!$A$2:$G$54,6,FALSE)/VLOOKUP($A26,'Data - Total'!$A$2:$G$54,3,FALSE)</f>
        <v>0.12738048887492073</v>
      </c>
      <c r="F26" s="4"/>
      <c r="G26" s="18">
        <f>VLOOKUP($A26,'Data - Total'!$A$2:$G$54,7,FALSE)/VLOOKUP($A26,'Data - Total'!$A$2:$G$54,6,FALSE)</f>
        <v>12425.608794352614</v>
      </c>
      <c r="H26" s="4">
        <f>VLOOKUP($A26,'Data - Total'!$A$2:$G$54,6,FALSE)/VLOOKUP($A26,'Data - Total'!$A$2:$G$54,3,FALSE)</f>
        <v>0.12738048887492073</v>
      </c>
      <c r="I26" s="4"/>
      <c r="J26" s="4">
        <f>VLOOKUP($A26,'Data - Total'!$A$2:$G$54,4,FALSE)/VLOOKUP($A26,'Data - Total'!$A$2:$G$54,3,FALSE)</f>
        <v>0.66137092600240066</v>
      </c>
      <c r="K26" s="4"/>
      <c r="L26" s="4">
        <f>VLOOKUP($A26,'Data - Total'!$A$2:$G$54,5,FALSE)/VLOOKUP($A26,'Data - Total'!$A$2:$G$54,4,FALSE)</f>
        <v>0.43397877302792515</v>
      </c>
      <c r="M26" s="4"/>
      <c r="N26" s="64">
        <f>VLOOKUP($A26,'Data - Total'!$A$2:$G$54,6,FALSE)/VLOOKUP($A26,'Data - Total'!$A$2:$G$54,5,FALSE)</f>
        <v>0.44380207085629109</v>
      </c>
    </row>
    <row r="27" spans="1:14" x14ac:dyDescent="0.25">
      <c r="A27" s="69" t="s">
        <v>58</v>
      </c>
      <c r="B27" s="70" t="s">
        <v>59</v>
      </c>
      <c r="C27" s="6">
        <f>VLOOKUP($A27,'Data - Total'!$A$2:$G$54,7,FALSE)/VLOOKUP($A27,'Data - Total'!$A$2:$G$54,3,FALSE)</f>
        <v>1255.2417149315042</v>
      </c>
      <c r="D27" s="4"/>
      <c r="E27" s="4">
        <f>VLOOKUP($A27,'Data - Total'!$A$2:$G$54,6,FALSE)/VLOOKUP($A27,'Data - Total'!$A$2:$G$54,3,FALSE)</f>
        <v>0.14202365918673251</v>
      </c>
      <c r="F27" s="4"/>
      <c r="G27" s="18">
        <f>VLOOKUP($A27,'Data - Total'!$A$2:$G$54,7,FALSE)/VLOOKUP($A27,'Data - Total'!$A$2:$G$54,6,FALSE)</f>
        <v>8838.2578094338078</v>
      </c>
      <c r="H27" s="4">
        <f>VLOOKUP($A27,'Data - Total'!$A$2:$G$54,6,FALSE)/VLOOKUP($A27,'Data - Total'!$A$2:$G$54,3,FALSE)</f>
        <v>0.14202365918673251</v>
      </c>
      <c r="I27" s="4"/>
      <c r="J27" s="4">
        <f>VLOOKUP($A27,'Data - Total'!$A$2:$G$54,4,FALSE)/VLOOKUP($A27,'Data - Total'!$A$2:$G$54,3,FALSE)</f>
        <v>0.58314666918662117</v>
      </c>
      <c r="K27" s="4"/>
      <c r="L27" s="4">
        <f>VLOOKUP($A27,'Data - Total'!$A$2:$G$54,5,FALSE)/VLOOKUP($A27,'Data - Total'!$A$2:$G$54,4,FALSE)</f>
        <v>0.32613297648608119</v>
      </c>
      <c r="M27" s="4"/>
      <c r="N27" s="64">
        <f>VLOOKUP($A27,'Data - Total'!$A$2:$G$54,6,FALSE)/VLOOKUP($A27,'Data - Total'!$A$2:$G$54,5,FALSE)</f>
        <v>0.74677227266891277</v>
      </c>
    </row>
    <row r="28" spans="1:14" x14ac:dyDescent="0.25">
      <c r="A28" s="69" t="s">
        <v>56</v>
      </c>
      <c r="B28" s="70" t="s">
        <v>57</v>
      </c>
      <c r="C28" s="6">
        <f>VLOOKUP($A28,'Data - Total'!$A$2:$G$54,7,FALSE)/VLOOKUP($A28,'Data - Total'!$A$2:$G$54,3,FALSE)</f>
        <v>1422.4309428695476</v>
      </c>
      <c r="D28" s="4"/>
      <c r="E28" s="4">
        <f>VLOOKUP($A28,'Data - Total'!$A$2:$G$54,6,FALSE)/VLOOKUP($A28,'Data - Total'!$A$2:$G$54,3,FALSE)</f>
        <v>0.18977755714789235</v>
      </c>
      <c r="F28" s="4"/>
      <c r="G28" s="18">
        <f>VLOOKUP($A28,'Data - Total'!$A$2:$G$54,7,FALSE)/VLOOKUP($A28,'Data - Total'!$A$2:$G$54,6,FALSE)</f>
        <v>7495.2537288751</v>
      </c>
      <c r="H28" s="4">
        <f>VLOOKUP($A28,'Data - Total'!$A$2:$G$54,6,FALSE)/VLOOKUP($A28,'Data - Total'!$A$2:$G$54,3,FALSE)</f>
        <v>0.18977755714789235</v>
      </c>
      <c r="I28" s="4"/>
      <c r="J28" s="4">
        <f>VLOOKUP($A28,'Data - Total'!$A$2:$G$54,4,FALSE)/VLOOKUP($A28,'Data - Total'!$A$2:$G$54,3,FALSE)</f>
        <v>0.49186194800154703</v>
      </c>
      <c r="K28" s="4"/>
      <c r="L28" s="4">
        <f>VLOOKUP($A28,'Data - Total'!$A$2:$G$54,5,FALSE)/VLOOKUP($A28,'Data - Total'!$A$2:$G$54,4,FALSE)</f>
        <v>0.5359338891198302</v>
      </c>
      <c r="M28" s="4"/>
      <c r="N28" s="64">
        <f>VLOOKUP($A28,'Data - Total'!$A$2:$G$54,6,FALSE)/VLOOKUP($A28,'Data - Total'!$A$2:$G$54,5,FALSE)</f>
        <v>0.71993022422197805</v>
      </c>
    </row>
    <row r="29" spans="1:14" x14ac:dyDescent="0.25">
      <c r="A29" s="69" t="s">
        <v>60</v>
      </c>
      <c r="B29" s="70" t="s">
        <v>61</v>
      </c>
      <c r="C29" s="6">
        <f>VLOOKUP($A29,'Data - Total'!$A$2:$G$54,7,FALSE)/VLOOKUP($A29,'Data - Total'!$A$2:$G$54,3,FALSE)</f>
        <v>969.74383905510933</v>
      </c>
      <c r="D29" s="4"/>
      <c r="E29" s="4">
        <f>VLOOKUP($A29,'Data - Total'!$A$2:$G$54,6,FALSE)/VLOOKUP($A29,'Data - Total'!$A$2:$G$54,3,FALSE)</f>
        <v>0.10173953536609072</v>
      </c>
      <c r="F29" s="4"/>
      <c r="G29" s="18">
        <f>VLOOKUP($A29,'Data - Total'!$A$2:$G$54,7,FALSE)/VLOOKUP($A29,'Data - Total'!$A$2:$G$54,6,FALSE)</f>
        <v>9531.6322761418869</v>
      </c>
      <c r="H29" s="4">
        <f>VLOOKUP($A29,'Data - Total'!$A$2:$G$54,6,FALSE)/VLOOKUP($A29,'Data - Total'!$A$2:$G$54,3,FALSE)</f>
        <v>0.10173953536609072</v>
      </c>
      <c r="I29" s="4"/>
      <c r="J29" s="4">
        <f>VLOOKUP($A29,'Data - Total'!$A$2:$G$54,4,FALSE)/VLOOKUP($A29,'Data - Total'!$A$2:$G$54,3,FALSE)</f>
        <v>0.51198586540657887</v>
      </c>
      <c r="K29" s="4"/>
      <c r="L29" s="4">
        <f>VLOOKUP($A29,'Data - Total'!$A$2:$G$54,5,FALSE)/VLOOKUP($A29,'Data - Total'!$A$2:$G$54,4,FALSE)</f>
        <v>0.45999812027587755</v>
      </c>
      <c r="M29" s="4"/>
      <c r="N29" s="64">
        <f>VLOOKUP($A29,'Data - Total'!$A$2:$G$54,6,FALSE)/VLOOKUP($A29,'Data - Total'!$A$2:$G$54,5,FALSE)</f>
        <v>0.43199201718041608</v>
      </c>
    </row>
    <row r="30" spans="1:14" x14ac:dyDescent="0.25">
      <c r="A30" s="69" t="s">
        <v>74</v>
      </c>
      <c r="B30" s="70" t="s">
        <v>75</v>
      </c>
      <c r="C30" s="6">
        <f>VLOOKUP($A30,'Data - Total'!$A$2:$G$54,7,FALSE)/VLOOKUP($A30,'Data - Total'!$A$2:$G$54,3,FALSE)</f>
        <v>1089.0071830818283</v>
      </c>
      <c r="D30" s="4"/>
      <c r="E30" s="4">
        <f>VLOOKUP($A30,'Data - Total'!$A$2:$G$54,6,FALSE)/VLOOKUP($A30,'Data - Total'!$A$2:$G$54,3,FALSE)</f>
        <v>0.15591072514860371</v>
      </c>
      <c r="F30" s="4"/>
      <c r="G30" s="18">
        <f>VLOOKUP($A30,'Data - Total'!$A$2:$G$54,7,FALSE)/VLOOKUP($A30,'Data - Total'!$A$2:$G$54,6,FALSE)</f>
        <v>6984.8125075671296</v>
      </c>
      <c r="H30" s="4">
        <f>VLOOKUP($A30,'Data - Total'!$A$2:$G$54,6,FALSE)/VLOOKUP($A30,'Data - Total'!$A$2:$G$54,3,FALSE)</f>
        <v>0.15591072514860371</v>
      </c>
      <c r="I30" s="4"/>
      <c r="J30" s="4">
        <f>VLOOKUP($A30,'Data - Total'!$A$2:$G$54,4,FALSE)/VLOOKUP($A30,'Data - Total'!$A$2:$G$54,3,FALSE)</f>
        <v>0.54373797878964425</v>
      </c>
      <c r="K30" s="4"/>
      <c r="L30" s="4">
        <f>VLOOKUP($A30,'Data - Total'!$A$2:$G$54,5,FALSE)/VLOOKUP($A30,'Data - Total'!$A$2:$G$54,4,FALSE)</f>
        <v>0.45717045275213147</v>
      </c>
      <c r="M30" s="4"/>
      <c r="N30" s="64">
        <f>VLOOKUP($A30,'Data - Total'!$A$2:$G$54,6,FALSE)/VLOOKUP($A30,'Data - Total'!$A$2:$G$54,5,FALSE)</f>
        <v>0.62720306086025346</v>
      </c>
    </row>
    <row r="31" spans="1:14" x14ac:dyDescent="0.25">
      <c r="A31" s="69" t="s">
        <v>76</v>
      </c>
      <c r="B31" s="70" t="s">
        <v>77</v>
      </c>
      <c r="C31" s="6">
        <f>VLOOKUP($A31,'Data - Total'!$A$2:$G$54,7,FALSE)/VLOOKUP($A31,'Data - Total'!$A$2:$G$54,3,FALSE)</f>
        <v>1089.8099276351479</v>
      </c>
      <c r="D31" s="4"/>
      <c r="E31" s="4">
        <f>VLOOKUP($A31,'Data - Total'!$A$2:$G$54,6,FALSE)/VLOOKUP($A31,'Data - Total'!$A$2:$G$54,3,FALSE)</f>
        <v>9.3408724719178854E-2</v>
      </c>
      <c r="F31" s="4"/>
      <c r="G31" s="18">
        <f>VLOOKUP($A31,'Data - Total'!$A$2:$G$54,7,FALSE)/VLOOKUP($A31,'Data - Total'!$A$2:$G$54,6,FALSE)</f>
        <v>11667.110657077475</v>
      </c>
      <c r="H31" s="4">
        <f>VLOOKUP($A31,'Data - Total'!$A$2:$G$54,6,FALSE)/VLOOKUP($A31,'Data - Total'!$A$2:$G$54,3,FALSE)</f>
        <v>9.3408724719178854E-2</v>
      </c>
      <c r="I31" s="4"/>
      <c r="J31" s="4">
        <f>VLOOKUP($A31,'Data - Total'!$A$2:$G$54,4,FALSE)/VLOOKUP($A31,'Data - Total'!$A$2:$G$54,3,FALSE)</f>
        <v>0.65654013911688636</v>
      </c>
      <c r="K31" s="4"/>
      <c r="L31" s="4">
        <f>VLOOKUP($A31,'Data - Total'!$A$2:$G$54,5,FALSE)/VLOOKUP($A31,'Data - Total'!$A$2:$G$54,4,FALSE)</f>
        <v>0.24299401268628007</v>
      </c>
      <c r="M31" s="4"/>
      <c r="N31" s="64">
        <f>VLOOKUP($A31,'Data - Total'!$A$2:$G$54,6,FALSE)/VLOOKUP($A31,'Data - Total'!$A$2:$G$54,5,FALSE)</f>
        <v>0.58550497172005245</v>
      </c>
    </row>
    <row r="32" spans="1:14" x14ac:dyDescent="0.25">
      <c r="A32" s="69" t="s">
        <v>62</v>
      </c>
      <c r="B32" s="70" t="s">
        <v>63</v>
      </c>
      <c r="C32" s="6">
        <f>VLOOKUP($A32,'Data - Total'!$A$2:$G$54,7,FALSE)/VLOOKUP($A32,'Data - Total'!$A$2:$G$54,3,FALSE)</f>
        <v>881.28860203137867</v>
      </c>
      <c r="D32" s="4"/>
      <c r="E32" s="4">
        <f>VLOOKUP($A32,'Data - Total'!$A$2:$G$54,6,FALSE)/VLOOKUP($A32,'Data - Total'!$A$2:$G$54,3,FALSE)</f>
        <v>0.11940758685543983</v>
      </c>
      <c r="F32" s="4"/>
      <c r="G32" s="18">
        <f>VLOOKUP($A32,'Data - Total'!$A$2:$G$54,7,FALSE)/VLOOKUP($A32,'Data - Total'!$A$2:$G$54,6,FALSE)</f>
        <v>7380.5075978824207</v>
      </c>
      <c r="H32" s="4">
        <f>VLOOKUP($A32,'Data - Total'!$A$2:$G$54,6,FALSE)/VLOOKUP($A32,'Data - Total'!$A$2:$G$54,3,FALSE)</f>
        <v>0.11940758685543983</v>
      </c>
      <c r="I32" s="4"/>
      <c r="J32" s="4">
        <f>VLOOKUP($A32,'Data - Total'!$A$2:$G$54,4,FALSE)/VLOOKUP($A32,'Data - Total'!$A$2:$G$54,3,FALSE)</f>
        <v>0.61730535161119537</v>
      </c>
      <c r="K32" s="4"/>
      <c r="L32" s="4">
        <f>VLOOKUP($A32,'Data - Total'!$A$2:$G$54,5,FALSE)/VLOOKUP($A32,'Data - Total'!$A$2:$G$54,4,FALSE)</f>
        <v>0.31203694583184605</v>
      </c>
      <c r="M32" s="4"/>
      <c r="N32" s="64">
        <f>VLOOKUP($A32,'Data - Total'!$A$2:$G$54,6,FALSE)/VLOOKUP($A32,'Data - Total'!$A$2:$G$54,5,FALSE)</f>
        <v>0.61990603043234627</v>
      </c>
    </row>
    <row r="33" spans="1:14" x14ac:dyDescent="0.25">
      <c r="A33" s="69" t="s">
        <v>66</v>
      </c>
      <c r="B33" s="70" t="s">
        <v>67</v>
      </c>
      <c r="C33" s="6">
        <f>VLOOKUP($A33,'Data - Total'!$A$2:$G$54,7,FALSE)/VLOOKUP($A33,'Data - Total'!$A$2:$G$54,3,FALSE)</f>
        <v>955.89478830621727</v>
      </c>
      <c r="D33" s="4"/>
      <c r="E33" s="4">
        <f>VLOOKUP($A33,'Data - Total'!$A$2:$G$54,6,FALSE)/VLOOKUP($A33,'Data - Total'!$A$2:$G$54,3,FALSE)</f>
        <v>9.9054321158889305E-2</v>
      </c>
      <c r="F33" s="4"/>
      <c r="G33" s="18">
        <f>VLOOKUP($A33,'Data - Total'!$A$2:$G$54,7,FALSE)/VLOOKUP($A33,'Data - Total'!$A$2:$G$54,6,FALSE)</f>
        <v>9650.2078568879642</v>
      </c>
      <c r="H33" s="4">
        <f>VLOOKUP($A33,'Data - Total'!$A$2:$G$54,6,FALSE)/VLOOKUP($A33,'Data - Total'!$A$2:$G$54,3,FALSE)</f>
        <v>9.9054321158889305E-2</v>
      </c>
      <c r="I33" s="4"/>
      <c r="J33" s="4">
        <f>VLOOKUP($A33,'Data - Total'!$A$2:$G$54,4,FALSE)/VLOOKUP($A33,'Data - Total'!$A$2:$G$54,3,FALSE)</f>
        <v>0.73206886902390989</v>
      </c>
      <c r="K33" s="4"/>
      <c r="L33" s="4">
        <f>VLOOKUP($A33,'Data - Total'!$A$2:$G$54,5,FALSE)/VLOOKUP($A33,'Data - Total'!$A$2:$G$54,4,FALSE)</f>
        <v>0.23938844711922866</v>
      </c>
      <c r="M33" s="4"/>
      <c r="N33" s="64">
        <f>VLOOKUP($A33,'Data - Total'!$A$2:$G$54,6,FALSE)/VLOOKUP($A33,'Data - Total'!$A$2:$G$54,5,FALSE)</f>
        <v>0.56522101349188603</v>
      </c>
    </row>
    <row r="34" spans="1:14" x14ac:dyDescent="0.25">
      <c r="A34" s="69" t="s">
        <v>68</v>
      </c>
      <c r="B34" s="70" t="s">
        <v>69</v>
      </c>
      <c r="C34" s="6">
        <f>VLOOKUP($A34,'Data - Total'!$A$2:$G$54,7,FALSE)/VLOOKUP($A34,'Data - Total'!$A$2:$G$54,3,FALSE)</f>
        <v>1064.6454440269265</v>
      </c>
      <c r="D34" s="4"/>
      <c r="E34" s="4">
        <f>VLOOKUP($A34,'Data - Total'!$A$2:$G$54,6,FALSE)/VLOOKUP($A34,'Data - Total'!$A$2:$G$54,3,FALSE)</f>
        <v>0.12582067503046721</v>
      </c>
      <c r="F34" s="4"/>
      <c r="G34" s="18">
        <f>VLOOKUP($A34,'Data - Total'!$A$2:$G$54,7,FALSE)/VLOOKUP($A34,'Data - Total'!$A$2:$G$54,6,FALSE)</f>
        <v>8461.6096978427831</v>
      </c>
      <c r="H34" s="4">
        <f>VLOOKUP($A34,'Data - Total'!$A$2:$G$54,6,FALSE)/VLOOKUP($A34,'Data - Total'!$A$2:$G$54,3,FALSE)</f>
        <v>0.12582067503046721</v>
      </c>
      <c r="I34" s="4"/>
      <c r="J34" s="4">
        <f>VLOOKUP($A34,'Data - Total'!$A$2:$G$54,4,FALSE)/VLOOKUP($A34,'Data - Total'!$A$2:$G$54,3,FALSE)</f>
        <v>0.6726437614236449</v>
      </c>
      <c r="K34" s="4"/>
      <c r="L34" s="4">
        <f>VLOOKUP($A34,'Data - Total'!$A$2:$G$54,5,FALSE)/VLOOKUP($A34,'Data - Total'!$A$2:$G$54,4,FALSE)</f>
        <v>0.27062673490363975</v>
      </c>
      <c r="M34" s="4"/>
      <c r="N34" s="64">
        <f>VLOOKUP($A34,'Data - Total'!$A$2:$G$54,6,FALSE)/VLOOKUP($A34,'Data - Total'!$A$2:$G$54,5,FALSE)</f>
        <v>0.69118800772982891</v>
      </c>
    </row>
    <row r="35" spans="1:14" x14ac:dyDescent="0.25">
      <c r="A35" s="69" t="s">
        <v>70</v>
      </c>
      <c r="B35" s="70" t="s">
        <v>71</v>
      </c>
      <c r="C35" s="6">
        <f>VLOOKUP($A35,'Data - Total'!$A$2:$G$54,7,FALSE)/VLOOKUP($A35,'Data - Total'!$A$2:$G$54,3,FALSE)</f>
        <v>1621.5630958277723</v>
      </c>
      <c r="D35" s="4"/>
      <c r="E35" s="4">
        <f>VLOOKUP($A35,'Data - Total'!$A$2:$G$54,6,FALSE)/VLOOKUP($A35,'Data - Total'!$A$2:$G$54,3,FALSE)</f>
        <v>0.21803101655024806</v>
      </c>
      <c r="F35" s="4"/>
      <c r="G35" s="18">
        <f>VLOOKUP($A35,'Data - Total'!$A$2:$G$54,7,FALSE)/VLOOKUP($A35,'Data - Total'!$A$2:$G$54,6,FALSE)</f>
        <v>7437.3046618991584</v>
      </c>
      <c r="H35" s="4">
        <f>VLOOKUP($A35,'Data - Total'!$A$2:$G$54,6,FALSE)/VLOOKUP($A35,'Data - Total'!$A$2:$G$54,3,FALSE)</f>
        <v>0.21803101655024806</v>
      </c>
      <c r="I35" s="4"/>
      <c r="J35" s="4">
        <f>VLOOKUP($A35,'Data - Total'!$A$2:$G$54,4,FALSE)/VLOOKUP($A35,'Data - Total'!$A$2:$G$54,3,FALSE)</f>
        <v>0.49132702633040526</v>
      </c>
      <c r="K35" s="4"/>
      <c r="L35" s="4">
        <f>VLOOKUP($A35,'Data - Total'!$A$2:$G$54,5,FALSE)/VLOOKUP($A35,'Data - Total'!$A$2:$G$54,4,FALSE)</f>
        <v>0.48409931335089157</v>
      </c>
      <c r="M35" s="4"/>
      <c r="N35" s="64">
        <f>VLOOKUP($A35,'Data - Total'!$A$2:$G$54,6,FALSE)/VLOOKUP($A35,'Data - Total'!$A$2:$G$54,5,FALSE)</f>
        <v>0.91667029700300173</v>
      </c>
    </row>
    <row r="36" spans="1:14" x14ac:dyDescent="0.25">
      <c r="A36" s="69" t="s">
        <v>64</v>
      </c>
      <c r="B36" s="70" t="s">
        <v>65</v>
      </c>
      <c r="C36" s="6">
        <f>VLOOKUP($A36,'Data - Total'!$A$2:$G$54,7,FALSE)/VLOOKUP($A36,'Data - Total'!$A$2:$G$54,3,FALSE)</f>
        <v>543.70680285244794</v>
      </c>
      <c r="D36" s="4"/>
      <c r="E36" s="4">
        <f>VLOOKUP($A36,'Data - Total'!$A$2:$G$54,6,FALSE)/VLOOKUP($A36,'Data - Total'!$A$2:$G$54,3,FALSE)</f>
        <v>9.471518723416085E-2</v>
      </c>
      <c r="F36" s="4"/>
      <c r="G36" s="18">
        <f>VLOOKUP($A36,'Data - Total'!$A$2:$G$54,7,FALSE)/VLOOKUP($A36,'Data - Total'!$A$2:$G$54,6,FALSE)</f>
        <v>5740.4395084841226</v>
      </c>
      <c r="H36" s="4">
        <f>VLOOKUP($A36,'Data - Total'!$A$2:$G$54,6,FALSE)/VLOOKUP($A36,'Data - Total'!$A$2:$G$54,3,FALSE)</f>
        <v>9.471518723416085E-2</v>
      </c>
      <c r="I36" s="4"/>
      <c r="J36" s="4">
        <f>VLOOKUP($A36,'Data - Total'!$A$2:$G$54,4,FALSE)/VLOOKUP($A36,'Data - Total'!$A$2:$G$54,3,FALSE)</f>
        <v>0.54485098060560355</v>
      </c>
      <c r="K36" s="4"/>
      <c r="L36" s="4">
        <f>VLOOKUP($A36,'Data - Total'!$A$2:$G$54,5,FALSE)/VLOOKUP($A36,'Data - Total'!$A$2:$G$54,4,FALSE)</f>
        <v>0.29588011312123697</v>
      </c>
      <c r="M36" s="4"/>
      <c r="N36" s="64">
        <f>VLOOKUP($A36,'Data - Total'!$A$2:$G$54,6,FALSE)/VLOOKUP($A36,'Data - Total'!$A$2:$G$54,5,FALSE)</f>
        <v>0.58752467264325281</v>
      </c>
    </row>
    <row r="37" spans="1:14" x14ac:dyDescent="0.25">
      <c r="A37" s="69" t="s">
        <v>72</v>
      </c>
      <c r="B37" s="70" t="s">
        <v>73</v>
      </c>
      <c r="C37" s="6">
        <f>VLOOKUP($A37,'Data - Total'!$A$2:$G$54,7,FALSE)/VLOOKUP($A37,'Data - Total'!$A$2:$G$54,3,FALSE)</f>
        <v>2681.2834789206076</v>
      </c>
      <c r="D37" s="4"/>
      <c r="E37" s="4">
        <f>VLOOKUP($A37,'Data - Total'!$A$2:$G$54,6,FALSE)/VLOOKUP($A37,'Data - Total'!$A$2:$G$54,3,FALSE)</f>
        <v>0.22072338265997729</v>
      </c>
      <c r="F37" s="4"/>
      <c r="G37" s="18">
        <f>VLOOKUP($A37,'Data - Total'!$A$2:$G$54,7,FALSE)/VLOOKUP($A37,'Data - Total'!$A$2:$G$54,6,FALSE)</f>
        <v>12147.709257659868</v>
      </c>
      <c r="H37" s="4">
        <f>VLOOKUP($A37,'Data - Total'!$A$2:$G$54,6,FALSE)/VLOOKUP($A37,'Data - Total'!$A$2:$G$54,3,FALSE)</f>
        <v>0.22072338265997729</v>
      </c>
      <c r="I37" s="4"/>
      <c r="J37" s="4">
        <f>VLOOKUP($A37,'Data - Total'!$A$2:$G$54,4,FALSE)/VLOOKUP($A37,'Data - Total'!$A$2:$G$54,3,FALSE)</f>
        <v>0.58434392354119669</v>
      </c>
      <c r="K37" s="4"/>
      <c r="L37" s="4">
        <f>VLOOKUP($A37,'Data - Total'!$A$2:$G$54,5,FALSE)/VLOOKUP($A37,'Data - Total'!$A$2:$G$54,4,FALSE)</f>
        <v>0.60659009169647415</v>
      </c>
      <c r="M37" s="4"/>
      <c r="N37" s="64">
        <f>VLOOKUP($A37,'Data - Total'!$A$2:$G$54,6,FALSE)/VLOOKUP($A37,'Data - Total'!$A$2:$G$54,5,FALSE)</f>
        <v>0.62270807698734598</v>
      </c>
    </row>
    <row r="38" spans="1:14" x14ac:dyDescent="0.25">
      <c r="A38" s="69" t="s">
        <v>78</v>
      </c>
      <c r="B38" s="70" t="s">
        <v>79</v>
      </c>
      <c r="C38" s="6">
        <f>VLOOKUP($A38,'Data - Total'!$A$2:$G$54,7,FALSE)/VLOOKUP($A38,'Data - Total'!$A$2:$G$54,3,FALSE)</f>
        <v>1359.2037879697564</v>
      </c>
      <c r="D38" s="4"/>
      <c r="E38" s="4">
        <f>VLOOKUP($A38,'Data - Total'!$A$2:$G$54,6,FALSE)/VLOOKUP($A38,'Data - Total'!$A$2:$G$54,3,FALSE)</f>
        <v>0.16707914797369494</v>
      </c>
      <c r="F38" s="4"/>
      <c r="G38" s="18">
        <f>VLOOKUP($A38,'Data - Total'!$A$2:$G$54,7,FALSE)/VLOOKUP($A38,'Data - Total'!$A$2:$G$54,6,FALSE)</f>
        <v>8135.0892942292858</v>
      </c>
      <c r="H38" s="4">
        <f>VLOOKUP($A38,'Data - Total'!$A$2:$G$54,6,FALSE)/VLOOKUP($A38,'Data - Total'!$A$2:$G$54,3,FALSE)</f>
        <v>0.16707914797369494</v>
      </c>
      <c r="I38" s="4"/>
      <c r="J38" s="4">
        <f>VLOOKUP($A38,'Data - Total'!$A$2:$G$54,4,FALSE)/VLOOKUP($A38,'Data - Total'!$A$2:$G$54,3,FALSE)</f>
        <v>0.56524126667468744</v>
      </c>
      <c r="K38" s="4"/>
      <c r="L38" s="4">
        <f>VLOOKUP($A38,'Data - Total'!$A$2:$G$54,5,FALSE)/VLOOKUP($A38,'Data - Total'!$A$2:$G$54,4,FALSE)</f>
        <v>0.32576162597138808</v>
      </c>
      <c r="M38" s="4"/>
      <c r="N38" s="64">
        <f>VLOOKUP($A38,'Data - Total'!$A$2:$G$54,6,FALSE)/VLOOKUP($A38,'Data - Total'!$A$2:$G$54,5,FALSE)</f>
        <v>0.90737846307174819</v>
      </c>
    </row>
    <row r="39" spans="1:14" x14ac:dyDescent="0.25">
      <c r="A39" s="69" t="s">
        <v>80</v>
      </c>
      <c r="B39" s="70" t="s">
        <v>81</v>
      </c>
      <c r="C39" s="6">
        <f>VLOOKUP($A39,'Data - Total'!$A$2:$G$54,7,FALSE)/VLOOKUP($A39,'Data - Total'!$A$2:$G$54,3,FALSE)</f>
        <v>1137.2606209013074</v>
      </c>
      <c r="D39" s="4"/>
      <c r="E39" s="4">
        <f>VLOOKUP($A39,'Data - Total'!$A$2:$G$54,6,FALSE)/VLOOKUP($A39,'Data - Total'!$A$2:$G$54,3,FALSE)</f>
        <v>0.17216380053584135</v>
      </c>
      <c r="F39" s="4"/>
      <c r="G39" s="18">
        <f>VLOOKUP($A39,'Data - Total'!$A$2:$G$54,7,FALSE)/VLOOKUP($A39,'Data - Total'!$A$2:$G$54,6,FALSE)</f>
        <v>6605.6895663415062</v>
      </c>
      <c r="H39" s="4">
        <f>VLOOKUP($A39,'Data - Total'!$A$2:$G$54,6,FALSE)/VLOOKUP($A39,'Data - Total'!$A$2:$G$54,3,FALSE)</f>
        <v>0.17216380053584135</v>
      </c>
      <c r="I39" s="4"/>
      <c r="J39" s="4">
        <f>VLOOKUP($A39,'Data - Total'!$A$2:$G$54,4,FALSE)/VLOOKUP($A39,'Data - Total'!$A$2:$G$54,3,FALSE)</f>
        <v>0.54931607706510788</v>
      </c>
      <c r="K39" s="4"/>
      <c r="L39" s="4">
        <f>VLOOKUP($A39,'Data - Total'!$A$2:$G$54,5,FALSE)/VLOOKUP($A39,'Data - Total'!$A$2:$G$54,4,FALSE)</f>
        <v>0.38660174153821875</v>
      </c>
      <c r="M39" s="4"/>
      <c r="N39" s="64">
        <f>VLOOKUP($A39,'Data - Total'!$A$2:$G$54,6,FALSE)/VLOOKUP($A39,'Data - Total'!$A$2:$G$54,5,FALSE)</f>
        <v>0.81069169732846791</v>
      </c>
    </row>
    <row r="40" spans="1:14" x14ac:dyDescent="0.25">
      <c r="A40" s="69" t="s">
        <v>82</v>
      </c>
      <c r="B40" s="70" t="s">
        <v>83</v>
      </c>
      <c r="C40" s="6">
        <f>VLOOKUP($A40,'Data - Total'!$A$2:$G$54,7,FALSE)/VLOOKUP($A40,'Data - Total'!$A$2:$G$54,3,FALSE)</f>
        <v>1129.2362834415346</v>
      </c>
      <c r="D40" s="4"/>
      <c r="E40" s="4">
        <f>VLOOKUP($A40,'Data - Total'!$A$2:$G$54,6,FALSE)/VLOOKUP($A40,'Data - Total'!$A$2:$G$54,3,FALSE)</f>
        <v>0.12454782403015971</v>
      </c>
      <c r="F40" s="4"/>
      <c r="G40" s="18">
        <f>VLOOKUP($A40,'Data - Total'!$A$2:$G$54,7,FALSE)/VLOOKUP($A40,'Data - Total'!$A$2:$G$54,6,FALSE)</f>
        <v>9066.6881756849143</v>
      </c>
      <c r="H40" s="4">
        <f>VLOOKUP($A40,'Data - Total'!$A$2:$G$54,6,FALSE)/VLOOKUP($A40,'Data - Total'!$A$2:$G$54,3,FALSE)</f>
        <v>0.12454782403015971</v>
      </c>
      <c r="I40" s="4"/>
      <c r="J40" s="4">
        <f>VLOOKUP($A40,'Data - Total'!$A$2:$G$54,4,FALSE)/VLOOKUP($A40,'Data - Total'!$A$2:$G$54,3,FALSE)</f>
        <v>0.57589604625210489</v>
      </c>
      <c r="K40" s="4"/>
      <c r="L40" s="4">
        <f>VLOOKUP($A40,'Data - Total'!$A$2:$G$54,5,FALSE)/VLOOKUP($A40,'Data - Total'!$A$2:$G$54,4,FALSE)</f>
        <v>0.29188619854123277</v>
      </c>
      <c r="M40" s="4"/>
      <c r="N40" s="64">
        <f>VLOOKUP($A40,'Data - Total'!$A$2:$G$54,6,FALSE)/VLOOKUP($A40,'Data - Total'!$A$2:$G$54,5,FALSE)</f>
        <v>0.74093223060113034</v>
      </c>
    </row>
    <row r="41" spans="1:14" x14ac:dyDescent="0.25">
      <c r="A41" s="69" t="s">
        <v>84</v>
      </c>
      <c r="B41" s="70" t="s">
        <v>85</v>
      </c>
      <c r="C41" s="6">
        <f>VLOOKUP($A41,'Data - Total'!$A$2:$G$54,7,FALSE)/VLOOKUP($A41,'Data - Total'!$A$2:$G$54,3,FALSE)</f>
        <v>1571.2037904278827</v>
      </c>
      <c r="D41" s="4"/>
      <c r="E41" s="4">
        <f>VLOOKUP($A41,'Data - Total'!$A$2:$G$54,6,FALSE)/VLOOKUP($A41,'Data - Total'!$A$2:$G$54,3,FALSE)</f>
        <v>0.1597152470871836</v>
      </c>
      <c r="F41" s="4"/>
      <c r="G41" s="18">
        <f>VLOOKUP($A41,'Data - Total'!$A$2:$G$54,7,FALSE)/VLOOKUP($A41,'Data - Total'!$A$2:$G$54,6,FALSE)</f>
        <v>9837.5316012892072</v>
      </c>
      <c r="H41" s="4">
        <f>VLOOKUP($A41,'Data - Total'!$A$2:$G$54,6,FALSE)/VLOOKUP($A41,'Data - Total'!$A$2:$G$54,3,FALSE)</f>
        <v>0.1597152470871836</v>
      </c>
      <c r="I41" s="4"/>
      <c r="J41" s="4">
        <f>VLOOKUP($A41,'Data - Total'!$A$2:$G$54,4,FALSE)/VLOOKUP($A41,'Data - Total'!$A$2:$G$54,3,FALSE)</f>
        <v>0.60594459456418781</v>
      </c>
      <c r="K41" s="4"/>
      <c r="L41" s="4">
        <f>VLOOKUP($A41,'Data - Total'!$A$2:$G$54,5,FALSE)/VLOOKUP($A41,'Data - Total'!$A$2:$G$54,4,FALSE)</f>
        <v>0.36239957240956883</v>
      </c>
      <c r="M41" s="4"/>
      <c r="N41" s="64">
        <f>VLOOKUP($A41,'Data - Total'!$A$2:$G$54,6,FALSE)/VLOOKUP($A41,'Data - Total'!$A$2:$G$54,5,FALSE)</f>
        <v>0.72732042775423233</v>
      </c>
    </row>
    <row r="42" spans="1:14" x14ac:dyDescent="0.25">
      <c r="A42" s="69" t="s">
        <v>86</v>
      </c>
      <c r="B42" s="70" t="s">
        <v>87</v>
      </c>
      <c r="C42" s="6">
        <f>VLOOKUP($A42,'Data - Total'!$A$2:$G$54,7,FALSE)/VLOOKUP($A42,'Data - Total'!$A$2:$G$54,3,FALSE)</f>
        <v>1880.3009038191262</v>
      </c>
      <c r="D42" s="4"/>
      <c r="E42" s="4">
        <f>VLOOKUP($A42,'Data - Total'!$A$2:$G$54,6,FALSE)/VLOOKUP($A42,'Data - Total'!$A$2:$G$54,3,FALSE)</f>
        <v>0.15758763596193728</v>
      </c>
      <c r="F42" s="4"/>
      <c r="G42" s="18">
        <f>VLOOKUP($A42,'Data - Total'!$A$2:$G$54,7,FALSE)/VLOOKUP($A42,'Data - Total'!$A$2:$G$54,6,FALSE)</f>
        <v>11931.779370516619</v>
      </c>
      <c r="H42" s="4">
        <f>VLOOKUP($A42,'Data - Total'!$A$2:$G$54,6,FALSE)/VLOOKUP($A42,'Data - Total'!$A$2:$G$54,3,FALSE)</f>
        <v>0.15758763596193728</v>
      </c>
      <c r="I42" s="4"/>
      <c r="J42" s="4">
        <f>VLOOKUP($A42,'Data - Total'!$A$2:$G$54,4,FALSE)/VLOOKUP($A42,'Data - Total'!$A$2:$G$54,3,FALSE)</f>
        <v>0.61576662451011377</v>
      </c>
      <c r="K42" s="4"/>
      <c r="L42" s="4">
        <f>VLOOKUP($A42,'Data - Total'!$A$2:$G$54,5,FALSE)/VLOOKUP($A42,'Data - Total'!$A$2:$G$54,4,FALSE)</f>
        <v>0.48468462188738393</v>
      </c>
      <c r="M42" s="4"/>
      <c r="N42" s="64">
        <f>VLOOKUP($A42,'Data - Total'!$A$2:$G$54,6,FALSE)/VLOOKUP($A42,'Data - Total'!$A$2:$G$54,5,FALSE)</f>
        <v>0.52801560045362106</v>
      </c>
    </row>
    <row r="43" spans="1:14" x14ac:dyDescent="0.25">
      <c r="A43" s="69" t="s">
        <v>88</v>
      </c>
      <c r="B43" s="70" t="s">
        <v>89</v>
      </c>
      <c r="C43" s="6">
        <f>VLOOKUP($A43,'Data - Total'!$A$2:$G$54,7,FALSE)/VLOOKUP($A43,'Data - Total'!$A$2:$G$54,3,FALSE)</f>
        <v>1014.5963473564385</v>
      </c>
      <c r="D43" s="4"/>
      <c r="E43" s="4">
        <f>VLOOKUP($A43,'Data - Total'!$A$2:$G$54,6,FALSE)/VLOOKUP($A43,'Data - Total'!$A$2:$G$54,3,FALSE)</f>
        <v>0.16280080286682502</v>
      </c>
      <c r="F43" s="4"/>
      <c r="G43" s="18">
        <f>VLOOKUP($A43,'Data - Total'!$A$2:$G$54,7,FALSE)/VLOOKUP($A43,'Data - Total'!$A$2:$G$54,6,FALSE)</f>
        <v>6232.1335613215788</v>
      </c>
      <c r="H43" s="4">
        <f>VLOOKUP($A43,'Data - Total'!$A$2:$G$54,6,FALSE)/VLOOKUP($A43,'Data - Total'!$A$2:$G$54,3,FALSE)</f>
        <v>0.16280080286682502</v>
      </c>
      <c r="I43" s="4"/>
      <c r="J43" s="4">
        <f>VLOOKUP($A43,'Data - Total'!$A$2:$G$54,4,FALSE)/VLOOKUP($A43,'Data - Total'!$A$2:$G$54,3,FALSE)</f>
        <v>0.50287888561215488</v>
      </c>
      <c r="K43" s="4"/>
      <c r="L43" s="4">
        <f>VLOOKUP($A43,'Data - Total'!$A$2:$G$54,5,FALSE)/VLOOKUP($A43,'Data - Total'!$A$2:$G$54,4,FALSE)</f>
        <v>0.4496613750784394</v>
      </c>
      <c r="M43" s="4"/>
      <c r="N43" s="64">
        <f>VLOOKUP($A43,'Data - Total'!$A$2:$G$54,6,FALSE)/VLOOKUP($A43,'Data - Total'!$A$2:$G$54,5,FALSE)</f>
        <v>0.71995865477023491</v>
      </c>
    </row>
    <row r="44" spans="1:14" x14ac:dyDescent="0.25">
      <c r="A44" s="69" t="s">
        <v>90</v>
      </c>
      <c r="B44" s="70" t="s">
        <v>91</v>
      </c>
      <c r="C44" s="6">
        <f>VLOOKUP($A44,'Data - Total'!$A$2:$G$54,7,FALSE)/VLOOKUP($A44,'Data - Total'!$A$2:$G$54,3,FALSE)</f>
        <v>928.82720344253494</v>
      </c>
      <c r="D44" s="4"/>
      <c r="E44" s="4">
        <f>VLOOKUP($A44,'Data - Total'!$A$2:$G$54,6,FALSE)/VLOOKUP($A44,'Data - Total'!$A$2:$G$54,3,FALSE)</f>
        <v>0.1301475979125383</v>
      </c>
      <c r="F44" s="4"/>
      <c r="G44" s="18">
        <f>VLOOKUP($A44,'Data - Total'!$A$2:$G$54,7,FALSE)/VLOOKUP($A44,'Data - Total'!$A$2:$G$54,6,FALSE)</f>
        <v>7136.7218322901726</v>
      </c>
      <c r="H44" s="4">
        <f>VLOOKUP($A44,'Data - Total'!$A$2:$G$54,6,FALSE)/VLOOKUP($A44,'Data - Total'!$A$2:$G$54,3,FALSE)</f>
        <v>0.1301475979125383</v>
      </c>
      <c r="I44" s="4"/>
      <c r="J44" s="4">
        <f>VLOOKUP($A44,'Data - Total'!$A$2:$G$54,4,FALSE)/VLOOKUP($A44,'Data - Total'!$A$2:$G$54,3,FALSE)</f>
        <v>0.57111441308896072</v>
      </c>
      <c r="K44" s="4"/>
      <c r="L44" s="4">
        <f>VLOOKUP($A44,'Data - Total'!$A$2:$G$54,5,FALSE)/VLOOKUP($A44,'Data - Total'!$A$2:$G$54,4,FALSE)</f>
        <v>0.25753318578322049</v>
      </c>
      <c r="M44" s="4"/>
      <c r="N44" s="64">
        <f>VLOOKUP($A44,'Data - Total'!$A$2:$G$54,6,FALSE)/VLOOKUP($A44,'Data - Total'!$A$2:$G$54,5,FALSE)</f>
        <v>0.88487074326822868</v>
      </c>
    </row>
    <row r="45" spans="1:14" x14ac:dyDescent="0.25">
      <c r="A45" s="69" t="s">
        <v>92</v>
      </c>
      <c r="B45" s="70" t="s">
        <v>93</v>
      </c>
      <c r="C45" s="6">
        <f>VLOOKUP($A45,'Data - Total'!$A$2:$G$54,7,FALSE)/VLOOKUP($A45,'Data - Total'!$A$2:$G$54,3,FALSE)</f>
        <v>1258.1936475138457</v>
      </c>
      <c r="D45" s="4"/>
      <c r="E45" s="4">
        <f>VLOOKUP($A45,'Data - Total'!$A$2:$G$54,6,FALSE)/VLOOKUP($A45,'Data - Total'!$A$2:$G$54,3,FALSE)</f>
        <v>0.19312315665558469</v>
      </c>
      <c r="F45" s="4"/>
      <c r="G45" s="18">
        <f>VLOOKUP($A45,'Data - Total'!$A$2:$G$54,7,FALSE)/VLOOKUP($A45,'Data - Total'!$A$2:$G$54,6,FALSE)</f>
        <v>6514.9807475325433</v>
      </c>
      <c r="H45" s="4">
        <f>VLOOKUP($A45,'Data - Total'!$A$2:$G$54,6,FALSE)/VLOOKUP($A45,'Data - Total'!$A$2:$G$54,3,FALSE)</f>
        <v>0.19312315665558469</v>
      </c>
      <c r="I45" s="4"/>
      <c r="J45" s="4">
        <f>VLOOKUP($A45,'Data - Total'!$A$2:$G$54,4,FALSE)/VLOOKUP($A45,'Data - Total'!$A$2:$G$54,3,FALSE)</f>
        <v>0.50843547492600794</v>
      </c>
      <c r="K45" s="4"/>
      <c r="L45" s="4">
        <f>VLOOKUP($A45,'Data - Total'!$A$2:$G$54,5,FALSE)/VLOOKUP($A45,'Data - Total'!$A$2:$G$54,4,FALSE)</f>
        <v>0.50449627692984966</v>
      </c>
      <c r="M45" s="4"/>
      <c r="N45" s="64">
        <f>VLOOKUP($A45,'Data - Total'!$A$2:$G$54,6,FALSE)/VLOOKUP($A45,'Data - Total'!$A$2:$G$54,5,FALSE)</f>
        <v>0.75290562371425418</v>
      </c>
    </row>
    <row r="46" spans="1:14" x14ac:dyDescent="0.25">
      <c r="A46" s="69" t="s">
        <v>94</v>
      </c>
      <c r="B46" s="70" t="s">
        <v>95</v>
      </c>
      <c r="C46" s="6">
        <f>VLOOKUP($A46,'Data - Total'!$A$2:$G$54,7,FALSE)/VLOOKUP($A46,'Data - Total'!$A$2:$G$54,3,FALSE)</f>
        <v>1064.5626494541516</v>
      </c>
      <c r="D46" s="4"/>
      <c r="E46" s="4">
        <f>VLOOKUP($A46,'Data - Total'!$A$2:$G$54,6,FALSE)/VLOOKUP($A46,'Data - Total'!$A$2:$G$54,3,FALSE)</f>
        <v>0.14754591523974581</v>
      </c>
      <c r="F46" s="4"/>
      <c r="G46" s="18">
        <f>VLOOKUP($A46,'Data - Total'!$A$2:$G$54,7,FALSE)/VLOOKUP($A46,'Data - Total'!$A$2:$G$54,6,FALSE)</f>
        <v>7215.1278991651861</v>
      </c>
      <c r="H46" s="4">
        <f>VLOOKUP($A46,'Data - Total'!$A$2:$G$54,6,FALSE)/VLOOKUP($A46,'Data - Total'!$A$2:$G$54,3,FALSE)</f>
        <v>0.14754591523974581</v>
      </c>
      <c r="I46" s="4"/>
      <c r="J46" s="4">
        <f>VLOOKUP($A46,'Data - Total'!$A$2:$G$54,4,FALSE)/VLOOKUP($A46,'Data - Total'!$A$2:$G$54,3,FALSE)</f>
        <v>0.51653629890025932</v>
      </c>
      <c r="K46" s="4"/>
      <c r="L46" s="4">
        <f>VLOOKUP($A46,'Data - Total'!$A$2:$G$54,5,FALSE)/VLOOKUP($A46,'Data - Total'!$A$2:$G$54,4,FALSE)</f>
        <v>0.39845244519649931</v>
      </c>
      <c r="M46" s="4"/>
      <c r="N46" s="64">
        <f>VLOOKUP($A46,'Data - Total'!$A$2:$G$54,6,FALSE)/VLOOKUP($A46,'Data - Total'!$A$2:$G$54,5,FALSE)</f>
        <v>0.71688558537408309</v>
      </c>
    </row>
    <row r="47" spans="1:14" x14ac:dyDescent="0.25">
      <c r="A47" s="69" t="s">
        <v>6</v>
      </c>
      <c r="B47" s="70" t="s">
        <v>7</v>
      </c>
      <c r="C47" s="6">
        <f>VLOOKUP($A47,'Data - Total'!$A$2:$G$54,7,FALSE)/VLOOKUP($A47,'Data - Total'!$A$2:$G$54,3,FALSE)</f>
        <v>1293.2552808471657</v>
      </c>
      <c r="D47" s="4"/>
      <c r="E47" s="4">
        <f>VLOOKUP($A47,'Data - Total'!$A$2:$G$54,6,FALSE)/VLOOKUP($A47,'Data - Total'!$A$2:$G$54,3,FALSE)</f>
        <v>0.16310209107477477</v>
      </c>
      <c r="F47" s="4"/>
      <c r="G47" s="18">
        <f>VLOOKUP($A47,'Data - Total'!$A$2:$G$54,7,FALSE)/VLOOKUP($A47,'Data - Total'!$A$2:$G$54,6,FALSE)</f>
        <v>7929.1152696152003</v>
      </c>
      <c r="H47" s="4">
        <f>VLOOKUP($A47,'Data - Total'!$A$2:$G$54,6,FALSE)/VLOOKUP($A47,'Data - Total'!$A$2:$G$54,3,FALSE)</f>
        <v>0.16310209107477477</v>
      </c>
      <c r="I47" s="4"/>
      <c r="J47" s="4">
        <f>VLOOKUP($A47,'Data - Total'!$A$2:$G$54,4,FALSE)/VLOOKUP($A47,'Data - Total'!$A$2:$G$54,3,FALSE)</f>
        <v>0.57041922961012248</v>
      </c>
      <c r="K47" s="4"/>
      <c r="L47" s="4">
        <f>VLOOKUP($A47,'Data - Total'!$A$2:$G$54,5,FALSE)/VLOOKUP($A47,'Data - Total'!$A$2:$G$54,4,FALSE)</f>
        <v>0.40596810064138389</v>
      </c>
      <c r="M47" s="4"/>
      <c r="N47" s="64">
        <f>VLOOKUP($A47,'Data - Total'!$A$2:$G$54,6,FALSE)/VLOOKUP($A47,'Data - Total'!$A$2:$G$54,5,FALSE)</f>
        <v>0.70432557984716249</v>
      </c>
    </row>
    <row r="48" spans="1:14" x14ac:dyDescent="0.25">
      <c r="A48" s="69" t="s">
        <v>96</v>
      </c>
      <c r="B48" s="70" t="s">
        <v>97</v>
      </c>
      <c r="C48" s="6">
        <f>VLOOKUP($A48,'Data - Total'!$A$2:$G$54,7,FALSE)/VLOOKUP($A48,'Data - Total'!$A$2:$G$54,3,FALSE)</f>
        <v>636.05501103827089</v>
      </c>
      <c r="D48" s="4"/>
      <c r="E48" s="4">
        <f>VLOOKUP($A48,'Data - Total'!$A$2:$G$54,6,FALSE)/VLOOKUP($A48,'Data - Total'!$A$2:$G$54,3,FALSE)</f>
        <v>9.2217653524559989E-2</v>
      </c>
      <c r="F48" s="4"/>
      <c r="G48" s="18">
        <f>VLOOKUP($A48,'Data - Total'!$A$2:$G$54,7,FALSE)/VLOOKUP($A48,'Data - Total'!$A$2:$G$54,6,FALSE)</f>
        <v>6897.3237414772511</v>
      </c>
      <c r="H48" s="4">
        <f>VLOOKUP($A48,'Data - Total'!$A$2:$G$54,6,FALSE)/VLOOKUP($A48,'Data - Total'!$A$2:$G$54,3,FALSE)</f>
        <v>9.2217653524559989E-2</v>
      </c>
      <c r="I48" s="4"/>
      <c r="J48" s="4">
        <f>VLOOKUP($A48,'Data - Total'!$A$2:$G$54,4,FALSE)/VLOOKUP($A48,'Data - Total'!$A$2:$G$54,3,FALSE)</f>
        <v>0.57959749202461652</v>
      </c>
      <c r="K48" s="4"/>
      <c r="L48" s="4">
        <f>VLOOKUP($A48,'Data - Total'!$A$2:$G$54,5,FALSE)/VLOOKUP($A48,'Data - Total'!$A$2:$G$54,4,FALSE)</f>
        <v>0.32381172836718747</v>
      </c>
      <c r="M48" s="4"/>
      <c r="N48" s="64">
        <f>VLOOKUP($A48,'Data - Total'!$A$2:$G$54,6,FALSE)/VLOOKUP($A48,'Data - Total'!$A$2:$G$54,5,FALSE)</f>
        <v>0.49135456481999062</v>
      </c>
    </row>
    <row r="49" spans="1:14" x14ac:dyDescent="0.25">
      <c r="A49" s="69" t="s">
        <v>100</v>
      </c>
      <c r="B49" s="70" t="s">
        <v>101</v>
      </c>
      <c r="C49" s="6">
        <f>VLOOKUP($A49,'Data - Total'!$A$2:$G$54,7,FALSE)/VLOOKUP($A49,'Data - Total'!$A$2:$G$54,3,FALSE)</f>
        <v>847.51401528605447</v>
      </c>
      <c r="D49" s="4"/>
      <c r="E49" s="4">
        <f>VLOOKUP($A49,'Data - Total'!$A$2:$G$54,6,FALSE)/VLOOKUP($A49,'Data - Total'!$A$2:$G$54,3,FALSE)</f>
        <v>0.10826181443802034</v>
      </c>
      <c r="F49" s="4"/>
      <c r="G49" s="18">
        <f>VLOOKUP($A49,'Data - Total'!$A$2:$G$54,7,FALSE)/VLOOKUP($A49,'Data - Total'!$A$2:$G$54,6,FALSE)</f>
        <v>7828.374387455463</v>
      </c>
      <c r="H49" s="4">
        <f>VLOOKUP($A49,'Data - Total'!$A$2:$G$54,6,FALSE)/VLOOKUP($A49,'Data - Total'!$A$2:$G$54,3,FALSE)</f>
        <v>0.10826181443802034</v>
      </c>
      <c r="I49" s="4"/>
      <c r="J49" s="4">
        <f>VLOOKUP($A49,'Data - Total'!$A$2:$G$54,4,FALSE)/VLOOKUP($A49,'Data - Total'!$A$2:$G$54,3,FALSE)</f>
        <v>0.6559406982989382</v>
      </c>
      <c r="K49" s="4"/>
      <c r="L49" s="4">
        <f>VLOOKUP($A49,'Data - Total'!$A$2:$G$54,5,FALSE)/VLOOKUP($A49,'Data - Total'!$A$2:$G$54,4,FALSE)</f>
        <v>0.21439201817600845</v>
      </c>
      <c r="M49" s="4"/>
      <c r="N49" s="64">
        <f>VLOOKUP($A49,'Data - Total'!$A$2:$G$54,6,FALSE)/VLOOKUP($A49,'Data - Total'!$A$2:$G$54,5,FALSE)</f>
        <v>0.76984290413304646</v>
      </c>
    </row>
    <row r="50" spans="1:14" x14ac:dyDescent="0.25">
      <c r="A50" s="69" t="s">
        <v>98</v>
      </c>
      <c r="B50" s="70" t="s">
        <v>99</v>
      </c>
      <c r="C50" s="6">
        <f>VLOOKUP($A50,'Data - Total'!$A$2:$G$54,7,FALSE)/VLOOKUP($A50,'Data - Total'!$A$2:$G$54,3,FALSE)</f>
        <v>2031.885906813699</v>
      </c>
      <c r="D50" s="4"/>
      <c r="E50" s="4">
        <f>VLOOKUP($A50,'Data - Total'!$A$2:$G$54,6,FALSE)/VLOOKUP($A50,'Data - Total'!$A$2:$G$54,3,FALSE)</f>
        <v>0.21385045330543326</v>
      </c>
      <c r="F50" s="4"/>
      <c r="G50" s="18">
        <f>VLOOKUP($A50,'Data - Total'!$A$2:$G$54,7,FALSE)/VLOOKUP($A50,'Data - Total'!$A$2:$G$54,6,FALSE)</f>
        <v>9501.4337141088272</v>
      </c>
      <c r="H50" s="4">
        <f>VLOOKUP($A50,'Data - Total'!$A$2:$G$54,6,FALSE)/VLOOKUP($A50,'Data - Total'!$A$2:$G$54,3,FALSE)</f>
        <v>0.21385045330543326</v>
      </c>
      <c r="I50" s="4"/>
      <c r="J50" s="4">
        <f>VLOOKUP($A50,'Data - Total'!$A$2:$G$54,4,FALSE)/VLOOKUP($A50,'Data - Total'!$A$2:$G$54,3,FALSE)</f>
        <v>0.63895774226441049</v>
      </c>
      <c r="K50" s="4"/>
      <c r="L50" s="4">
        <f>VLOOKUP($A50,'Data - Total'!$A$2:$G$54,5,FALSE)/VLOOKUP($A50,'Data - Total'!$A$2:$G$54,4,FALSE)</f>
        <v>0.50755465237849795</v>
      </c>
      <c r="M50" s="4"/>
      <c r="N50" s="64">
        <f>VLOOKUP($A50,'Data - Total'!$A$2:$G$54,6,FALSE)/VLOOKUP($A50,'Data - Total'!$A$2:$G$54,5,FALSE)</f>
        <v>0.65940953898237575</v>
      </c>
    </row>
    <row r="51" spans="1:14" x14ac:dyDescent="0.25">
      <c r="A51" s="69" t="s">
        <v>102</v>
      </c>
      <c r="B51" s="70" t="s">
        <v>103</v>
      </c>
      <c r="C51" s="6">
        <f>VLOOKUP($A51,'Data - Total'!$A$2:$G$54,7,FALSE)/VLOOKUP($A51,'Data - Total'!$A$2:$G$54,3,FALSE)</f>
        <v>1030.2387212964338</v>
      </c>
      <c r="D51" s="4"/>
      <c r="E51" s="4">
        <f>VLOOKUP($A51,'Data - Total'!$A$2:$G$54,6,FALSE)/VLOOKUP($A51,'Data - Total'!$A$2:$G$54,3,FALSE)</f>
        <v>0.14661952762688238</v>
      </c>
      <c r="F51" s="4"/>
      <c r="G51" s="18">
        <f>VLOOKUP($A51,'Data - Total'!$A$2:$G$54,7,FALSE)/VLOOKUP($A51,'Data - Total'!$A$2:$G$54,6,FALSE)</f>
        <v>7026.6132893170079</v>
      </c>
      <c r="H51" s="4">
        <f>VLOOKUP($A51,'Data - Total'!$A$2:$G$54,6,FALSE)/VLOOKUP($A51,'Data - Total'!$A$2:$G$54,3,FALSE)</f>
        <v>0.14661952762688238</v>
      </c>
      <c r="I51" s="4"/>
      <c r="J51" s="4">
        <f>VLOOKUP($A51,'Data - Total'!$A$2:$G$54,4,FALSE)/VLOOKUP($A51,'Data - Total'!$A$2:$G$54,3,FALSE)</f>
        <v>0.6024180179111186</v>
      </c>
      <c r="K51" s="4"/>
      <c r="L51" s="4">
        <f>VLOOKUP($A51,'Data - Total'!$A$2:$G$54,5,FALSE)/VLOOKUP($A51,'Data - Total'!$A$2:$G$54,4,FALSE)</f>
        <v>0.39100160583703947</v>
      </c>
      <c r="M51" s="4"/>
      <c r="N51" s="64">
        <f>VLOOKUP($A51,'Data - Total'!$A$2:$G$54,6,FALSE)/VLOOKUP($A51,'Data - Total'!$A$2:$G$54,5,FALSE)</f>
        <v>0.6224655520760306</v>
      </c>
    </row>
    <row r="52" spans="1:14" x14ac:dyDescent="0.25">
      <c r="A52" s="69" t="s">
        <v>106</v>
      </c>
      <c r="B52" s="70" t="s">
        <v>107</v>
      </c>
      <c r="C52" s="6">
        <f>VLOOKUP($A52,'Data - Total'!$A$2:$G$54,7,FALSE)/VLOOKUP($A52,'Data - Total'!$A$2:$G$54,3,FALSE)</f>
        <v>1244.9146369921004</v>
      </c>
      <c r="D52" s="4"/>
      <c r="E52" s="4">
        <f>VLOOKUP($A52,'Data - Total'!$A$2:$G$54,6,FALSE)/VLOOKUP($A52,'Data - Total'!$A$2:$G$54,3,FALSE)</f>
        <v>0.17930888080516788</v>
      </c>
      <c r="F52" s="4"/>
      <c r="G52" s="18">
        <f>VLOOKUP($A52,'Data - Total'!$A$2:$G$54,7,FALSE)/VLOOKUP($A52,'Data - Total'!$A$2:$G$54,6,FALSE)</f>
        <v>6942.8498544073254</v>
      </c>
      <c r="H52" s="4">
        <f>VLOOKUP($A52,'Data - Total'!$A$2:$G$54,6,FALSE)/VLOOKUP($A52,'Data - Total'!$A$2:$G$54,3,FALSE)</f>
        <v>0.17930888080516788</v>
      </c>
      <c r="I52" s="4"/>
      <c r="J52" s="4">
        <f>VLOOKUP($A52,'Data - Total'!$A$2:$G$54,4,FALSE)/VLOOKUP($A52,'Data - Total'!$A$2:$G$54,3,FALSE)</f>
        <v>0.62620690333287587</v>
      </c>
      <c r="K52" s="4"/>
      <c r="L52" s="4">
        <f>VLOOKUP($A52,'Data - Total'!$A$2:$G$54,5,FALSE)/VLOOKUP($A52,'Data - Total'!$A$2:$G$54,4,FALSE)</f>
        <v>0.34889230527269394</v>
      </c>
      <c r="M52" s="4"/>
      <c r="N52" s="64">
        <f>VLOOKUP($A52,'Data - Total'!$A$2:$G$54,6,FALSE)/VLOOKUP($A52,'Data - Total'!$A$2:$G$54,5,FALSE)</f>
        <v>0.82071535251820715</v>
      </c>
    </row>
    <row r="53" spans="1:14" x14ac:dyDescent="0.25">
      <c r="A53" s="69" t="s">
        <v>104</v>
      </c>
      <c r="B53" s="70" t="s">
        <v>105</v>
      </c>
      <c r="C53" s="6">
        <f>VLOOKUP($A53,'Data - Total'!$A$2:$G$54,7,FALSE)/VLOOKUP($A53,'Data - Total'!$A$2:$G$54,3,FALSE)</f>
        <v>1524.6243314933918</v>
      </c>
      <c r="D53" s="4"/>
      <c r="E53" s="4">
        <f>VLOOKUP($A53,'Data - Total'!$A$2:$G$54,6,FALSE)/VLOOKUP($A53,'Data - Total'!$A$2:$G$54,3,FALSE)</f>
        <v>0.17596051888335035</v>
      </c>
      <c r="F53" s="4"/>
      <c r="G53" s="18">
        <f>VLOOKUP($A53,'Data - Total'!$A$2:$G$54,7,FALSE)/VLOOKUP($A53,'Data - Total'!$A$2:$G$54,6,FALSE)</f>
        <v>8664.5819253585651</v>
      </c>
      <c r="H53" s="4">
        <f>VLOOKUP($A53,'Data - Total'!$A$2:$G$54,6,FALSE)/VLOOKUP($A53,'Data - Total'!$A$2:$G$54,3,FALSE)</f>
        <v>0.17596051888335035</v>
      </c>
      <c r="I53" s="4"/>
      <c r="J53" s="4">
        <f>VLOOKUP($A53,'Data - Total'!$A$2:$G$54,4,FALSE)/VLOOKUP($A53,'Data - Total'!$A$2:$G$54,3,FALSE)</f>
        <v>0.53050434741163754</v>
      </c>
      <c r="K53" s="4"/>
      <c r="L53" s="4">
        <f>VLOOKUP($A53,'Data - Total'!$A$2:$G$54,5,FALSE)/VLOOKUP($A53,'Data - Total'!$A$2:$G$54,4,FALSE)</f>
        <v>0.61671797340911438</v>
      </c>
      <c r="M53" s="4"/>
      <c r="N53" s="64">
        <f>VLOOKUP($A53,'Data - Total'!$A$2:$G$54,6,FALSE)/VLOOKUP($A53,'Data - Total'!$A$2:$G$54,5,FALSE)</f>
        <v>0.53782338429850807</v>
      </c>
    </row>
    <row r="54" spans="1:14" x14ac:dyDescent="0.25">
      <c r="A54" s="71" t="s">
        <v>108</v>
      </c>
      <c r="B54" s="72" t="s">
        <v>109</v>
      </c>
      <c r="C54" s="73">
        <f>VLOOKUP($A54,'Data - Total'!$A$2:$G$54,7,FALSE)/VLOOKUP($A54,'Data - Total'!$A$2:$G$54,3,FALSE)</f>
        <v>989.73697906306768</v>
      </c>
      <c r="D54" s="5"/>
      <c r="E54" s="5">
        <f>VLOOKUP($A54,'Data - Total'!$A$2:$G$54,6,FALSE)/VLOOKUP($A54,'Data - Total'!$A$2:$G$54,3,FALSE)</f>
        <v>0.12058450915702369</v>
      </c>
      <c r="F54" s="5"/>
      <c r="G54" s="49">
        <f>VLOOKUP($A54,'Data - Total'!$A$2:$G$54,7,FALSE)/VLOOKUP($A54,'Data - Total'!$A$2:$G$54,6,FALSE)</f>
        <v>8207.8285675504485</v>
      </c>
      <c r="H54" s="5">
        <f>VLOOKUP($A54,'Data - Total'!$A$2:$G$54,6,FALSE)/VLOOKUP($A54,'Data - Total'!$A$2:$G$54,3,FALSE)</f>
        <v>0.12058450915702369</v>
      </c>
      <c r="I54" s="5"/>
      <c r="J54" s="5">
        <f>VLOOKUP($A54,'Data - Total'!$A$2:$G$54,4,FALSE)/VLOOKUP($A54,'Data - Total'!$A$2:$G$54,3,FALSE)</f>
        <v>0.61621973978586075</v>
      </c>
      <c r="K54" s="5"/>
      <c r="L54" s="5">
        <f>VLOOKUP($A54,'Data - Total'!$A$2:$G$54,5,FALSE)/VLOOKUP($A54,'Data - Total'!$A$2:$G$54,4,FALSE)</f>
        <v>0.20891758488524281</v>
      </c>
      <c r="M54" s="5"/>
      <c r="N54" s="76">
        <f>VLOOKUP($A54,'Data - Total'!$A$2:$G$54,6,FALSE)/VLOOKUP($A54,'Data - Total'!$A$2:$G$54,5,FALSE)</f>
        <v>0.93665772001695158</v>
      </c>
    </row>
  </sheetData>
  <sortState ref="A3:N54">
    <sortCondition ref="A3"/>
  </sortState>
  <mergeCells count="2">
    <mergeCell ref="C1:G1"/>
    <mergeCell ref="H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topLeftCell="A22" workbookViewId="0">
      <selection activeCell="O38" sqref="O38"/>
    </sheetView>
  </sheetViews>
  <sheetFormatPr defaultRowHeight="15" x14ac:dyDescent="0.25"/>
  <cols>
    <col min="2" max="2" width="19.140625" bestFit="1" customWidth="1"/>
    <col min="3" max="3" width="20.5703125" style="79" customWidth="1"/>
    <col min="4" max="4" width="16.28515625" style="7" customWidth="1"/>
    <col min="5" max="5" width="2.5703125" bestFit="1" customWidth="1"/>
    <col min="6" max="6" width="15.85546875" customWidth="1"/>
    <col min="7" max="7" width="2.28515625" bestFit="1" customWidth="1"/>
    <col min="8" max="8" width="17.5703125" style="53" customWidth="1"/>
    <col min="9" max="9" width="19.42578125" customWidth="1"/>
    <col min="10" max="10" width="4.28515625" bestFit="1" customWidth="1"/>
    <col min="11" max="11" width="45.140625" bestFit="1" customWidth="1"/>
    <col min="12" max="12" width="4" bestFit="1" customWidth="1"/>
    <col min="13" max="13" width="29.5703125" customWidth="1"/>
    <col min="14" max="14" width="2" bestFit="1" customWidth="1"/>
    <col min="15" max="15" width="18.5703125" bestFit="1" customWidth="1"/>
  </cols>
  <sheetData>
    <row r="1" spans="1:15" x14ac:dyDescent="0.25">
      <c r="A1" s="1"/>
      <c r="B1" s="1"/>
      <c r="C1" s="77"/>
      <c r="D1" s="133" t="s">
        <v>111</v>
      </c>
      <c r="E1" s="134"/>
      <c r="F1" s="134"/>
      <c r="G1" s="134"/>
      <c r="H1" s="135"/>
      <c r="I1" s="133" t="s">
        <v>112</v>
      </c>
      <c r="J1" s="134"/>
      <c r="K1" s="134"/>
      <c r="L1" s="134"/>
      <c r="M1" s="134"/>
      <c r="N1" s="134"/>
      <c r="O1" s="135"/>
    </row>
    <row r="2" spans="1:15" s="11" customFormat="1" ht="45.75" customHeight="1" x14ac:dyDescent="0.25">
      <c r="A2" s="9" t="s">
        <v>0</v>
      </c>
      <c r="B2" s="9" t="s">
        <v>1</v>
      </c>
      <c r="C2" s="52" t="s">
        <v>184</v>
      </c>
      <c r="D2" s="55" t="s">
        <v>113</v>
      </c>
      <c r="E2" s="9" t="s">
        <v>114</v>
      </c>
      <c r="F2" s="9" t="s">
        <v>115</v>
      </c>
      <c r="G2" s="9" t="s">
        <v>116</v>
      </c>
      <c r="H2" s="52" t="s">
        <v>117</v>
      </c>
      <c r="I2" s="51" t="s">
        <v>118</v>
      </c>
      <c r="J2" s="10" t="s">
        <v>114</v>
      </c>
      <c r="K2" s="10" t="s">
        <v>119</v>
      </c>
      <c r="L2" s="10" t="s">
        <v>116</v>
      </c>
      <c r="M2" s="10" t="s">
        <v>120</v>
      </c>
      <c r="N2" s="10" t="s">
        <v>116</v>
      </c>
      <c r="O2" s="10" t="s">
        <v>121</v>
      </c>
    </row>
    <row r="3" spans="1:15" x14ac:dyDescent="0.25">
      <c r="A3" s="3" t="s">
        <v>56</v>
      </c>
      <c r="B3" s="3" t="s">
        <v>57</v>
      </c>
      <c r="C3" s="78">
        <f>VLOOKUP($A3,'Data - Total'!$A$2:$L$54,8,FALSE)/VLOOKUP($A3,'Data - Total'!$A$2:$G$54,3,FALSE)</f>
        <v>0.27209456402356536</v>
      </c>
      <c r="D3" s="38">
        <f>VLOOKUP($A3,'Data - Total'!$A$2:$L$54,12,FALSE)/VLOOKUP($A3,'Data - Total'!$A$2:$L$54,8,FALSE)</f>
        <v>1240.2574157780964</v>
      </c>
      <c r="E3" s="4"/>
      <c r="F3" s="4">
        <f>VLOOKUP($A3,'Data - Total'!$A$2:$L$54,11,FALSE)/VLOOKUP($A3,'Data - Total'!$A$2:$L$54,8,FALSE)</f>
        <v>0.44600568744908603</v>
      </c>
      <c r="G3" s="4"/>
      <c r="H3" s="18">
        <f>VLOOKUP($A3,'Data - Total'!$A$2:$L$54,12,FALSE)/VLOOKUP($A3,'Data - Total'!$A$2:$L$54,11,FALSE)</f>
        <v>2780.8107624629306</v>
      </c>
      <c r="I3" s="4">
        <f>VLOOKUP($A3,'Data - Total'!$A$2:$L$54,11,FALSE)/VLOOKUP($A3,'Data - Total'!$A$2:$L$54,8,FALSE)</f>
        <v>0.44600568744908603</v>
      </c>
      <c r="J3" s="4"/>
      <c r="K3" s="4">
        <f>VLOOKUP($A3,'Data - Total'!$A$2:$L$54,9,FALSE)/VLOOKUP($A3,'Data - Total'!$A$2:$L$54,8,FALSE)</f>
        <v>0.38912856184794398</v>
      </c>
      <c r="L3" s="4"/>
      <c r="M3" s="4">
        <f>VLOOKUP($A3,'Data - Total'!$A$2:$L$54,10,FALSE)/VLOOKUP($A3,'Data - Total'!$A$2:$L$54,9,FALSE)</f>
        <v>1.4181998467283863</v>
      </c>
      <c r="N3" s="4"/>
      <c r="O3" s="4">
        <f>VLOOKUP($A3,'Data - Total'!$A$2:$L$54,11,FALSE)/VLOOKUP($A3,'Data - Total'!$A$2:$L$54,10,FALSE)</f>
        <v>0.80818326590048406</v>
      </c>
    </row>
    <row r="4" spans="1:15" x14ac:dyDescent="0.25">
      <c r="A4" s="3" t="s">
        <v>32</v>
      </c>
      <c r="B4" s="3" t="s">
        <v>33</v>
      </c>
      <c r="C4" s="78">
        <f>VLOOKUP($A4,'Data - Total'!$A$2:$L$54,8,FALSE)/VLOOKUP($A4,'Data - Total'!$A$2:$G$54,3,FALSE)</f>
        <v>0.28379250471407691</v>
      </c>
      <c r="D4" s="38">
        <f>VLOOKUP($A4,'Data - Total'!$A$2:$L$54,12,FALSE)/VLOOKUP($A4,'Data - Total'!$A$2:$L$54,8,FALSE)</f>
        <v>779.22590244048831</v>
      </c>
      <c r="E4" s="4"/>
      <c r="F4" s="4">
        <f>VLOOKUP($A4,'Data - Total'!$A$2:$L$54,11,FALSE)/VLOOKUP($A4,'Data - Total'!$A$2:$L$54,8,FALSE)</f>
        <v>0.29005004626630571</v>
      </c>
      <c r="G4" s="4"/>
      <c r="H4" s="18">
        <f>VLOOKUP($A4,'Data - Total'!$A$2:$L$54,12,FALSE)/VLOOKUP($A4,'Data - Total'!$A$2:$L$54,11,FALSE)</f>
        <v>2686.5222483883081</v>
      </c>
      <c r="I4" s="4">
        <f>VLOOKUP($A4,'Data - Total'!$A$2:$L$54,11,FALSE)/VLOOKUP($A4,'Data - Total'!$A$2:$L$54,8,FALSE)</f>
        <v>0.29005004626630571</v>
      </c>
      <c r="J4" s="4"/>
      <c r="K4" s="4">
        <f>VLOOKUP($A4,'Data - Total'!$A$2:$L$54,9,FALSE)/VLOOKUP($A4,'Data - Total'!$A$2:$L$54,8,FALSE)</f>
        <v>0.36518875855545774</v>
      </c>
      <c r="L4" s="4"/>
      <c r="M4" s="4">
        <f>VLOOKUP($A4,'Data - Total'!$A$2:$L$54,10,FALSE)/VLOOKUP($A4,'Data - Total'!$A$2:$L$54,9,FALSE)</f>
        <v>1.0929035456145162</v>
      </c>
      <c r="N4" s="4"/>
      <c r="O4" s="4">
        <f>VLOOKUP($A4,'Data - Total'!$A$2:$L$54,11,FALSE)/VLOOKUP($A4,'Data - Total'!$A$2:$L$54,10,FALSE)</f>
        <v>0.72673102946360546</v>
      </c>
    </row>
    <row r="5" spans="1:15" x14ac:dyDescent="0.25">
      <c r="A5" s="3" t="s">
        <v>80</v>
      </c>
      <c r="B5" s="3" t="s">
        <v>81</v>
      </c>
      <c r="C5" s="78">
        <f>VLOOKUP($A5,'Data - Total'!$A$2:$L$54,8,FALSE)/VLOOKUP($A5,'Data - Total'!$A$2:$G$54,3,FALSE)</f>
        <v>0.25954928844228614</v>
      </c>
      <c r="D5" s="38">
        <f>VLOOKUP($A5,'Data - Total'!$A$2:$L$54,12,FALSE)/VLOOKUP($A5,'Data - Total'!$A$2:$L$54,8,FALSE)</f>
        <v>1316.7579728665887</v>
      </c>
      <c r="E5" s="4"/>
      <c r="F5" s="4">
        <f>VLOOKUP($A5,'Data - Total'!$A$2:$L$54,11,FALSE)/VLOOKUP($A5,'Data - Total'!$A$2:$L$54,8,FALSE)</f>
        <v>0.44397001115905749</v>
      </c>
      <c r="G5" s="4"/>
      <c r="H5" s="18">
        <f>VLOOKUP($A5,'Data - Total'!$A$2:$L$54,12,FALSE)/VLOOKUP($A5,'Data - Total'!$A$2:$L$54,11,FALSE)</f>
        <v>2965.8714322369956</v>
      </c>
      <c r="I5" s="4">
        <f>VLOOKUP($A5,'Data - Total'!$A$2:$L$54,11,FALSE)/VLOOKUP($A5,'Data - Total'!$A$2:$L$54,8,FALSE)</f>
        <v>0.44397001115905749</v>
      </c>
      <c r="J5" s="4"/>
      <c r="K5" s="4">
        <f>VLOOKUP($A5,'Data - Total'!$A$2:$L$54,9,FALSE)/VLOOKUP($A5,'Data - Total'!$A$2:$L$54,8,FALSE)</f>
        <v>0.43971133210246799</v>
      </c>
      <c r="L5" s="4"/>
      <c r="M5" s="4">
        <f>VLOOKUP($A5,'Data - Total'!$A$2:$L$54,10,FALSE)/VLOOKUP($A5,'Data - Total'!$A$2:$L$54,9,FALSE)</f>
        <v>1.0306137038805887</v>
      </c>
      <c r="N5" s="4"/>
      <c r="O5" s="4">
        <f>VLOOKUP($A5,'Data - Total'!$A$2:$L$54,11,FALSE)/VLOOKUP($A5,'Data - Total'!$A$2:$L$54,10,FALSE)</f>
        <v>0.97969313460668306</v>
      </c>
    </row>
    <row r="6" spans="1:15" x14ac:dyDescent="0.25">
      <c r="A6" s="3" t="s">
        <v>92</v>
      </c>
      <c r="B6" s="3" t="s">
        <v>93</v>
      </c>
      <c r="C6" s="78">
        <f>VLOOKUP($A6,'Data - Total'!$A$2:$L$54,8,FALSE)/VLOOKUP($A6,'Data - Total'!$A$2:$G$54,3,FALSE)</f>
        <v>0.2432320552447049</v>
      </c>
      <c r="D6" s="38">
        <f>VLOOKUP($A6,'Data - Total'!$A$2:$L$54,12,FALSE)/VLOOKUP($A6,'Data - Total'!$A$2:$L$54,8,FALSE)</f>
        <v>1290.9464757663159</v>
      </c>
      <c r="E6" s="4"/>
      <c r="F6" s="4">
        <f>VLOOKUP($A6,'Data - Total'!$A$2:$L$54,11,FALSE)/VLOOKUP($A6,'Data - Total'!$A$2:$L$54,8,FALSE)</f>
        <v>0.48800229419420477</v>
      </c>
      <c r="G6" s="4"/>
      <c r="H6" s="18">
        <f>VLOOKUP($A6,'Data - Total'!$A$2:$L$54,12,FALSE)/VLOOKUP($A6,'Data - Total'!$A$2:$L$54,11,FALSE)</f>
        <v>2645.3696860133459</v>
      </c>
      <c r="I6" s="4">
        <f>VLOOKUP($A6,'Data - Total'!$A$2:$L$54,11,FALSE)/VLOOKUP($A6,'Data - Total'!$A$2:$L$54,8,FALSE)</f>
        <v>0.48800229419420477</v>
      </c>
      <c r="J6" s="4"/>
      <c r="K6" s="4">
        <f>VLOOKUP($A6,'Data - Total'!$A$2:$L$54,9,FALSE)/VLOOKUP($A6,'Data - Total'!$A$2:$L$54,8,FALSE)</f>
        <v>0.4341422720469868</v>
      </c>
      <c r="L6" s="4"/>
      <c r="M6" s="4">
        <f>VLOOKUP($A6,'Data - Total'!$A$2:$L$54,10,FALSE)/VLOOKUP($A6,'Data - Total'!$A$2:$L$54,9,FALSE)</f>
        <v>1.2417174403894</v>
      </c>
      <c r="N6" s="4"/>
      <c r="O6" s="4">
        <f>VLOOKUP($A6,'Data - Total'!$A$2:$L$54,11,FALSE)/VLOOKUP($A6,'Data - Total'!$A$2:$L$54,10,FALSE)</f>
        <v>0.90524682015467794</v>
      </c>
    </row>
    <row r="7" spans="1:15" x14ac:dyDescent="0.25">
      <c r="A7" s="3" t="s">
        <v>42</v>
      </c>
      <c r="B7" s="3" t="s">
        <v>43</v>
      </c>
      <c r="C7" s="78">
        <f>VLOOKUP($A7,'Data - Total'!$A$2:$L$54,8,FALSE)/VLOOKUP($A7,'Data - Total'!$A$2:$G$54,3,FALSE)</f>
        <v>0.24484376976551936</v>
      </c>
      <c r="D7" s="38">
        <f>VLOOKUP($A7,'Data - Total'!$A$2:$L$54,12,FALSE)/VLOOKUP($A7,'Data - Total'!$A$2:$L$54,8,FALSE)</f>
        <v>1277.2528321930015</v>
      </c>
      <c r="E7" s="4"/>
      <c r="F7" s="4">
        <f>VLOOKUP($A7,'Data - Total'!$A$2:$L$54,11,FALSE)/VLOOKUP($A7,'Data - Total'!$A$2:$L$54,8,FALSE)</f>
        <v>0.40682362615199297</v>
      </c>
      <c r="G7" s="4"/>
      <c r="H7" s="18">
        <f>VLOOKUP($A7,'Data - Total'!$A$2:$L$54,12,FALSE)/VLOOKUP($A7,'Data - Total'!$A$2:$L$54,11,FALSE)</f>
        <v>3139.5738843245263</v>
      </c>
      <c r="I7" s="4">
        <f>VLOOKUP($A7,'Data - Total'!$A$2:$L$54,11,FALSE)/VLOOKUP($A7,'Data - Total'!$A$2:$L$54,8,FALSE)</f>
        <v>0.40682362615199297</v>
      </c>
      <c r="J7" s="4"/>
      <c r="K7" s="4">
        <f>VLOOKUP($A7,'Data - Total'!$A$2:$L$54,9,FALSE)/VLOOKUP($A7,'Data - Total'!$A$2:$L$54,8,FALSE)</f>
        <v>0.42777223722843449</v>
      </c>
      <c r="L7" s="4"/>
      <c r="M7" s="4">
        <f>VLOOKUP($A7,'Data - Total'!$A$2:$L$54,10,FALSE)/VLOOKUP($A7,'Data - Total'!$A$2:$L$54,9,FALSE)</f>
        <v>1.0897539216321399</v>
      </c>
      <c r="N7" s="4"/>
      <c r="O7" s="4">
        <f>VLOOKUP($A7,'Data - Total'!$A$2:$L$54,11,FALSE)/VLOOKUP($A7,'Data - Total'!$A$2:$L$54,10,FALSE)</f>
        <v>0.8727003112421986</v>
      </c>
    </row>
    <row r="8" spans="1:15" x14ac:dyDescent="0.25">
      <c r="A8" s="3" t="s">
        <v>90</v>
      </c>
      <c r="B8" s="3" t="s">
        <v>91</v>
      </c>
      <c r="C8" s="78">
        <f>VLOOKUP($A8,'Data - Total'!$A$2:$L$54,8,FALSE)/VLOOKUP($A8,'Data - Total'!$A$2:$G$54,3,FALSE)</f>
        <v>0.25486346294127898</v>
      </c>
      <c r="D8" s="38">
        <f>VLOOKUP($A8,'Data - Total'!$A$2:$L$54,12,FALSE)/VLOOKUP($A8,'Data - Total'!$A$2:$L$54,8,FALSE)</f>
        <v>988.18654074630285</v>
      </c>
      <c r="E8" s="4"/>
      <c r="F8" s="4">
        <f>VLOOKUP($A8,'Data - Total'!$A$2:$L$54,11,FALSE)/VLOOKUP($A8,'Data - Total'!$A$2:$L$54,8,FALSE)</f>
        <v>0.36347676182780686</v>
      </c>
      <c r="G8" s="4"/>
      <c r="H8" s="18">
        <f>VLOOKUP($A8,'Data - Total'!$A$2:$L$54,12,FALSE)/VLOOKUP($A8,'Data - Total'!$A$2:$L$54,11,FALSE)</f>
        <v>2718.7062407429648</v>
      </c>
      <c r="I8" s="4">
        <f>VLOOKUP($A8,'Data - Total'!$A$2:$L$54,11,FALSE)/VLOOKUP($A8,'Data - Total'!$A$2:$L$54,8,FALSE)</f>
        <v>0.36347676182780686</v>
      </c>
      <c r="J8" s="4"/>
      <c r="K8" s="4">
        <f>VLOOKUP($A8,'Data - Total'!$A$2:$L$54,9,FALSE)/VLOOKUP($A8,'Data - Total'!$A$2:$L$54,8,FALSE)</f>
        <v>0.4808079071764414</v>
      </c>
      <c r="L8" s="4"/>
      <c r="M8" s="4">
        <f>VLOOKUP($A8,'Data - Total'!$A$2:$L$54,10,FALSE)/VLOOKUP($A8,'Data - Total'!$A$2:$L$54,9,FALSE)</f>
        <v>0.74148551836192955</v>
      </c>
      <c r="N8" s="4"/>
      <c r="O8" s="80">
        <f>VLOOKUP($A8,'Data - Total'!$A$2:$L$54,11,FALSE)/VLOOKUP($A8,'Data - Total'!$A$2:$L$54,10,FALSE)</f>
        <v>1.0195355544369924</v>
      </c>
    </row>
    <row r="9" spans="1:15" x14ac:dyDescent="0.25">
      <c r="A9" s="3" t="s">
        <v>14</v>
      </c>
      <c r="B9" s="3" t="s">
        <v>15</v>
      </c>
      <c r="C9" s="78">
        <f>VLOOKUP($A9,'Data - Total'!$A$2:$L$54,8,FALSE)/VLOOKUP($A9,'Data - Total'!$A$2:$G$54,3,FALSE)</f>
        <v>0.246981526491861</v>
      </c>
      <c r="D9" s="38">
        <f>VLOOKUP($A9,'Data - Total'!$A$2:$L$54,12,FALSE)/VLOOKUP($A9,'Data - Total'!$A$2:$L$54,8,FALSE)</f>
        <v>1292.5823074683876</v>
      </c>
      <c r="E9" s="4"/>
      <c r="F9" s="4">
        <f>VLOOKUP($A9,'Data - Total'!$A$2:$L$54,11,FALSE)/VLOOKUP($A9,'Data - Total'!$A$2:$L$54,8,FALSE)</f>
        <v>0.49968561865188282</v>
      </c>
      <c r="G9" s="4"/>
      <c r="H9" s="18">
        <f>VLOOKUP($A9,'Data - Total'!$A$2:$L$54,12,FALSE)/VLOOKUP($A9,'Data - Total'!$A$2:$L$54,11,FALSE)</f>
        <v>2586.7910926788027</v>
      </c>
      <c r="I9" s="4">
        <f>VLOOKUP($A9,'Data - Total'!$A$2:$L$54,11,FALSE)/VLOOKUP($A9,'Data - Total'!$A$2:$L$54,8,FALSE)</f>
        <v>0.49968561865188282</v>
      </c>
      <c r="J9" s="4"/>
      <c r="K9" s="4">
        <f>VLOOKUP($A9,'Data - Total'!$A$2:$L$54,9,FALSE)/VLOOKUP($A9,'Data - Total'!$A$2:$L$54,8,FALSE)</f>
        <v>0.38473819627963779</v>
      </c>
      <c r="L9" s="4"/>
      <c r="M9" s="4">
        <f>VLOOKUP($A9,'Data - Total'!$A$2:$L$54,10,FALSE)/VLOOKUP($A9,'Data - Total'!$A$2:$L$54,9,FALSE)</f>
        <v>1.6264311769371114</v>
      </c>
      <c r="N9" s="4"/>
      <c r="O9" s="4">
        <f>VLOOKUP($A9,'Data - Total'!$A$2:$L$54,11,FALSE)/VLOOKUP($A9,'Data - Total'!$A$2:$L$54,10,FALSE)</f>
        <v>0.79853849145851308</v>
      </c>
    </row>
    <row r="10" spans="1:15" x14ac:dyDescent="0.25">
      <c r="A10" s="3" t="s">
        <v>44</v>
      </c>
      <c r="B10" s="3" t="s">
        <v>45</v>
      </c>
      <c r="C10" s="78">
        <f>VLOOKUP($A10,'Data - Total'!$A$2:$L$54,8,FALSE)/VLOOKUP($A10,'Data - Total'!$A$2:$G$54,3,FALSE)</f>
        <v>0.26338885877638285</v>
      </c>
      <c r="D10" s="38">
        <f>VLOOKUP($A10,'Data - Total'!$A$2:$L$54,12,FALSE)/VLOOKUP($A10,'Data - Total'!$A$2:$L$54,8,FALSE)</f>
        <v>1206.7075798228225</v>
      </c>
      <c r="E10" s="4"/>
      <c r="F10" s="4">
        <f>VLOOKUP($A10,'Data - Total'!$A$2:$L$54,11,FALSE)/VLOOKUP($A10,'Data - Total'!$A$2:$L$54,8,FALSE)</f>
        <v>0.57996635975645838</v>
      </c>
      <c r="G10" s="4"/>
      <c r="H10" s="18">
        <f>VLOOKUP($A10,'Data - Total'!$A$2:$L$54,12,FALSE)/VLOOKUP($A10,'Data - Total'!$A$2:$L$54,11,FALSE)</f>
        <v>2080.6509886703561</v>
      </c>
      <c r="I10" s="4">
        <f>VLOOKUP($A10,'Data - Total'!$A$2:$L$54,11,FALSE)/VLOOKUP($A10,'Data - Total'!$A$2:$L$54,8,FALSE)</f>
        <v>0.57996635975645838</v>
      </c>
      <c r="J10" s="4"/>
      <c r="K10" s="4">
        <f>VLOOKUP($A10,'Data - Total'!$A$2:$L$54,9,FALSE)/VLOOKUP($A10,'Data - Total'!$A$2:$L$54,8,FALSE)</f>
        <v>0.44206790826857983</v>
      </c>
      <c r="L10" s="4"/>
      <c r="M10" s="4">
        <f>VLOOKUP($A10,'Data - Total'!$A$2:$L$54,10,FALSE)/VLOOKUP($A10,'Data - Total'!$A$2:$L$54,9,FALSE)</f>
        <v>1.35606008264332</v>
      </c>
      <c r="N10" s="4"/>
      <c r="O10" s="4">
        <f>VLOOKUP($A10,'Data - Total'!$A$2:$L$54,11,FALSE)/VLOOKUP($A10,'Data - Total'!$A$2:$L$54,10,FALSE)</f>
        <v>0.96746415416296405</v>
      </c>
    </row>
    <row r="11" spans="1:15" x14ac:dyDescent="0.25">
      <c r="A11" s="3" t="s">
        <v>40</v>
      </c>
      <c r="B11" s="3" t="s">
        <v>41</v>
      </c>
      <c r="C11" s="78">
        <f>VLOOKUP($A11,'Data - Total'!$A$2:$L$54,8,FALSE)/VLOOKUP($A11,'Data - Total'!$A$2:$G$54,3,FALSE)</f>
        <v>0.26540671716189823</v>
      </c>
      <c r="D11" s="38">
        <f>VLOOKUP($A11,'Data - Total'!$A$2:$L$54,12,FALSE)/VLOOKUP($A11,'Data - Total'!$A$2:$L$54,8,FALSE)</f>
        <v>742.63951330289103</v>
      </c>
      <c r="E11" s="4"/>
      <c r="F11" s="4">
        <f>VLOOKUP($A11,'Data - Total'!$A$2:$L$54,11,FALSE)/VLOOKUP($A11,'Data - Total'!$A$2:$L$54,8,FALSE)</f>
        <v>0.29237116963201493</v>
      </c>
      <c r="G11" s="4"/>
      <c r="H11" s="18">
        <f>VLOOKUP($A11,'Data - Total'!$A$2:$L$54,12,FALSE)/VLOOKUP($A11,'Data - Total'!$A$2:$L$54,11,FALSE)</f>
        <v>2540.0572643246396</v>
      </c>
      <c r="I11" s="4">
        <f>VLOOKUP($A11,'Data - Total'!$A$2:$L$54,11,FALSE)/VLOOKUP($A11,'Data - Total'!$A$2:$L$54,8,FALSE)</f>
        <v>0.29237116963201493</v>
      </c>
      <c r="J11" s="4"/>
      <c r="K11" s="4">
        <f>VLOOKUP($A11,'Data - Total'!$A$2:$L$54,9,FALSE)/VLOOKUP($A11,'Data - Total'!$A$2:$L$54,8,FALSE)</f>
        <v>0.44810448622712595</v>
      </c>
      <c r="L11" s="4"/>
      <c r="M11" s="4">
        <f>VLOOKUP($A11,'Data - Total'!$A$2:$L$54,10,FALSE)/VLOOKUP($A11,'Data - Total'!$A$2:$L$54,9,FALSE)</f>
        <v>0.99958902184326348</v>
      </c>
      <c r="N11" s="4"/>
      <c r="O11" s="4">
        <f>VLOOKUP($A11,'Data - Total'!$A$2:$L$54,11,FALSE)/VLOOKUP($A11,'Data - Total'!$A$2:$L$54,10,FALSE)</f>
        <v>0.65273030328650972</v>
      </c>
    </row>
    <row r="12" spans="1:15" x14ac:dyDescent="0.25">
      <c r="A12" s="3" t="s">
        <v>26</v>
      </c>
      <c r="B12" s="3" t="s">
        <v>27</v>
      </c>
      <c r="C12" s="78">
        <f>VLOOKUP($A12,'Data - Total'!$A$2:$L$54,8,FALSE)/VLOOKUP($A12,'Data - Total'!$A$2:$G$54,3,FALSE)</f>
        <v>0.22053964654983929</v>
      </c>
      <c r="D12" s="38">
        <f>VLOOKUP($A12,'Data - Total'!$A$2:$L$54,12,FALSE)/VLOOKUP($A12,'Data - Total'!$A$2:$L$54,8,FALSE)</f>
        <v>837.56860950173007</v>
      </c>
      <c r="E12" s="4"/>
      <c r="F12" s="4">
        <f>VLOOKUP($A12,'Data - Total'!$A$2:$L$54,11,FALSE)/VLOOKUP($A12,'Data - Total'!$A$2:$L$54,8,FALSE)</f>
        <v>0.43699026682316017</v>
      </c>
      <c r="G12" s="4"/>
      <c r="H12" s="18">
        <f>VLOOKUP($A12,'Data - Total'!$A$2:$L$54,12,FALSE)/VLOOKUP($A12,'Data - Total'!$A$2:$L$54,11,FALSE)</f>
        <v>1916.6756632606528</v>
      </c>
      <c r="I12" s="4">
        <f>VLOOKUP($A12,'Data - Total'!$A$2:$L$54,11,FALSE)/VLOOKUP($A12,'Data - Total'!$A$2:$L$54,8,FALSE)</f>
        <v>0.43699026682316017</v>
      </c>
      <c r="J12" s="4"/>
      <c r="K12" s="4">
        <f>VLOOKUP($A12,'Data - Total'!$A$2:$L$54,9,FALSE)/VLOOKUP($A12,'Data - Total'!$A$2:$L$54,8,FALSE)</f>
        <v>0.45210686464449856</v>
      </c>
      <c r="L12" s="4"/>
      <c r="M12" s="4">
        <f>VLOOKUP($A12,'Data - Total'!$A$2:$L$54,10,FALSE)/VLOOKUP($A12,'Data - Total'!$A$2:$L$54,9,FALSE)</f>
        <v>1.0273841967369224</v>
      </c>
      <c r="N12" s="4"/>
      <c r="O12" s="4">
        <f>VLOOKUP($A12,'Data - Total'!$A$2:$L$54,11,FALSE)/VLOOKUP($A12,'Data - Total'!$A$2:$L$54,10,FALSE)</f>
        <v>0.94080102429262646</v>
      </c>
    </row>
    <row r="13" spans="1:15" x14ac:dyDescent="0.25">
      <c r="A13" s="3" t="s">
        <v>8</v>
      </c>
      <c r="B13" s="3" t="s">
        <v>9</v>
      </c>
      <c r="C13" s="78">
        <f>VLOOKUP($A13,'Data - Total'!$A$2:$L$54,8,FALSE)/VLOOKUP($A13,'Data - Total'!$A$2:$G$54,3,FALSE)</f>
        <v>0.2510488157505425</v>
      </c>
      <c r="D13" s="38">
        <f>VLOOKUP($A13,'Data - Total'!$A$2:$L$54,12,FALSE)/VLOOKUP($A13,'Data - Total'!$A$2:$L$54,8,FALSE)</f>
        <v>987.30265251376579</v>
      </c>
      <c r="E13" s="4"/>
      <c r="F13" s="4">
        <f>VLOOKUP($A13,'Data - Total'!$A$2:$L$54,11,FALSE)/VLOOKUP($A13,'Data - Total'!$A$2:$L$54,8,FALSE)</f>
        <v>0.42346758994053785</v>
      </c>
      <c r="G13" s="4"/>
      <c r="H13" s="18">
        <f>VLOOKUP($A13,'Data - Total'!$A$2:$L$54,12,FALSE)/VLOOKUP($A13,'Data - Total'!$A$2:$L$54,11,FALSE)</f>
        <v>2331.4715835806942</v>
      </c>
      <c r="I13" s="4">
        <f>VLOOKUP($A13,'Data - Total'!$A$2:$L$54,11,FALSE)/VLOOKUP($A13,'Data - Total'!$A$2:$L$54,8,FALSE)</f>
        <v>0.42346758994053785</v>
      </c>
      <c r="J13" s="4"/>
      <c r="K13" s="4">
        <f>VLOOKUP($A13,'Data - Total'!$A$2:$L$54,9,FALSE)/VLOOKUP($A13,'Data - Total'!$A$2:$L$54,8,FALSE)</f>
        <v>0.47164530697621232</v>
      </c>
      <c r="L13" s="4"/>
      <c r="M13" s="4">
        <f>VLOOKUP($A13,'Data - Total'!$A$2:$L$54,10,FALSE)/VLOOKUP($A13,'Data - Total'!$A$2:$L$54,9,FALSE)</f>
        <v>0.95056175104853735</v>
      </c>
      <c r="N13" s="4"/>
      <c r="O13" s="4">
        <f>VLOOKUP($A13,'Data - Total'!$A$2:$L$54,11,FALSE)/VLOOKUP($A13,'Data - Total'!$A$2:$L$54,10,FALSE)</f>
        <v>0.94454863504042719</v>
      </c>
    </row>
    <row r="14" spans="1:15" x14ac:dyDescent="0.25">
      <c r="A14" s="3" t="s">
        <v>74</v>
      </c>
      <c r="B14" s="3" t="s">
        <v>75</v>
      </c>
      <c r="C14" s="78">
        <f>VLOOKUP($A14,'Data - Total'!$A$2:$L$54,8,FALSE)/VLOOKUP($A14,'Data - Total'!$A$2:$G$54,3,FALSE)</f>
        <v>0.25455325620536773</v>
      </c>
      <c r="D14" s="38">
        <f>VLOOKUP($A14,'Data - Total'!$A$2:$L$54,12,FALSE)/VLOOKUP($A14,'Data - Total'!$A$2:$L$54,8,FALSE)</f>
        <v>1020.1971898865302</v>
      </c>
      <c r="E14" s="4"/>
      <c r="F14" s="4">
        <f>VLOOKUP($A14,'Data - Total'!$A$2:$L$54,11,FALSE)/VLOOKUP($A14,'Data - Total'!$A$2:$L$54,8,FALSE)</f>
        <v>0.39162022346467967</v>
      </c>
      <c r="G14" s="4"/>
      <c r="H14" s="18">
        <f>VLOOKUP($A14,'Data - Total'!$A$2:$L$54,12,FALSE)/VLOOKUP($A14,'Data - Total'!$A$2:$L$54,11,FALSE)</f>
        <v>2605.0676874161531</v>
      </c>
      <c r="I14" s="4">
        <f>VLOOKUP($A14,'Data - Total'!$A$2:$L$54,11,FALSE)/VLOOKUP($A14,'Data - Total'!$A$2:$L$54,8,FALSE)</f>
        <v>0.39162022346467967</v>
      </c>
      <c r="J14" s="4"/>
      <c r="K14" s="4">
        <f>VLOOKUP($A14,'Data - Total'!$A$2:$L$54,9,FALSE)/VLOOKUP($A14,'Data - Total'!$A$2:$L$54,8,FALSE)</f>
        <v>0.44056782175254022</v>
      </c>
      <c r="L14" s="4"/>
      <c r="M14" s="4">
        <f>VLOOKUP($A14,'Data - Total'!$A$2:$L$54,10,FALSE)/VLOOKUP($A14,'Data - Total'!$A$2:$L$54,9,FALSE)</f>
        <v>1.1095663459889025</v>
      </c>
      <c r="N14" s="4"/>
      <c r="O14" s="4">
        <f>VLOOKUP($A14,'Data - Total'!$A$2:$L$54,11,FALSE)/VLOOKUP($A14,'Data - Total'!$A$2:$L$54,10,FALSE)</f>
        <v>0.80112274326461175</v>
      </c>
    </row>
    <row r="15" spans="1:15" x14ac:dyDescent="0.25">
      <c r="A15" s="3" t="s">
        <v>70</v>
      </c>
      <c r="B15" s="3" t="s">
        <v>71</v>
      </c>
      <c r="C15" s="78">
        <f>VLOOKUP($A15,'Data - Total'!$A$2:$L$54,8,FALSE)/VLOOKUP($A15,'Data - Total'!$A$2:$G$54,3,FALSE)</f>
        <v>0.25976168088597029</v>
      </c>
      <c r="D15" s="38">
        <f>VLOOKUP($A15,'Data - Total'!$A$2:$L$54,12,FALSE)/VLOOKUP($A15,'Data - Total'!$A$2:$L$54,8,FALSE)</f>
        <v>2941.5089397575757</v>
      </c>
      <c r="E15" s="4"/>
      <c r="F15" s="4">
        <f>VLOOKUP($A15,'Data - Total'!$A$2:$L$54,11,FALSE)/VLOOKUP($A15,'Data - Total'!$A$2:$L$54,8,FALSE)</f>
        <v>0.58881779760957664</v>
      </c>
      <c r="G15" s="4"/>
      <c r="H15" s="18">
        <f>VLOOKUP($A15,'Data - Total'!$A$2:$L$54,12,FALSE)/VLOOKUP($A15,'Data - Total'!$A$2:$L$54,11,FALSE)</f>
        <v>4995.6182569535395</v>
      </c>
      <c r="I15" s="4">
        <f>VLOOKUP($A15,'Data - Total'!$A$2:$L$54,11,FALSE)/VLOOKUP($A15,'Data - Total'!$A$2:$L$54,8,FALSE)</f>
        <v>0.58881779760957664</v>
      </c>
      <c r="J15" s="4"/>
      <c r="K15" s="4">
        <f>VLOOKUP($A15,'Data - Total'!$A$2:$L$54,9,FALSE)/VLOOKUP($A15,'Data - Total'!$A$2:$L$54,8,FALSE)</f>
        <v>0.39009157202778927</v>
      </c>
      <c r="L15" s="4"/>
      <c r="M15" s="4">
        <f>VLOOKUP($A15,'Data - Total'!$A$2:$L$54,10,FALSE)/VLOOKUP($A15,'Data - Total'!$A$2:$L$54,9,FALSE)</f>
        <v>1.4694816739046539</v>
      </c>
      <c r="N15" s="4"/>
      <c r="O15" s="80">
        <f>VLOOKUP($A15,'Data - Total'!$A$2:$L$54,11,FALSE)/VLOOKUP($A15,'Data - Total'!$A$2:$L$54,10,FALSE)</f>
        <v>1.0271885904016489</v>
      </c>
    </row>
    <row r="16" spans="1:15" x14ac:dyDescent="0.25">
      <c r="A16" s="3" t="s">
        <v>88</v>
      </c>
      <c r="B16" s="3" t="s">
        <v>89</v>
      </c>
      <c r="C16" s="78">
        <f>VLOOKUP($A16,'Data - Total'!$A$2:$L$54,8,FALSE)/VLOOKUP($A16,'Data - Total'!$A$2:$G$54,3,FALSE)</f>
        <v>0.2418699764680031</v>
      </c>
      <c r="D16" s="38">
        <f>VLOOKUP($A16,'Data - Total'!$A$2:$L$54,12,FALSE)/VLOOKUP($A16,'Data - Total'!$A$2:$L$54,8,FALSE)</f>
        <v>904.50448324282922</v>
      </c>
      <c r="E16" s="4"/>
      <c r="F16" s="4">
        <f>VLOOKUP($A16,'Data - Total'!$A$2:$L$54,11,FALSE)/VLOOKUP($A16,'Data - Total'!$A$2:$L$54,8,FALSE)</f>
        <v>0.40742321855606295</v>
      </c>
      <c r="G16" s="4"/>
      <c r="H16" s="18">
        <f>VLOOKUP($A16,'Data - Total'!$A$2:$L$54,12,FALSE)/VLOOKUP($A16,'Data - Total'!$A$2:$L$54,11,FALSE)</f>
        <v>2220.0612091977914</v>
      </c>
      <c r="I16" s="4">
        <f>VLOOKUP($A16,'Data - Total'!$A$2:$L$54,11,FALSE)/VLOOKUP($A16,'Data - Total'!$A$2:$L$54,8,FALSE)</f>
        <v>0.40742321855606295</v>
      </c>
      <c r="J16" s="4"/>
      <c r="K16" s="4">
        <f>VLOOKUP($A16,'Data - Total'!$A$2:$L$54,9,FALSE)/VLOOKUP($A16,'Data - Total'!$A$2:$L$54,8,FALSE)</f>
        <v>0.40112672186134385</v>
      </c>
      <c r="L16" s="4"/>
      <c r="M16" s="4">
        <f>VLOOKUP($A16,'Data - Total'!$A$2:$L$54,10,FALSE)/VLOOKUP($A16,'Data - Total'!$A$2:$L$54,9,FALSE)</f>
        <v>1.2292884010596337</v>
      </c>
      <c r="N16" s="4"/>
      <c r="O16" s="4">
        <f>VLOOKUP($A16,'Data - Total'!$A$2:$L$54,11,FALSE)/VLOOKUP($A16,'Data - Total'!$A$2:$L$54,10,FALSE)</f>
        <v>0.82624795402332596</v>
      </c>
    </row>
    <row r="17" spans="1:15" x14ac:dyDescent="0.25">
      <c r="A17" s="3" t="s">
        <v>12</v>
      </c>
      <c r="B17" s="3" t="s">
        <v>13</v>
      </c>
      <c r="C17" s="78">
        <f>VLOOKUP($A17,'Data - Total'!$A$2:$L$54,8,FALSE)/VLOOKUP($A17,'Data - Total'!$A$2:$G$54,3,FALSE)</f>
        <v>0.26634118678859015</v>
      </c>
      <c r="D17" s="38">
        <f>VLOOKUP($A17,'Data - Total'!$A$2:$L$54,12,FALSE)/VLOOKUP($A17,'Data - Total'!$A$2:$L$54,8,FALSE)</f>
        <v>985.7775904889869</v>
      </c>
      <c r="E17" s="4"/>
      <c r="F17" s="4">
        <f>VLOOKUP($A17,'Data - Total'!$A$2:$L$54,11,FALSE)/VLOOKUP($A17,'Data - Total'!$A$2:$L$54,8,FALSE)</f>
        <v>0.32274737634013301</v>
      </c>
      <c r="G17" s="4"/>
      <c r="H17" s="18">
        <f>VLOOKUP($A17,'Data - Total'!$A$2:$L$54,12,FALSE)/VLOOKUP($A17,'Data - Total'!$A$2:$L$54,11,FALSE)</f>
        <v>3054.3318482319987</v>
      </c>
      <c r="I17" s="4">
        <f>VLOOKUP($A17,'Data - Total'!$A$2:$L$54,11,FALSE)/VLOOKUP($A17,'Data - Total'!$A$2:$L$54,8,FALSE)</f>
        <v>0.32274737634013301</v>
      </c>
      <c r="J17" s="4"/>
      <c r="K17" s="4">
        <f>VLOOKUP($A17,'Data - Total'!$A$2:$L$54,9,FALSE)/VLOOKUP($A17,'Data - Total'!$A$2:$L$54,8,FALSE)</f>
        <v>0.39665719826036516</v>
      </c>
      <c r="L17" s="4"/>
      <c r="M17" s="4">
        <f>VLOOKUP($A17,'Data - Total'!$A$2:$L$54,10,FALSE)/VLOOKUP($A17,'Data - Total'!$A$2:$L$54,9,FALSE)</f>
        <v>1.1460464641938697</v>
      </c>
      <c r="N17" s="4"/>
      <c r="O17" s="4">
        <f>VLOOKUP($A17,'Data - Total'!$A$2:$L$54,11,FALSE)/VLOOKUP($A17,'Data - Total'!$A$2:$L$54,10,FALSE)</f>
        <v>0.70997843066929678</v>
      </c>
    </row>
    <row r="18" spans="1:15" x14ac:dyDescent="0.25">
      <c r="A18" s="3" t="s">
        <v>58</v>
      </c>
      <c r="B18" s="3" t="s">
        <v>59</v>
      </c>
      <c r="C18" s="78">
        <f>VLOOKUP($A18,'Data - Total'!$A$2:$L$54,8,FALSE)/VLOOKUP($A18,'Data - Total'!$A$2:$G$54,3,FALSE)</f>
        <v>0.24411139553117309</v>
      </c>
      <c r="D18" s="38">
        <f>VLOOKUP($A18,'Data - Total'!$A$2:$L$54,12,FALSE)/VLOOKUP($A18,'Data - Total'!$A$2:$L$54,8,FALSE)</f>
        <v>1236.9063220006822</v>
      </c>
      <c r="E18" s="4"/>
      <c r="F18" s="4">
        <f>VLOOKUP($A18,'Data - Total'!$A$2:$L$54,11,FALSE)/VLOOKUP($A18,'Data - Total'!$A$2:$L$54,8,FALSE)</f>
        <v>0.36577720668760422</v>
      </c>
      <c r="G18" s="4"/>
      <c r="H18" s="18">
        <f>VLOOKUP($A18,'Data - Total'!$A$2:$L$54,12,FALSE)/VLOOKUP($A18,'Data - Total'!$A$2:$L$54,11,FALSE)</f>
        <v>3381.5839242740858</v>
      </c>
      <c r="I18" s="4">
        <f>VLOOKUP($A18,'Data - Total'!$A$2:$L$54,11,FALSE)/VLOOKUP($A18,'Data - Total'!$A$2:$L$54,8,FALSE)</f>
        <v>0.36577720668760422</v>
      </c>
      <c r="J18" s="4"/>
      <c r="K18" s="4">
        <f>VLOOKUP($A18,'Data - Total'!$A$2:$L$54,9,FALSE)/VLOOKUP($A18,'Data - Total'!$A$2:$L$54,8,FALSE)</f>
        <v>0.50384447080725658</v>
      </c>
      <c r="L18" s="4"/>
      <c r="M18" s="4">
        <f>VLOOKUP($A18,'Data - Total'!$A$2:$L$54,10,FALSE)/VLOOKUP($A18,'Data - Total'!$A$2:$L$54,9,FALSE)</f>
        <v>0.7940120046789283</v>
      </c>
      <c r="N18" s="4"/>
      <c r="O18" s="4">
        <f>VLOOKUP($A18,'Data - Total'!$A$2:$L$54,11,FALSE)/VLOOKUP($A18,'Data - Total'!$A$2:$L$54,10,FALSE)</f>
        <v>0.91430916571538934</v>
      </c>
    </row>
    <row r="19" spans="1:15" x14ac:dyDescent="0.25">
      <c r="A19" s="3" t="s">
        <v>46</v>
      </c>
      <c r="B19" s="3" t="s">
        <v>47</v>
      </c>
      <c r="C19" s="78">
        <f>VLOOKUP($A19,'Data - Total'!$A$2:$L$54,8,FALSE)/VLOOKUP($A19,'Data - Total'!$A$2:$G$54,3,FALSE)</f>
        <v>0.21292201504193087</v>
      </c>
      <c r="D19" s="38">
        <f>VLOOKUP($A19,'Data - Total'!$A$2:$L$54,12,FALSE)/VLOOKUP($A19,'Data - Total'!$A$2:$L$54,8,FALSE)</f>
        <v>1166.9724576565402</v>
      </c>
      <c r="E19" s="4"/>
      <c r="F19" s="4">
        <f>VLOOKUP($A19,'Data - Total'!$A$2:$L$54,11,FALSE)/VLOOKUP($A19,'Data - Total'!$A$2:$L$54,8,FALSE)</f>
        <v>0.35928328519660907</v>
      </c>
      <c r="G19" s="4"/>
      <c r="H19" s="18">
        <f>VLOOKUP($A19,'Data - Total'!$A$2:$L$54,12,FALSE)/VLOOKUP($A19,'Data - Total'!$A$2:$L$54,11,FALSE)</f>
        <v>3248.0566331326627</v>
      </c>
      <c r="I19" s="4">
        <f>VLOOKUP($A19,'Data - Total'!$A$2:$L$54,11,FALSE)/VLOOKUP($A19,'Data - Total'!$A$2:$L$54,8,FALSE)</f>
        <v>0.35928328519660907</v>
      </c>
      <c r="J19" s="4"/>
      <c r="K19" s="4">
        <f>VLOOKUP($A19,'Data - Total'!$A$2:$L$54,9,FALSE)/VLOOKUP($A19,'Data - Total'!$A$2:$L$54,8,FALSE)</f>
        <v>0.53772813146762</v>
      </c>
      <c r="L19" s="4"/>
      <c r="M19" s="4">
        <f>VLOOKUP($A19,'Data - Total'!$A$2:$L$54,10,FALSE)/VLOOKUP($A19,'Data - Total'!$A$2:$L$54,9,FALSE)</f>
        <v>0.87883584447113305</v>
      </c>
      <c r="N19" s="4"/>
      <c r="O19" s="4">
        <f>VLOOKUP($A19,'Data - Total'!$A$2:$L$54,11,FALSE)/VLOOKUP($A19,'Data - Total'!$A$2:$L$54,10,FALSE)</f>
        <v>0.76026761955447431</v>
      </c>
    </row>
    <row r="20" spans="1:15" x14ac:dyDescent="0.25">
      <c r="A20" s="3" t="s">
        <v>94</v>
      </c>
      <c r="B20" s="3" t="s">
        <v>95</v>
      </c>
      <c r="C20" s="78">
        <f>VLOOKUP($A20,'Data - Total'!$A$2:$L$54,8,FALSE)/VLOOKUP($A20,'Data - Total'!$A$2:$G$54,3,FALSE)</f>
        <v>0.28435285661708715</v>
      </c>
      <c r="D20" s="38">
        <f>VLOOKUP($A20,'Data - Total'!$A$2:$L$54,12,FALSE)/VLOOKUP($A20,'Data - Total'!$A$2:$L$54,8,FALSE)</f>
        <v>1398.892389191094</v>
      </c>
      <c r="E20" s="4"/>
      <c r="F20" s="4">
        <f>VLOOKUP($A20,'Data - Total'!$A$2:$L$54,11,FALSE)/VLOOKUP($A20,'Data - Total'!$A$2:$L$54,8,FALSE)</f>
        <v>0.39962246445016275</v>
      </c>
      <c r="G20" s="4"/>
      <c r="H20" s="18">
        <f>VLOOKUP($A20,'Data - Total'!$A$2:$L$54,12,FALSE)/VLOOKUP($A20,'Data - Total'!$A$2:$L$54,11,FALSE)</f>
        <v>3500.534913911355</v>
      </c>
      <c r="I20" s="4">
        <f>VLOOKUP($A20,'Data - Total'!$A$2:$L$54,11,FALSE)/VLOOKUP($A20,'Data - Total'!$A$2:$L$54,8,FALSE)</f>
        <v>0.39962246445016275</v>
      </c>
      <c r="J20" s="4"/>
      <c r="K20" s="4">
        <f>VLOOKUP($A20,'Data - Total'!$A$2:$L$54,9,FALSE)/VLOOKUP($A20,'Data - Total'!$A$2:$L$54,8,FALSE)</f>
        <v>0.39265778513022864</v>
      </c>
      <c r="L20" s="4"/>
      <c r="M20" s="4">
        <f>VLOOKUP($A20,'Data - Total'!$A$2:$L$54,10,FALSE)/VLOOKUP($A20,'Data - Total'!$A$2:$L$54,9,FALSE)</f>
        <v>1.2678682929646659</v>
      </c>
      <c r="N20" s="4"/>
      <c r="O20" s="4">
        <f>VLOOKUP($A20,'Data - Total'!$A$2:$L$54,11,FALSE)/VLOOKUP($A20,'Data - Total'!$A$2:$L$54,10,FALSE)</f>
        <v>0.80271529871626757</v>
      </c>
    </row>
    <row r="21" spans="1:15" x14ac:dyDescent="0.25">
      <c r="A21" s="3" t="s">
        <v>104</v>
      </c>
      <c r="B21" s="3" t="s">
        <v>105</v>
      </c>
      <c r="C21" s="78">
        <f>VLOOKUP($A21,'Data - Total'!$A$2:$L$54,8,FALSE)/VLOOKUP($A21,'Data - Total'!$A$2:$G$54,3,FALSE)</f>
        <v>0.22188865448586681</v>
      </c>
      <c r="D21" s="38">
        <f>VLOOKUP($A21,'Data - Total'!$A$2:$L$54,12,FALSE)/VLOOKUP($A21,'Data - Total'!$A$2:$L$54,8,FALSE)</f>
        <v>1293.0331253917982</v>
      </c>
      <c r="E21" s="4"/>
      <c r="F21" s="4">
        <f>VLOOKUP($A21,'Data - Total'!$A$2:$L$54,11,FALSE)/VLOOKUP($A21,'Data - Total'!$A$2:$L$54,8,FALSE)</f>
        <v>0.45052464042193269</v>
      </c>
      <c r="G21" s="4"/>
      <c r="H21" s="18">
        <f>VLOOKUP($A21,'Data - Total'!$A$2:$L$54,12,FALSE)/VLOOKUP($A21,'Data - Total'!$A$2:$L$54,11,FALSE)</f>
        <v>2870.0608343659646</v>
      </c>
      <c r="I21" s="4">
        <f>VLOOKUP($A21,'Data - Total'!$A$2:$L$54,11,FALSE)/VLOOKUP($A21,'Data - Total'!$A$2:$L$54,8,FALSE)</f>
        <v>0.45052464042193269</v>
      </c>
      <c r="J21" s="4"/>
      <c r="K21" s="4">
        <f>VLOOKUP($A21,'Data - Total'!$A$2:$L$54,9,FALSE)/VLOOKUP($A21,'Data - Total'!$A$2:$L$54,8,FALSE)</f>
        <v>0.44143777582203658</v>
      </c>
      <c r="L21" s="4"/>
      <c r="M21" s="4">
        <f>VLOOKUP($A21,'Data - Total'!$A$2:$L$54,10,FALSE)/VLOOKUP($A21,'Data - Total'!$A$2:$L$54,9,FALSE)</f>
        <v>0.98025031672654561</v>
      </c>
      <c r="N21" s="4"/>
      <c r="O21" s="80">
        <f>VLOOKUP($A21,'Data - Total'!$A$2:$L$54,11,FALSE)/VLOOKUP($A21,'Data - Total'!$A$2:$L$54,10,FALSE)</f>
        <v>1.0411470249256016</v>
      </c>
    </row>
    <row r="22" spans="1:15" x14ac:dyDescent="0.25">
      <c r="A22" s="3" t="s">
        <v>28</v>
      </c>
      <c r="B22" s="3" t="s">
        <v>29</v>
      </c>
      <c r="C22" s="78">
        <f>VLOOKUP($A22,'Data - Total'!$A$2:$L$54,8,FALSE)/VLOOKUP($A22,'Data - Total'!$A$2:$G$54,3,FALSE)</f>
        <v>0.27202516192734599</v>
      </c>
      <c r="D22" s="38">
        <f>VLOOKUP($A22,'Data - Total'!$A$2:$L$54,12,FALSE)/VLOOKUP($A22,'Data - Total'!$A$2:$L$54,8,FALSE)</f>
        <v>864.88311075556226</v>
      </c>
      <c r="E22" s="4"/>
      <c r="F22" s="4">
        <f>VLOOKUP($A22,'Data - Total'!$A$2:$L$54,11,FALSE)/VLOOKUP($A22,'Data - Total'!$A$2:$L$54,8,FALSE)</f>
        <v>0.40130170530215947</v>
      </c>
      <c r="G22" s="4"/>
      <c r="H22" s="18">
        <f>VLOOKUP($A22,'Data - Total'!$A$2:$L$54,12,FALSE)/VLOOKUP($A22,'Data - Total'!$A$2:$L$54,11,FALSE)</f>
        <v>2155.1942075709594</v>
      </c>
      <c r="I22" s="4">
        <f>VLOOKUP($A22,'Data - Total'!$A$2:$L$54,11,FALSE)/VLOOKUP($A22,'Data - Total'!$A$2:$L$54,8,FALSE)</f>
        <v>0.40130170530215947</v>
      </c>
      <c r="J22" s="4"/>
      <c r="K22" s="4">
        <f>VLOOKUP($A22,'Data - Total'!$A$2:$L$54,9,FALSE)/VLOOKUP($A22,'Data - Total'!$A$2:$L$54,8,FALSE)</f>
        <v>0.44965725336153028</v>
      </c>
      <c r="L22" s="4"/>
      <c r="M22" s="4">
        <f>VLOOKUP($A22,'Data - Total'!$A$2:$L$54,10,FALSE)/VLOOKUP($A22,'Data - Total'!$A$2:$L$54,9,FALSE)</f>
        <v>1.0484341937356929</v>
      </c>
      <c r="N22" s="4"/>
      <c r="O22" s="4">
        <f>VLOOKUP($A22,'Data - Total'!$A$2:$L$54,11,FALSE)/VLOOKUP($A22,'Data - Total'!$A$2:$L$54,10,FALSE)</f>
        <v>0.85123255616949389</v>
      </c>
    </row>
    <row r="23" spans="1:15" x14ac:dyDescent="0.25">
      <c r="A23" s="3" t="s">
        <v>96</v>
      </c>
      <c r="B23" s="3" t="s">
        <v>97</v>
      </c>
      <c r="C23" s="78">
        <f>VLOOKUP($A23,'Data - Total'!$A$2:$L$54,8,FALSE)/VLOOKUP($A23,'Data - Total'!$A$2:$G$54,3,FALSE)</f>
        <v>0.32350774330644905</v>
      </c>
      <c r="D23" s="38">
        <f>VLOOKUP($A23,'Data - Total'!$A$2:$L$54,12,FALSE)/VLOOKUP($A23,'Data - Total'!$A$2:$L$54,8,FALSE)</f>
        <v>539.81001609060911</v>
      </c>
      <c r="E23" s="4"/>
      <c r="F23" s="4">
        <f>VLOOKUP($A23,'Data - Total'!$A$2:$L$54,11,FALSE)/VLOOKUP($A23,'Data - Total'!$A$2:$L$54,8,FALSE)</f>
        <v>0.20072513045373974</v>
      </c>
      <c r="G23" s="4"/>
      <c r="H23" s="18">
        <f>VLOOKUP($A23,'Data - Total'!$A$2:$L$54,12,FALSE)/VLOOKUP($A23,'Data - Total'!$A$2:$L$54,11,FALSE)</f>
        <v>2689.2996152019778</v>
      </c>
      <c r="I23" s="4">
        <f>VLOOKUP($A23,'Data - Total'!$A$2:$L$54,11,FALSE)/VLOOKUP($A23,'Data - Total'!$A$2:$L$54,8,FALSE)</f>
        <v>0.20072513045373974</v>
      </c>
      <c r="J23" s="4"/>
      <c r="K23" s="4">
        <f>VLOOKUP($A23,'Data - Total'!$A$2:$L$54,9,FALSE)/VLOOKUP($A23,'Data - Total'!$A$2:$L$54,8,FALSE)</f>
        <v>0.48915562159676002</v>
      </c>
      <c r="L23" s="4"/>
      <c r="M23" s="4">
        <f>VLOOKUP($A23,'Data - Total'!$A$2:$L$54,10,FALSE)/VLOOKUP($A23,'Data - Total'!$A$2:$L$54,9,FALSE)</f>
        <v>0.65795172528929013</v>
      </c>
      <c r="N23" s="4"/>
      <c r="O23" s="4">
        <f>VLOOKUP($A23,'Data - Total'!$A$2:$L$54,11,FALSE)/VLOOKUP($A23,'Data - Total'!$A$2:$L$54,10,FALSE)</f>
        <v>0.62367835186307286</v>
      </c>
    </row>
    <row r="24" spans="1:15" x14ac:dyDescent="0.25">
      <c r="A24" s="3" t="s">
        <v>36</v>
      </c>
      <c r="B24" s="3" t="s">
        <v>37</v>
      </c>
      <c r="C24" s="78">
        <f>VLOOKUP($A24,'Data - Total'!$A$2:$L$54,8,FALSE)/VLOOKUP($A24,'Data - Total'!$A$2:$G$54,3,FALSE)</f>
        <v>0.26671613323540305</v>
      </c>
      <c r="D24" s="38">
        <f>VLOOKUP($A24,'Data - Total'!$A$2:$L$54,12,FALSE)/VLOOKUP($A24,'Data - Total'!$A$2:$L$54,8,FALSE)</f>
        <v>766.61988181744505</v>
      </c>
      <c r="E24" s="4"/>
      <c r="F24" s="4">
        <f>VLOOKUP($A24,'Data - Total'!$A$2:$L$54,11,FALSE)/VLOOKUP($A24,'Data - Total'!$A$2:$L$54,8,FALSE)</f>
        <v>0.36679539152737789</v>
      </c>
      <c r="G24" s="4"/>
      <c r="H24" s="18">
        <f>VLOOKUP($A24,'Data - Total'!$A$2:$L$54,12,FALSE)/VLOOKUP($A24,'Data - Total'!$A$2:$L$54,11,FALSE)</f>
        <v>2090.0477473971318</v>
      </c>
      <c r="I24" s="4">
        <f>VLOOKUP($A24,'Data - Total'!$A$2:$L$54,11,FALSE)/VLOOKUP($A24,'Data - Total'!$A$2:$L$54,8,FALSE)</f>
        <v>0.36679539152737789</v>
      </c>
      <c r="J24" s="4"/>
      <c r="K24" s="4">
        <f>VLOOKUP($A24,'Data - Total'!$A$2:$L$54,9,FALSE)/VLOOKUP($A24,'Data - Total'!$A$2:$L$54,8,FALSE)</f>
        <v>0.46866738020268256</v>
      </c>
      <c r="L24" s="4"/>
      <c r="M24" s="4">
        <f>VLOOKUP($A24,'Data - Total'!$A$2:$L$54,10,FALSE)/VLOOKUP($A24,'Data - Total'!$A$2:$L$54,9,FALSE)</f>
        <v>0.88673871978865226</v>
      </c>
      <c r="N24" s="4"/>
      <c r="O24" s="4">
        <f>VLOOKUP($A24,'Data - Total'!$A$2:$L$54,11,FALSE)/VLOOKUP($A24,'Data - Total'!$A$2:$L$54,10,FALSE)</f>
        <v>0.88259908080042471</v>
      </c>
    </row>
    <row r="25" spans="1:15" x14ac:dyDescent="0.25">
      <c r="A25" s="3" t="s">
        <v>38</v>
      </c>
      <c r="B25" s="3" t="s">
        <v>39</v>
      </c>
      <c r="C25" s="78">
        <f>VLOOKUP($A25,'Data - Total'!$A$2:$L$54,8,FALSE)/VLOOKUP($A25,'Data - Total'!$A$2:$G$54,3,FALSE)</f>
        <v>0.25098044967833338</v>
      </c>
      <c r="D25" s="38">
        <f>VLOOKUP($A25,'Data - Total'!$A$2:$L$54,12,FALSE)/VLOOKUP($A25,'Data - Total'!$A$2:$L$54,8,FALSE)</f>
        <v>798.98951370768611</v>
      </c>
      <c r="E25" s="4"/>
      <c r="F25" s="4">
        <f>VLOOKUP($A25,'Data - Total'!$A$2:$L$54,11,FALSE)/VLOOKUP($A25,'Data - Total'!$A$2:$L$54,8,FALSE)</f>
        <v>0.3435043331041634</v>
      </c>
      <c r="G25" s="4"/>
      <c r="H25" s="18">
        <f>VLOOKUP($A25,'Data - Total'!$A$2:$L$54,12,FALSE)/VLOOKUP($A25,'Data - Total'!$A$2:$L$54,11,FALSE)</f>
        <v>2325.9954437471465</v>
      </c>
      <c r="I25" s="4">
        <f>VLOOKUP($A25,'Data - Total'!$A$2:$L$54,11,FALSE)/VLOOKUP($A25,'Data - Total'!$A$2:$L$54,8,FALSE)</f>
        <v>0.3435043331041634</v>
      </c>
      <c r="J25" s="4"/>
      <c r="K25" s="4">
        <f>VLOOKUP($A25,'Data - Total'!$A$2:$L$54,9,FALSE)/VLOOKUP($A25,'Data - Total'!$A$2:$L$54,8,FALSE)</f>
        <v>0.5508692547075047</v>
      </c>
      <c r="L25" s="4"/>
      <c r="M25" s="4">
        <f>VLOOKUP($A25,'Data - Total'!$A$2:$L$54,10,FALSE)/VLOOKUP($A25,'Data - Total'!$A$2:$L$54,9,FALSE)</f>
        <v>0.76227085827275043</v>
      </c>
      <c r="N25" s="4"/>
      <c r="O25" s="4">
        <f>VLOOKUP($A25,'Data - Total'!$A$2:$L$54,11,FALSE)/VLOOKUP($A25,'Data - Total'!$A$2:$L$54,10,FALSE)</f>
        <v>0.81803967741527084</v>
      </c>
    </row>
    <row r="26" spans="1:15" x14ac:dyDescent="0.25">
      <c r="A26" s="3" t="s">
        <v>62</v>
      </c>
      <c r="B26" s="3" t="s">
        <v>63</v>
      </c>
      <c r="C26" s="78">
        <f>VLOOKUP($A26,'Data - Total'!$A$2:$L$54,8,FALSE)/VLOOKUP($A26,'Data - Total'!$A$2:$G$54,3,FALSE)</f>
        <v>0.26360300048605018</v>
      </c>
      <c r="D26" s="38">
        <f>VLOOKUP($A26,'Data - Total'!$A$2:$L$54,12,FALSE)/VLOOKUP($A26,'Data - Total'!$A$2:$L$54,8,FALSE)</f>
        <v>701.92633039001362</v>
      </c>
      <c r="E26" s="4"/>
      <c r="F26" s="4">
        <f>VLOOKUP($A26,'Data - Total'!$A$2:$L$54,11,FALSE)/VLOOKUP($A26,'Data - Total'!$A$2:$L$54,8,FALSE)</f>
        <v>0.31236186039289665</v>
      </c>
      <c r="G26" s="4"/>
      <c r="H26" s="18">
        <f>VLOOKUP($A26,'Data - Total'!$A$2:$L$54,12,FALSE)/VLOOKUP($A26,'Data - Total'!$A$2:$L$54,11,FALSE)</f>
        <v>2247.1576059481554</v>
      </c>
      <c r="I26" s="4">
        <f>VLOOKUP($A26,'Data - Total'!$A$2:$L$54,11,FALSE)/VLOOKUP($A26,'Data - Total'!$A$2:$L$54,8,FALSE)</f>
        <v>0.31236186039289665</v>
      </c>
      <c r="J26" s="4"/>
      <c r="K26" s="4">
        <f>VLOOKUP($A26,'Data - Total'!$A$2:$L$54,9,FALSE)/VLOOKUP($A26,'Data - Total'!$A$2:$L$54,8,FALSE)</f>
        <v>0.53714825027279423</v>
      </c>
      <c r="L26" s="4"/>
      <c r="M26" s="4">
        <f>VLOOKUP($A26,'Data - Total'!$A$2:$L$54,10,FALSE)/VLOOKUP($A26,'Data - Total'!$A$2:$L$54,9,FALSE)</f>
        <v>0.67551845761354568</v>
      </c>
      <c r="N26" s="4"/>
      <c r="O26" s="4">
        <f>VLOOKUP($A26,'Data - Total'!$A$2:$L$54,11,FALSE)/VLOOKUP($A26,'Data - Total'!$A$2:$L$54,10,FALSE)</f>
        <v>0.86084827861594815</v>
      </c>
    </row>
    <row r="27" spans="1:15" x14ac:dyDescent="0.25">
      <c r="A27" s="3" t="s">
        <v>18</v>
      </c>
      <c r="B27" s="3" t="s">
        <v>19</v>
      </c>
      <c r="C27" s="78">
        <f>VLOOKUP($A27,'Data - Total'!$A$2:$L$54,8,FALSE)/VLOOKUP($A27,'Data - Total'!$A$2:$G$54,3,FALSE)</f>
        <v>0.25876063931195714</v>
      </c>
      <c r="D27" s="38">
        <f>VLOOKUP($A27,'Data - Total'!$A$2:$L$54,12,FALSE)/VLOOKUP($A27,'Data - Total'!$A$2:$L$54,8,FALSE)</f>
        <v>755.01306761128046</v>
      </c>
      <c r="E27" s="4"/>
      <c r="F27" s="4">
        <f>VLOOKUP($A27,'Data - Total'!$A$2:$L$54,11,FALSE)/VLOOKUP($A27,'Data - Total'!$A$2:$L$54,8,FALSE)</f>
        <v>0.26005805075415045</v>
      </c>
      <c r="G27" s="4"/>
      <c r="H27" s="18">
        <f>VLOOKUP($A27,'Data - Total'!$A$2:$L$54,12,FALSE)/VLOOKUP($A27,'Data - Total'!$A$2:$L$54,11,FALSE)</f>
        <v>2903.2481994762111</v>
      </c>
      <c r="I27" s="4">
        <f>VLOOKUP($A27,'Data - Total'!$A$2:$L$54,11,FALSE)/VLOOKUP($A27,'Data - Total'!$A$2:$L$54,8,FALSE)</f>
        <v>0.26005805075415045</v>
      </c>
      <c r="J27" s="4"/>
      <c r="K27" s="4">
        <f>VLOOKUP($A27,'Data - Total'!$A$2:$L$54,9,FALSE)/VLOOKUP($A27,'Data - Total'!$A$2:$L$54,8,FALSE)</f>
        <v>0.59988007392209908</v>
      </c>
      <c r="L27" s="4"/>
      <c r="M27" s="4">
        <f>VLOOKUP($A27,'Data - Total'!$A$2:$L$54,10,FALSE)/VLOOKUP($A27,'Data - Total'!$A$2:$L$54,9,FALSE)</f>
        <v>0.53088245433593584</v>
      </c>
      <c r="N27" s="4"/>
      <c r="O27" s="4">
        <f>VLOOKUP($A27,'Data - Total'!$A$2:$L$54,11,FALSE)/VLOOKUP($A27,'Data - Total'!$A$2:$L$54,10,FALSE)</f>
        <v>0.81659646308833123</v>
      </c>
    </row>
    <row r="28" spans="1:15" x14ac:dyDescent="0.25">
      <c r="A28" s="3" t="s">
        <v>60</v>
      </c>
      <c r="B28" s="3" t="s">
        <v>61</v>
      </c>
      <c r="C28" s="78">
        <f>VLOOKUP($A28,'Data - Total'!$A$2:$L$54,8,FALSE)/VLOOKUP($A28,'Data - Total'!$A$2:$G$54,3,FALSE)</f>
        <v>0.22736680814561122</v>
      </c>
      <c r="D28" s="38">
        <f>VLOOKUP($A28,'Data - Total'!$A$2:$L$54,12,FALSE)/VLOOKUP($A28,'Data - Total'!$A$2:$L$54,8,FALSE)</f>
        <v>1037.2337558062295</v>
      </c>
      <c r="E28" s="4"/>
      <c r="F28" s="4">
        <f>VLOOKUP($A28,'Data - Total'!$A$2:$L$54,11,FALSE)/VLOOKUP($A28,'Data - Total'!$A$2:$L$54,8,FALSE)</f>
        <v>0.33538583427107366</v>
      </c>
      <c r="G28" s="4"/>
      <c r="H28" s="18">
        <f>VLOOKUP($A28,'Data - Total'!$A$2:$L$54,12,FALSE)/VLOOKUP($A28,'Data - Total'!$A$2:$L$54,11,FALSE)</f>
        <v>3092.6582157548473</v>
      </c>
      <c r="I28" s="4">
        <f>VLOOKUP($A28,'Data - Total'!$A$2:$L$54,11,FALSE)/VLOOKUP($A28,'Data - Total'!$A$2:$L$54,8,FALSE)</f>
        <v>0.33538583427107366</v>
      </c>
      <c r="J28" s="4"/>
      <c r="K28" s="4">
        <f>VLOOKUP($A28,'Data - Total'!$A$2:$L$54,9,FALSE)/VLOOKUP($A28,'Data - Total'!$A$2:$L$54,8,FALSE)</f>
        <v>0.4142910691410106</v>
      </c>
      <c r="L28" s="4"/>
      <c r="M28" s="4">
        <f>VLOOKUP($A28,'Data - Total'!$A$2:$L$54,10,FALSE)/VLOOKUP($A28,'Data - Total'!$A$2:$L$54,9,FALSE)</f>
        <v>1.0903878507714011</v>
      </c>
      <c r="N28" s="4"/>
      <c r="O28" s="4">
        <f>VLOOKUP($A28,'Data - Total'!$A$2:$L$54,11,FALSE)/VLOOKUP($A28,'Data - Total'!$A$2:$L$54,10,FALSE)</f>
        <v>0.7424344919520105</v>
      </c>
    </row>
    <row r="29" spans="1:15" x14ac:dyDescent="0.25">
      <c r="A29" s="3" t="s">
        <v>100</v>
      </c>
      <c r="B29" s="3" t="s">
        <v>101</v>
      </c>
      <c r="C29" s="78">
        <f>VLOOKUP($A29,'Data - Total'!$A$2:$L$54,8,FALSE)/VLOOKUP($A29,'Data - Total'!$A$2:$G$54,3,FALSE)</f>
        <v>0.24717782192090809</v>
      </c>
      <c r="D29" s="38">
        <f>VLOOKUP($A29,'Data - Total'!$A$2:$L$54,12,FALSE)/VLOOKUP($A29,'Data - Total'!$A$2:$L$54,8,FALSE)</f>
        <v>823.96354248719615</v>
      </c>
      <c r="E29" s="4"/>
      <c r="F29" s="4">
        <f>VLOOKUP($A29,'Data - Total'!$A$2:$L$54,11,FALSE)/VLOOKUP($A29,'Data - Total'!$A$2:$L$54,8,FALSE)</f>
        <v>0.29145744863054157</v>
      </c>
      <c r="G29" s="4"/>
      <c r="H29" s="18">
        <f>VLOOKUP($A29,'Data - Total'!$A$2:$L$54,12,FALSE)/VLOOKUP($A29,'Data - Total'!$A$2:$L$54,11,FALSE)</f>
        <v>2827.045753535268</v>
      </c>
      <c r="I29" s="4">
        <f>VLOOKUP($A29,'Data - Total'!$A$2:$L$54,11,FALSE)/VLOOKUP($A29,'Data - Total'!$A$2:$L$54,8,FALSE)</f>
        <v>0.29145744863054157</v>
      </c>
      <c r="J29" s="4"/>
      <c r="K29" s="4">
        <f>VLOOKUP($A29,'Data - Total'!$A$2:$L$54,9,FALSE)/VLOOKUP($A29,'Data - Total'!$A$2:$L$54,8,FALSE)</f>
        <v>0.60514714153320404</v>
      </c>
      <c r="L29" s="4"/>
      <c r="M29" s="4">
        <f>VLOOKUP($A29,'Data - Total'!$A$2:$L$54,10,FALSE)/VLOOKUP($A29,'Data - Total'!$A$2:$L$54,9,FALSE)</f>
        <v>0.48648936461159714</v>
      </c>
      <c r="N29" s="4"/>
      <c r="O29" s="4">
        <f>VLOOKUP($A29,'Data - Total'!$A$2:$L$54,11,FALSE)/VLOOKUP($A29,'Data - Total'!$A$2:$L$54,10,FALSE)</f>
        <v>0.99001282868039131</v>
      </c>
    </row>
    <row r="30" spans="1:15" x14ac:dyDescent="0.25">
      <c r="A30" s="3" t="s">
        <v>76</v>
      </c>
      <c r="B30" s="3" t="s">
        <v>77</v>
      </c>
      <c r="C30" s="78">
        <f>VLOOKUP($A30,'Data - Total'!$A$2:$L$54,8,FALSE)/VLOOKUP($A30,'Data - Total'!$A$2:$G$54,3,FALSE)</f>
        <v>0.24079171461758944</v>
      </c>
      <c r="D30" s="38">
        <f>VLOOKUP($A30,'Data - Total'!$A$2:$L$54,12,FALSE)/VLOOKUP($A30,'Data - Total'!$A$2:$L$54,8,FALSE)</f>
        <v>737.30425526371778</v>
      </c>
      <c r="E30" s="4"/>
      <c r="F30" s="4">
        <f>VLOOKUP($A30,'Data - Total'!$A$2:$L$54,11,FALSE)/VLOOKUP($A30,'Data - Total'!$A$2:$L$54,8,FALSE)</f>
        <v>0.24940464885795563</v>
      </c>
      <c r="G30" s="4"/>
      <c r="H30" s="18">
        <f>VLOOKUP($A30,'Data - Total'!$A$2:$L$54,12,FALSE)/VLOOKUP($A30,'Data - Total'!$A$2:$L$54,11,FALSE)</f>
        <v>2956.2570651344895</v>
      </c>
      <c r="I30" s="4">
        <f>VLOOKUP($A30,'Data - Total'!$A$2:$L$54,11,FALSE)/VLOOKUP($A30,'Data - Total'!$A$2:$L$54,8,FALSE)</f>
        <v>0.24940464885795563</v>
      </c>
      <c r="J30" s="4"/>
      <c r="K30" s="4">
        <f>VLOOKUP($A30,'Data - Total'!$A$2:$L$54,9,FALSE)/VLOOKUP($A30,'Data - Total'!$A$2:$L$54,8,FALSE)</f>
        <v>0.62489386066958852</v>
      </c>
      <c r="L30" s="4"/>
      <c r="M30" s="4">
        <f>VLOOKUP($A30,'Data - Total'!$A$2:$L$54,10,FALSE)/VLOOKUP($A30,'Data - Total'!$A$2:$L$54,9,FALSE)</f>
        <v>0.48529220236072185</v>
      </c>
      <c r="N30" s="4"/>
      <c r="O30" s="4">
        <f>VLOOKUP($A30,'Data - Total'!$A$2:$L$54,11,FALSE)/VLOOKUP($A30,'Data - Total'!$A$2:$L$54,10,FALSE)</f>
        <v>0.8224224810253622</v>
      </c>
    </row>
    <row r="31" spans="1:15" x14ac:dyDescent="0.25">
      <c r="A31" s="3" t="s">
        <v>98</v>
      </c>
      <c r="B31" s="3" t="s">
        <v>99</v>
      </c>
      <c r="C31" s="78">
        <f>VLOOKUP($A31,'Data - Total'!$A$2:$L$54,8,FALSE)/VLOOKUP($A31,'Data - Total'!$A$2:$G$54,3,FALSE)</f>
        <v>0.20449578557096262</v>
      </c>
      <c r="D31" s="38">
        <f>VLOOKUP($A31,'Data - Total'!$A$2:$L$54,12,FALSE)/VLOOKUP($A31,'Data - Total'!$A$2:$L$54,8,FALSE)</f>
        <v>2822.1245854076146</v>
      </c>
      <c r="E31" s="4"/>
      <c r="F31" s="4">
        <f>VLOOKUP($A31,'Data - Total'!$A$2:$L$54,11,FALSE)/VLOOKUP($A31,'Data - Total'!$A$2:$L$54,8,FALSE)</f>
        <v>0.48638367712881425</v>
      </c>
      <c r="G31" s="4"/>
      <c r="H31" s="18">
        <f>VLOOKUP($A31,'Data - Total'!$A$2:$L$54,12,FALSE)/VLOOKUP($A31,'Data - Total'!$A$2:$L$54,11,FALSE)</f>
        <v>5802.2600636332645</v>
      </c>
      <c r="I31" s="4">
        <f>VLOOKUP($A31,'Data - Total'!$A$2:$L$54,11,FALSE)/VLOOKUP($A31,'Data - Total'!$A$2:$L$54,8,FALSE)</f>
        <v>0.48638367712881425</v>
      </c>
      <c r="J31" s="4"/>
      <c r="K31" s="4">
        <f>VLOOKUP($A31,'Data - Total'!$A$2:$L$54,9,FALSE)/VLOOKUP($A31,'Data - Total'!$A$2:$L$54,8,FALSE)</f>
        <v>0.5768518067714532</v>
      </c>
      <c r="L31" s="4"/>
      <c r="M31" s="4">
        <f>VLOOKUP($A31,'Data - Total'!$A$2:$L$54,10,FALSE)/VLOOKUP($A31,'Data - Total'!$A$2:$L$54,9,FALSE)</f>
        <v>0.87184377024364601</v>
      </c>
      <c r="N31" s="4"/>
      <c r="O31" s="4">
        <f>VLOOKUP($A31,'Data - Total'!$A$2:$L$54,11,FALSE)/VLOOKUP($A31,'Data - Total'!$A$2:$L$54,10,FALSE)</f>
        <v>0.96711042732895858</v>
      </c>
    </row>
    <row r="32" spans="1:15" x14ac:dyDescent="0.25">
      <c r="A32" s="3" t="s">
        <v>66</v>
      </c>
      <c r="B32" s="3" t="s">
        <v>67</v>
      </c>
      <c r="C32" s="78">
        <f>VLOOKUP($A32,'Data - Total'!$A$2:$L$54,8,FALSE)/VLOOKUP($A32,'Data - Total'!$A$2:$G$54,3,FALSE)</f>
        <v>0.22677009771184256</v>
      </c>
      <c r="D32" s="38">
        <f>VLOOKUP($A32,'Data - Total'!$A$2:$L$54,12,FALSE)/VLOOKUP($A32,'Data - Total'!$A$2:$L$54,8,FALSE)</f>
        <v>1105.0388305081963</v>
      </c>
      <c r="E32" s="4"/>
      <c r="F32" s="4">
        <f>VLOOKUP($A32,'Data - Total'!$A$2:$L$54,11,FALSE)/VLOOKUP($A32,'Data - Total'!$A$2:$L$54,8,FALSE)</f>
        <v>0.30282158340253301</v>
      </c>
      <c r="G32" s="4"/>
      <c r="H32" s="18">
        <f>VLOOKUP($A32,'Data - Total'!$A$2:$L$54,12,FALSE)/VLOOKUP($A32,'Data - Total'!$A$2:$L$54,11,FALSE)</f>
        <v>3649.1415773336616</v>
      </c>
      <c r="I32" s="4">
        <f>VLOOKUP($A32,'Data - Total'!$A$2:$L$54,11,FALSE)/VLOOKUP($A32,'Data - Total'!$A$2:$L$54,8,FALSE)</f>
        <v>0.30282158340253301</v>
      </c>
      <c r="J32" s="4"/>
      <c r="K32" s="4">
        <f>VLOOKUP($A32,'Data - Total'!$A$2:$L$54,9,FALSE)/VLOOKUP($A32,'Data - Total'!$A$2:$L$54,8,FALSE)</f>
        <v>0.71504280907161122</v>
      </c>
      <c r="L32" s="4"/>
      <c r="M32" s="4">
        <f>VLOOKUP($A32,'Data - Total'!$A$2:$L$54,10,FALSE)/VLOOKUP($A32,'Data - Total'!$A$2:$L$54,9,FALSE)</f>
        <v>0.40861628036747005</v>
      </c>
      <c r="N32" s="4"/>
      <c r="O32" s="80">
        <f>VLOOKUP($A32,'Data - Total'!$A$2:$L$54,11,FALSE)/VLOOKUP($A32,'Data - Total'!$A$2:$L$54,10,FALSE)</f>
        <v>1.0364279501304725</v>
      </c>
    </row>
    <row r="33" spans="1:15" x14ac:dyDescent="0.25">
      <c r="A33" s="3" t="s">
        <v>108</v>
      </c>
      <c r="B33" s="3" t="s">
        <v>109</v>
      </c>
      <c r="C33" s="78">
        <f>VLOOKUP($A33,'Data - Total'!$A$2:$L$54,8,FALSE)/VLOOKUP($A33,'Data - Total'!$A$2:$G$54,3,FALSE)</f>
        <v>0.25586934962924118</v>
      </c>
      <c r="D33" s="38">
        <f>VLOOKUP($A33,'Data - Total'!$A$2:$L$54,12,FALSE)/VLOOKUP($A33,'Data - Total'!$A$2:$L$54,8,FALSE)</f>
        <v>806.40342695825962</v>
      </c>
      <c r="E33" s="4"/>
      <c r="F33" s="4">
        <f>VLOOKUP($A33,'Data - Total'!$A$2:$L$54,11,FALSE)/VLOOKUP($A33,'Data - Total'!$A$2:$L$54,8,FALSE)</f>
        <v>0.34991930594475185</v>
      </c>
      <c r="G33" s="4"/>
      <c r="H33" s="18">
        <f>VLOOKUP($A33,'Data - Total'!$A$2:$L$54,12,FALSE)/VLOOKUP($A33,'Data - Total'!$A$2:$L$54,11,FALSE)</f>
        <v>2304.5411135034124</v>
      </c>
      <c r="I33" s="4">
        <f>VLOOKUP($A33,'Data - Total'!$A$2:$L$54,11,FALSE)/VLOOKUP($A33,'Data - Total'!$A$2:$L$54,8,FALSE)</f>
        <v>0.34991930594475185</v>
      </c>
      <c r="J33" s="4"/>
      <c r="K33" s="4">
        <f>VLOOKUP($A33,'Data - Total'!$A$2:$L$54,9,FALSE)/VLOOKUP($A33,'Data - Total'!$A$2:$L$54,8,FALSE)</f>
        <v>0.5363279915179191</v>
      </c>
      <c r="L33" s="4"/>
      <c r="M33" s="4">
        <f>VLOOKUP($A33,'Data - Total'!$A$2:$L$54,10,FALSE)/VLOOKUP($A33,'Data - Total'!$A$2:$L$54,9,FALSE)</f>
        <v>0.59868411664264876</v>
      </c>
      <c r="N33" s="4"/>
      <c r="O33" s="80">
        <f>VLOOKUP($A33,'Data - Total'!$A$2:$L$54,11,FALSE)/VLOOKUP($A33,'Data - Total'!$A$2:$L$54,10,FALSE)</f>
        <v>1.0897821852310963</v>
      </c>
    </row>
    <row r="34" spans="1:15" x14ac:dyDescent="0.25">
      <c r="A34" s="3" t="s">
        <v>82</v>
      </c>
      <c r="B34" s="3" t="s">
        <v>83</v>
      </c>
      <c r="C34" s="78">
        <f>VLOOKUP($A34,'Data - Total'!$A$2:$L$54,8,FALSE)/VLOOKUP($A34,'Data - Total'!$A$2:$G$54,3,FALSE)</f>
        <v>0.23364529040026116</v>
      </c>
      <c r="D34" s="38">
        <f>VLOOKUP($A34,'Data - Total'!$A$2:$L$54,12,FALSE)/VLOOKUP($A34,'Data - Total'!$A$2:$L$54,8,FALSE)</f>
        <v>807.03883429253005</v>
      </c>
      <c r="E34" s="4"/>
      <c r="F34" s="4">
        <f>VLOOKUP($A34,'Data - Total'!$A$2:$L$54,11,FALSE)/VLOOKUP($A34,'Data - Total'!$A$2:$L$54,8,FALSE)</f>
        <v>0.34808027866891667</v>
      </c>
      <c r="G34" s="4"/>
      <c r="H34" s="18">
        <f>VLOOKUP($A34,'Data - Total'!$A$2:$L$54,12,FALSE)/VLOOKUP($A34,'Data - Total'!$A$2:$L$54,11,FALSE)</f>
        <v>2318.542255190966</v>
      </c>
      <c r="I34" s="4">
        <f>VLOOKUP($A34,'Data - Total'!$A$2:$L$54,11,FALSE)/VLOOKUP($A34,'Data - Total'!$A$2:$L$54,8,FALSE)</f>
        <v>0.34808027866891667</v>
      </c>
      <c r="J34" s="4"/>
      <c r="K34" s="4">
        <f>VLOOKUP($A34,'Data - Total'!$A$2:$L$54,9,FALSE)/VLOOKUP($A34,'Data - Total'!$A$2:$L$54,8,FALSE)</f>
        <v>0.47286245191413778</v>
      </c>
      <c r="L34" s="4"/>
      <c r="M34" s="4">
        <f>VLOOKUP($A34,'Data - Total'!$A$2:$L$54,10,FALSE)/VLOOKUP($A34,'Data - Total'!$A$2:$L$54,9,FALSE)</f>
        <v>0.90343695061408846</v>
      </c>
      <c r="N34" s="4"/>
      <c r="O34" s="4">
        <f>VLOOKUP($A34,'Data - Total'!$A$2:$L$54,11,FALSE)/VLOOKUP($A34,'Data - Total'!$A$2:$L$54,10,FALSE)</f>
        <v>0.81479196744979654</v>
      </c>
    </row>
    <row r="35" spans="1:15" x14ac:dyDescent="0.25">
      <c r="A35" s="3" t="s">
        <v>30</v>
      </c>
      <c r="B35" s="3" t="s">
        <v>31</v>
      </c>
      <c r="C35" s="78">
        <f>VLOOKUP($A35,'Data - Total'!$A$2:$L$54,8,FALSE)/VLOOKUP($A35,'Data - Total'!$A$2:$G$54,3,FALSE)</f>
        <v>0.24690868880487177</v>
      </c>
      <c r="D35" s="38">
        <f>VLOOKUP($A35,'Data - Total'!$A$2:$L$54,12,FALSE)/VLOOKUP($A35,'Data - Total'!$A$2:$L$54,8,FALSE)</f>
        <v>771.67219224769747</v>
      </c>
      <c r="E35" s="4"/>
      <c r="F35" s="4">
        <f>VLOOKUP($A35,'Data - Total'!$A$2:$L$54,11,FALSE)/VLOOKUP($A35,'Data - Total'!$A$2:$L$54,8,FALSE)</f>
        <v>0.38145193598735588</v>
      </c>
      <c r="G35" s="4"/>
      <c r="H35" s="18">
        <f>VLOOKUP($A35,'Data - Total'!$A$2:$L$54,12,FALSE)/VLOOKUP($A35,'Data - Total'!$A$2:$L$54,11,FALSE)</f>
        <v>2022.9866975253112</v>
      </c>
      <c r="I35" s="4">
        <f>VLOOKUP($A35,'Data - Total'!$A$2:$L$54,11,FALSE)/VLOOKUP($A35,'Data - Total'!$A$2:$L$54,8,FALSE)</f>
        <v>0.38145193598735588</v>
      </c>
      <c r="J35" s="4"/>
      <c r="K35" s="4">
        <f>VLOOKUP($A35,'Data - Total'!$A$2:$L$54,9,FALSE)/VLOOKUP($A35,'Data - Total'!$A$2:$L$54,8,FALSE)</f>
        <v>0.48091849679820864</v>
      </c>
      <c r="L35" s="4"/>
      <c r="M35" s="4">
        <f>VLOOKUP($A35,'Data - Total'!$A$2:$L$54,10,FALSE)/VLOOKUP($A35,'Data - Total'!$A$2:$L$54,9,FALSE)</f>
        <v>1.0095617008730127</v>
      </c>
      <c r="N35" s="4"/>
      <c r="O35" s="4">
        <f>VLOOKUP($A35,'Data - Total'!$A$2:$L$54,11,FALSE)/VLOOKUP($A35,'Data - Total'!$A$2:$L$54,10,FALSE)</f>
        <v>0.78566150722514572</v>
      </c>
    </row>
    <row r="36" spans="1:15" x14ac:dyDescent="0.25">
      <c r="A36" s="3" t="s">
        <v>78</v>
      </c>
      <c r="B36" s="3" t="s">
        <v>79</v>
      </c>
      <c r="C36" s="78">
        <f>VLOOKUP($A36,'Data - Total'!$A$2:$L$54,8,FALSE)/VLOOKUP($A36,'Data - Total'!$A$2:$G$54,3,FALSE)</f>
        <v>0.2438346911831395</v>
      </c>
      <c r="D36" s="38">
        <f>VLOOKUP($A36,'Data - Total'!$A$2:$L$54,12,FALSE)/VLOOKUP($A36,'Data - Total'!$A$2:$L$54,8,FALSE)</f>
        <v>862.85632211204995</v>
      </c>
      <c r="E36" s="4"/>
      <c r="F36" s="4">
        <f>VLOOKUP($A36,'Data - Total'!$A$2:$L$54,11,FALSE)/VLOOKUP($A36,'Data - Total'!$A$2:$L$54,8,FALSE)</f>
        <v>0.40560540399481798</v>
      </c>
      <c r="G36" s="4"/>
      <c r="H36" s="18">
        <f>VLOOKUP($A36,'Data - Total'!$A$2:$L$54,12,FALSE)/VLOOKUP($A36,'Data - Total'!$A$2:$L$54,11,FALSE)</f>
        <v>2127.3294527483017</v>
      </c>
      <c r="I36" s="4">
        <f>VLOOKUP($A36,'Data - Total'!$A$2:$L$54,11,FALSE)/VLOOKUP($A36,'Data - Total'!$A$2:$L$54,8,FALSE)</f>
        <v>0.40560540399481798</v>
      </c>
      <c r="J36" s="4"/>
      <c r="K36" s="4">
        <f>VLOOKUP($A36,'Data - Total'!$A$2:$L$54,9,FALSE)/VLOOKUP($A36,'Data - Total'!$A$2:$L$54,8,FALSE)</f>
        <v>0.47067100103531956</v>
      </c>
      <c r="L36" s="4"/>
      <c r="M36" s="4">
        <f>VLOOKUP($A36,'Data - Total'!$A$2:$L$54,10,FALSE)/VLOOKUP($A36,'Data - Total'!$A$2:$L$54,9,FALSE)</f>
        <v>0.89262434196290585</v>
      </c>
      <c r="N36" s="4"/>
      <c r="O36" s="4">
        <f>VLOOKUP($A36,'Data - Total'!$A$2:$L$54,11,FALSE)/VLOOKUP($A36,'Data - Total'!$A$2:$L$54,10,FALSE)</f>
        <v>0.96542283136955664</v>
      </c>
    </row>
    <row r="37" spans="1:15" x14ac:dyDescent="0.25">
      <c r="A37" s="3" t="s">
        <v>6</v>
      </c>
      <c r="B37" s="3" t="s">
        <v>7</v>
      </c>
      <c r="C37" s="78">
        <f>VLOOKUP($A37,'Data - Total'!$A$2:$L$54,8,FALSE)/VLOOKUP($A37,'Data - Total'!$A$2:$G$54,3,FALSE)</f>
        <v>0.25145188744643948</v>
      </c>
      <c r="D37" s="38">
        <f>VLOOKUP($A37,'Data - Total'!$A$2:$L$54,12,FALSE)/VLOOKUP($A37,'Data - Total'!$A$2:$L$54,8,FALSE)</f>
        <v>1065.8074472352009</v>
      </c>
      <c r="E37" s="4"/>
      <c r="F37" s="4">
        <f>VLOOKUP($A37,'Data - Total'!$A$2:$L$54,11,FALSE)/VLOOKUP($A37,'Data - Total'!$A$2:$L$54,8,FALSE)</f>
        <v>0.39580526196861343</v>
      </c>
      <c r="G37" s="4"/>
      <c r="H37" s="18">
        <f>VLOOKUP($A37,'Data - Total'!$A$2:$L$54,12,FALSE)/VLOOKUP($A37,'Data - Total'!$A$2:$L$54,11,FALSE)</f>
        <v>2692.757145102627</v>
      </c>
      <c r="I37" s="4">
        <f>VLOOKUP($A37,'Data - Total'!$A$2:$L$54,11,FALSE)/VLOOKUP($A37,'Data - Total'!$A$2:$L$54,8,FALSE)</f>
        <v>0.39580526196861343</v>
      </c>
      <c r="J37" s="4"/>
      <c r="K37" s="4">
        <f>VLOOKUP($A37,'Data - Total'!$A$2:$L$54,9,FALSE)/VLOOKUP($A37,'Data - Total'!$A$2:$L$54,8,FALSE)</f>
        <v>0.47985213517292424</v>
      </c>
      <c r="L37" s="4"/>
      <c r="M37" s="4">
        <f>VLOOKUP($A37,'Data - Total'!$A$2:$L$54,10,FALSE)/VLOOKUP($A37,'Data - Total'!$A$2:$L$54,9,FALSE)</f>
        <v>0.95855124016690463</v>
      </c>
      <c r="N37" s="4"/>
      <c r="O37" s="4">
        <f>VLOOKUP($A37,'Data - Total'!$A$2:$L$54,11,FALSE)/VLOOKUP($A37,'Data - Total'!$A$2:$L$54,10,FALSE)</f>
        <v>0.86051570033196156</v>
      </c>
    </row>
    <row r="38" spans="1:15" x14ac:dyDescent="0.25">
      <c r="A38" s="3" t="s">
        <v>106</v>
      </c>
      <c r="B38" s="3" t="s">
        <v>107</v>
      </c>
      <c r="C38" s="78">
        <f>VLOOKUP($A38,'Data - Total'!$A$2:$L$54,8,FALSE)/VLOOKUP($A38,'Data - Total'!$A$2:$G$54,3,FALSE)</f>
        <v>0.24055142035977142</v>
      </c>
      <c r="D38" s="38">
        <f>VLOOKUP($A38,'Data - Total'!$A$2:$L$54,12,FALSE)/VLOOKUP($A38,'Data - Total'!$A$2:$L$54,8,FALSE)</f>
        <v>613.22712493404924</v>
      </c>
      <c r="E38" s="4"/>
      <c r="F38" s="4">
        <f>VLOOKUP($A38,'Data - Total'!$A$2:$L$54,11,FALSE)/VLOOKUP($A38,'Data - Total'!$A$2:$L$54,8,FALSE)</f>
        <v>0.34362781416112781</v>
      </c>
      <c r="G38" s="4"/>
      <c r="H38" s="18">
        <f>VLOOKUP($A38,'Data - Total'!$A$2:$L$54,12,FALSE)/VLOOKUP($A38,'Data - Total'!$A$2:$L$54,11,FALSE)</f>
        <v>1784.5677784584277</v>
      </c>
      <c r="I38" s="4">
        <f>VLOOKUP($A38,'Data - Total'!$A$2:$L$54,11,FALSE)/VLOOKUP($A38,'Data - Total'!$A$2:$L$54,8,FALSE)</f>
        <v>0.34362781416112781</v>
      </c>
      <c r="J38" s="4"/>
      <c r="K38" s="4">
        <f>VLOOKUP($A38,'Data - Total'!$A$2:$L$54,9,FALSE)/VLOOKUP($A38,'Data - Total'!$A$2:$L$54,8,FALSE)</f>
        <v>0.53825753796537101</v>
      </c>
      <c r="L38" s="4"/>
      <c r="M38" s="4">
        <f>VLOOKUP($A38,'Data - Total'!$A$2:$L$54,10,FALSE)/VLOOKUP($A38,'Data - Total'!$A$2:$L$54,9,FALSE)</f>
        <v>0.63748343790623208</v>
      </c>
      <c r="N38" s="4"/>
      <c r="O38" s="4">
        <f>VLOOKUP($A38,'Data - Total'!$A$2:$L$54,11,FALSE)/VLOOKUP($A38,'Data - Total'!$A$2:$L$54,10,FALSE)</f>
        <v>1.0014500276706464</v>
      </c>
    </row>
    <row r="39" spans="1:15" x14ac:dyDescent="0.25">
      <c r="A39" s="3" t="s">
        <v>52</v>
      </c>
      <c r="B39" s="3" t="s">
        <v>53</v>
      </c>
      <c r="C39" s="78">
        <f>VLOOKUP($A39,'Data - Total'!$A$2:$L$54,8,FALSE)/VLOOKUP($A39,'Data - Total'!$A$2:$G$54,3,FALSE)</f>
        <v>0.24729293767266031</v>
      </c>
      <c r="D39" s="38">
        <f>VLOOKUP($A39,'Data - Total'!$A$2:$L$54,12,FALSE)/VLOOKUP($A39,'Data - Total'!$A$2:$L$54,8,FALSE)</f>
        <v>944.27635086911732</v>
      </c>
      <c r="E39" s="4"/>
      <c r="F39" s="4">
        <f>VLOOKUP($A39,'Data - Total'!$A$2:$L$54,11,FALSE)/VLOOKUP($A39,'Data - Total'!$A$2:$L$54,8,FALSE)</f>
        <v>0.43112510231738738</v>
      </c>
      <c r="G39" s="4"/>
      <c r="H39" s="18">
        <f>VLOOKUP($A39,'Data - Total'!$A$2:$L$54,12,FALSE)/VLOOKUP($A39,'Data - Total'!$A$2:$L$54,11,FALSE)</f>
        <v>2190.2606593618302</v>
      </c>
      <c r="I39" s="4">
        <f>VLOOKUP($A39,'Data - Total'!$A$2:$L$54,11,FALSE)/VLOOKUP($A39,'Data - Total'!$A$2:$L$54,8,FALSE)</f>
        <v>0.43112510231738738</v>
      </c>
      <c r="J39" s="4"/>
      <c r="K39" s="4">
        <f>VLOOKUP($A39,'Data - Total'!$A$2:$L$54,9,FALSE)/VLOOKUP($A39,'Data - Total'!$A$2:$L$54,8,FALSE)</f>
        <v>0.51138039225196419</v>
      </c>
      <c r="L39" s="4"/>
      <c r="M39" s="4">
        <f>VLOOKUP($A39,'Data - Total'!$A$2:$L$54,10,FALSE)/VLOOKUP($A39,'Data - Total'!$A$2:$L$54,9,FALSE)</f>
        <v>0.85042964894867168</v>
      </c>
      <c r="N39" s="4"/>
      <c r="O39" s="4">
        <f>VLOOKUP($A39,'Data - Total'!$A$2:$L$54,11,FALSE)/VLOOKUP($A39,'Data - Total'!$A$2:$L$54,10,FALSE)</f>
        <v>0.99133592692117445</v>
      </c>
    </row>
    <row r="40" spans="1:15" x14ac:dyDescent="0.25">
      <c r="A40" s="3" t="s">
        <v>84</v>
      </c>
      <c r="B40" s="3" t="s">
        <v>85</v>
      </c>
      <c r="C40" s="78">
        <f>VLOOKUP($A40,'Data - Total'!$A$2:$L$54,8,FALSE)/VLOOKUP($A40,'Data - Total'!$A$2:$G$54,3,FALSE)</f>
        <v>0.22457094051392107</v>
      </c>
      <c r="D40" s="38">
        <f>VLOOKUP($A40,'Data - Total'!$A$2:$L$54,12,FALSE)/VLOOKUP($A40,'Data - Total'!$A$2:$L$54,8,FALSE)</f>
        <v>1253.2409235187929</v>
      </c>
      <c r="E40" s="4"/>
      <c r="F40" s="4">
        <f>VLOOKUP($A40,'Data - Total'!$A$2:$L$54,11,FALSE)/VLOOKUP($A40,'Data - Total'!$A$2:$L$54,8,FALSE)</f>
        <v>0.38960124696078935</v>
      </c>
      <c r="G40" s="4"/>
      <c r="H40" s="18">
        <f>VLOOKUP($A40,'Data - Total'!$A$2:$L$54,12,FALSE)/VLOOKUP($A40,'Data - Total'!$A$2:$L$54,11,FALSE)</f>
        <v>3216.7271878493834</v>
      </c>
      <c r="I40" s="4">
        <f>VLOOKUP($A40,'Data - Total'!$A$2:$L$54,11,FALSE)/VLOOKUP($A40,'Data - Total'!$A$2:$L$54,8,FALSE)</f>
        <v>0.38960124696078935</v>
      </c>
      <c r="J40" s="4"/>
      <c r="K40" s="4">
        <f>VLOOKUP($A40,'Data - Total'!$A$2:$L$54,9,FALSE)/VLOOKUP($A40,'Data - Total'!$A$2:$L$54,8,FALSE)</f>
        <v>0.54583706434817059</v>
      </c>
      <c r="L40" s="4"/>
      <c r="M40" s="4">
        <f>VLOOKUP($A40,'Data - Total'!$A$2:$L$54,10,FALSE)/VLOOKUP($A40,'Data - Total'!$A$2:$L$54,9,FALSE)</f>
        <v>0.73441299204960631</v>
      </c>
      <c r="N40" s="4"/>
      <c r="O40" s="4">
        <f>VLOOKUP($A40,'Data - Total'!$A$2:$L$54,11,FALSE)/VLOOKUP($A40,'Data - Total'!$A$2:$L$54,10,FALSE)</f>
        <v>0.97188966654397191</v>
      </c>
    </row>
    <row r="41" spans="1:15" x14ac:dyDescent="0.25">
      <c r="A41" s="3" t="s">
        <v>34</v>
      </c>
      <c r="B41" s="3" t="s">
        <v>35</v>
      </c>
      <c r="C41" s="78">
        <f>VLOOKUP($A41,'Data - Total'!$A$2:$L$54,8,FALSE)/VLOOKUP($A41,'Data - Total'!$A$2:$G$54,3,FALSE)</f>
        <v>0.25386138310592049</v>
      </c>
      <c r="D41" s="38">
        <f>VLOOKUP($A41,'Data - Total'!$A$2:$L$54,12,FALSE)/VLOOKUP($A41,'Data - Total'!$A$2:$L$54,8,FALSE)</f>
        <v>1026.7810630421884</v>
      </c>
      <c r="E41" s="4"/>
      <c r="F41" s="4">
        <f>VLOOKUP($A41,'Data - Total'!$A$2:$L$54,11,FALSE)/VLOOKUP($A41,'Data - Total'!$A$2:$L$54,8,FALSE)</f>
        <v>0.46598006643690931</v>
      </c>
      <c r="G41" s="4"/>
      <c r="H41" s="18">
        <f>VLOOKUP($A41,'Data - Total'!$A$2:$L$54,12,FALSE)/VLOOKUP($A41,'Data - Total'!$A$2:$L$54,11,FALSE)</f>
        <v>2203.4870952601314</v>
      </c>
      <c r="I41" s="4">
        <f>VLOOKUP($A41,'Data - Total'!$A$2:$L$54,11,FALSE)/VLOOKUP($A41,'Data - Total'!$A$2:$L$54,8,FALSE)</f>
        <v>0.46598006643690931</v>
      </c>
      <c r="J41" s="4"/>
      <c r="K41" s="4">
        <f>VLOOKUP($A41,'Data - Total'!$A$2:$L$54,9,FALSE)/VLOOKUP($A41,'Data - Total'!$A$2:$L$54,8,FALSE)</f>
        <v>0.48340674974400905</v>
      </c>
      <c r="L41" s="4"/>
      <c r="M41" s="4">
        <f>VLOOKUP($A41,'Data - Total'!$A$2:$L$54,10,FALSE)/VLOOKUP($A41,'Data - Total'!$A$2:$L$54,9,FALSE)</f>
        <v>0.96968052678076366</v>
      </c>
      <c r="N41" s="4"/>
      <c r="O41" s="4">
        <f>VLOOKUP($A41,'Data - Total'!$A$2:$L$54,11,FALSE)/VLOOKUP($A41,'Data - Total'!$A$2:$L$54,10,FALSE)</f>
        <v>0.99409057142632151</v>
      </c>
    </row>
    <row r="42" spans="1:15" x14ac:dyDescent="0.25">
      <c r="A42" s="3" t="s">
        <v>22</v>
      </c>
      <c r="B42" s="3" t="s">
        <v>23</v>
      </c>
      <c r="C42" s="78">
        <f>VLOOKUP($A42,'Data - Total'!$A$2:$L$54,8,FALSE)/VLOOKUP($A42,'Data - Total'!$A$2:$G$54,3,FALSE)</f>
        <v>0.24365700125592415</v>
      </c>
      <c r="D42" s="38">
        <f>VLOOKUP($A42,'Data - Total'!$A$2:$L$54,12,FALSE)/VLOOKUP($A42,'Data - Total'!$A$2:$L$54,8,FALSE)</f>
        <v>1295.7006996047176</v>
      </c>
      <c r="E42" s="4"/>
      <c r="F42" s="4">
        <f>VLOOKUP($A42,'Data - Total'!$A$2:$L$54,11,FALSE)/VLOOKUP($A42,'Data - Total'!$A$2:$L$54,8,FALSE)</f>
        <v>0.37423442363949933</v>
      </c>
      <c r="G42" s="4"/>
      <c r="H42" s="18">
        <f>VLOOKUP($A42,'Data - Total'!$A$2:$L$54,12,FALSE)/VLOOKUP($A42,'Data - Total'!$A$2:$L$54,11,FALSE)</f>
        <v>3462.2702182332328</v>
      </c>
      <c r="I42" s="4">
        <f>VLOOKUP($A42,'Data - Total'!$A$2:$L$54,11,FALSE)/VLOOKUP($A42,'Data - Total'!$A$2:$L$54,8,FALSE)</f>
        <v>0.37423442363949933</v>
      </c>
      <c r="J42" s="4"/>
      <c r="K42" s="4">
        <f>VLOOKUP($A42,'Data - Total'!$A$2:$L$54,9,FALSE)/VLOOKUP($A42,'Data - Total'!$A$2:$L$54,8,FALSE)</f>
        <v>0.49895672416501341</v>
      </c>
      <c r="L42" s="4"/>
      <c r="M42" s="4">
        <f>VLOOKUP($A42,'Data - Total'!$A$2:$L$54,10,FALSE)/VLOOKUP($A42,'Data - Total'!$A$2:$L$54,9,FALSE)</f>
        <v>0.72265508389943811</v>
      </c>
      <c r="N42" s="4"/>
      <c r="O42" s="80">
        <f>VLOOKUP($A42,'Data - Total'!$A$2:$L$54,11,FALSE)/VLOOKUP($A42,'Data - Total'!$A$2:$L$54,10,FALSE)</f>
        <v>1.0378863282546003</v>
      </c>
    </row>
    <row r="43" spans="1:15" x14ac:dyDescent="0.25">
      <c r="A43" s="3" t="s">
        <v>10</v>
      </c>
      <c r="B43" s="3" t="s">
        <v>11</v>
      </c>
      <c r="C43" s="78">
        <f>VLOOKUP($A43,'Data - Total'!$A$2:$L$54,8,FALSE)/VLOOKUP($A43,'Data - Total'!$A$2:$G$54,3,FALSE)</f>
        <v>0.28093904738895731</v>
      </c>
      <c r="D43" s="38">
        <f>VLOOKUP($A43,'Data - Total'!$A$2:$L$54,12,FALSE)/VLOOKUP($A43,'Data - Total'!$A$2:$L$54,8,FALSE)</f>
        <v>1908.0211305977098</v>
      </c>
      <c r="E43" s="4"/>
      <c r="F43" s="4">
        <f>VLOOKUP($A43,'Data - Total'!$A$2:$L$54,11,FALSE)/VLOOKUP($A43,'Data - Total'!$A$2:$L$54,8,FALSE)</f>
        <v>0.34787114743576414</v>
      </c>
      <c r="G43" s="4"/>
      <c r="H43" s="18">
        <f>VLOOKUP($A43,'Data - Total'!$A$2:$L$54,12,FALSE)/VLOOKUP($A43,'Data - Total'!$A$2:$L$54,11,FALSE)</f>
        <v>5484.8501942807252</v>
      </c>
      <c r="I43" s="4">
        <f>VLOOKUP($A43,'Data - Total'!$A$2:$L$54,11,FALSE)/VLOOKUP($A43,'Data - Total'!$A$2:$L$54,8,FALSE)</f>
        <v>0.34787114743576414</v>
      </c>
      <c r="J43" s="4"/>
      <c r="K43" s="4">
        <f>VLOOKUP($A43,'Data - Total'!$A$2:$L$54,9,FALSE)/VLOOKUP($A43,'Data - Total'!$A$2:$L$54,8,FALSE)</f>
        <v>0.56024755960990147</v>
      </c>
      <c r="L43" s="4"/>
      <c r="M43" s="4">
        <f>VLOOKUP($A43,'Data - Total'!$A$2:$L$54,10,FALSE)/VLOOKUP($A43,'Data - Total'!$A$2:$L$54,9,FALSE)</f>
        <v>0.7644011159670967</v>
      </c>
      <c r="N43" s="4"/>
      <c r="O43" s="4">
        <f>VLOOKUP($A43,'Data - Total'!$A$2:$L$54,11,FALSE)/VLOOKUP($A43,'Data - Total'!$A$2:$L$54,10,FALSE)</f>
        <v>0.81230125424089461</v>
      </c>
    </row>
    <row r="44" spans="1:15" x14ac:dyDescent="0.25">
      <c r="A44" s="3" t="s">
        <v>50</v>
      </c>
      <c r="B44" s="3" t="s">
        <v>51</v>
      </c>
      <c r="C44" s="78">
        <f>VLOOKUP($A44,'Data - Total'!$A$2:$L$54,8,FALSE)/VLOOKUP($A44,'Data - Total'!$A$2:$G$54,3,FALSE)</f>
        <v>0.2307887331303404</v>
      </c>
      <c r="D44" s="38">
        <f>VLOOKUP($A44,'Data - Total'!$A$2:$L$54,12,FALSE)/VLOOKUP($A44,'Data - Total'!$A$2:$L$54,8,FALSE)</f>
        <v>1015.8948381237386</v>
      </c>
      <c r="E44" s="4"/>
      <c r="F44" s="4">
        <f>VLOOKUP($A44,'Data - Total'!$A$2:$L$54,11,FALSE)/VLOOKUP($A44,'Data - Total'!$A$2:$L$54,8,FALSE)</f>
        <v>0.32268399222299038</v>
      </c>
      <c r="G44" s="4"/>
      <c r="H44" s="18">
        <f>VLOOKUP($A44,'Data - Total'!$A$2:$L$54,12,FALSE)/VLOOKUP($A44,'Data - Total'!$A$2:$L$54,11,FALSE)</f>
        <v>3148.265369859766</v>
      </c>
      <c r="I44" s="4">
        <f>VLOOKUP($A44,'Data - Total'!$A$2:$L$54,11,FALSE)/VLOOKUP($A44,'Data - Total'!$A$2:$L$54,8,FALSE)</f>
        <v>0.32268399222299038</v>
      </c>
      <c r="J44" s="4"/>
      <c r="K44" s="4">
        <f>VLOOKUP($A44,'Data - Total'!$A$2:$L$54,9,FALSE)/VLOOKUP($A44,'Data - Total'!$A$2:$L$54,8,FALSE)</f>
        <v>0.62658902647738746</v>
      </c>
      <c r="L44" s="4"/>
      <c r="M44" s="4">
        <f>VLOOKUP($A44,'Data - Total'!$A$2:$L$54,10,FALSE)/VLOOKUP($A44,'Data - Total'!$A$2:$L$54,9,FALSE)</f>
        <v>0.52995401556487776</v>
      </c>
      <c r="N44" s="4"/>
      <c r="O44" s="4">
        <f>VLOOKUP($A44,'Data - Total'!$A$2:$L$54,11,FALSE)/VLOOKUP($A44,'Data - Total'!$A$2:$L$54,10,FALSE)</f>
        <v>0.97175425146085004</v>
      </c>
    </row>
    <row r="45" spans="1:15" x14ac:dyDescent="0.25">
      <c r="A45" s="3" t="s">
        <v>102</v>
      </c>
      <c r="B45" s="3" t="s">
        <v>103</v>
      </c>
      <c r="C45" s="78">
        <f>VLOOKUP($A45,'Data - Total'!$A$2:$L$54,8,FALSE)/VLOOKUP($A45,'Data - Total'!$A$2:$G$54,3,FALSE)</f>
        <v>0.25169910576338128</v>
      </c>
      <c r="D45" s="38">
        <f>VLOOKUP($A45,'Data - Total'!$A$2:$L$54,12,FALSE)/VLOOKUP($A45,'Data - Total'!$A$2:$L$54,8,FALSE)</f>
        <v>977.05096991743062</v>
      </c>
      <c r="E45" s="4"/>
      <c r="F45" s="4">
        <f>VLOOKUP($A45,'Data - Total'!$A$2:$L$54,11,FALSE)/VLOOKUP($A45,'Data - Total'!$A$2:$L$54,8,FALSE)</f>
        <v>0.38803932904080118</v>
      </c>
      <c r="G45" s="4"/>
      <c r="H45" s="18">
        <f>VLOOKUP($A45,'Data - Total'!$A$2:$L$54,12,FALSE)/VLOOKUP($A45,'Data - Total'!$A$2:$L$54,11,FALSE)</f>
        <v>2517.9173779436583</v>
      </c>
      <c r="I45" s="4">
        <f>VLOOKUP($A45,'Data - Total'!$A$2:$L$54,11,FALSE)/VLOOKUP($A45,'Data - Total'!$A$2:$L$54,8,FALSE)</f>
        <v>0.38803932904080118</v>
      </c>
      <c r="J45" s="4"/>
      <c r="K45" s="4">
        <f>VLOOKUP($A45,'Data - Total'!$A$2:$L$54,9,FALSE)/VLOOKUP($A45,'Data - Total'!$A$2:$L$54,8,FALSE)</f>
        <v>0.48952632973984911</v>
      </c>
      <c r="L45" s="4"/>
      <c r="M45" s="4">
        <f>VLOOKUP($A45,'Data - Total'!$A$2:$L$54,10,FALSE)/VLOOKUP($A45,'Data - Total'!$A$2:$L$54,9,FALSE)</f>
        <v>1.098692243633109</v>
      </c>
      <c r="N45" s="4"/>
      <c r="O45" s="4">
        <f>VLOOKUP($A45,'Data - Total'!$A$2:$L$54,11,FALSE)/VLOOKUP($A45,'Data - Total'!$A$2:$L$54,10,FALSE)</f>
        <v>0.72147889360114259</v>
      </c>
    </row>
    <row r="46" spans="1:15" x14ac:dyDescent="0.25">
      <c r="A46" s="3" t="s">
        <v>64</v>
      </c>
      <c r="B46" s="3" t="s">
        <v>65</v>
      </c>
      <c r="C46" s="78">
        <f>VLOOKUP($A46,'Data - Total'!$A$2:$L$54,8,FALSE)/VLOOKUP($A46,'Data - Total'!$A$2:$G$54,3,FALSE)</f>
        <v>0.25932794417948957</v>
      </c>
      <c r="D46" s="38">
        <f>VLOOKUP($A46,'Data - Total'!$A$2:$L$54,12,FALSE)/VLOOKUP($A46,'Data - Total'!$A$2:$L$54,8,FALSE)</f>
        <v>652.22093767334525</v>
      </c>
      <c r="E46" s="4"/>
      <c r="F46" s="4">
        <f>VLOOKUP($A46,'Data - Total'!$A$2:$L$54,11,FALSE)/VLOOKUP($A46,'Data - Total'!$A$2:$L$54,8,FALSE)</f>
        <v>0.25142217643810988</v>
      </c>
      <c r="G46" s="4"/>
      <c r="H46" s="18">
        <f>VLOOKUP($A46,'Data - Total'!$A$2:$L$54,12,FALSE)/VLOOKUP($A46,'Data - Total'!$A$2:$L$54,11,FALSE)</f>
        <v>2594.1265281899109</v>
      </c>
      <c r="I46" s="4">
        <f>VLOOKUP($A46,'Data - Total'!$A$2:$L$54,11,FALSE)/VLOOKUP($A46,'Data - Total'!$A$2:$L$54,8,FALSE)</f>
        <v>0.25142217643810988</v>
      </c>
      <c r="J46" s="4"/>
      <c r="K46" s="4">
        <f>VLOOKUP($A46,'Data - Total'!$A$2:$L$54,9,FALSE)/VLOOKUP($A46,'Data - Total'!$A$2:$L$54,8,FALSE)</f>
        <v>0.43169668670402539</v>
      </c>
      <c r="L46" s="4"/>
      <c r="M46" s="4">
        <f>VLOOKUP($A46,'Data - Total'!$A$2:$L$54,10,FALSE)/VLOOKUP($A46,'Data - Total'!$A$2:$L$54,9,FALSE)</f>
        <v>0.94843491046020723</v>
      </c>
      <c r="N46" s="4"/>
      <c r="O46" s="4">
        <f>VLOOKUP($A46,'Data - Total'!$A$2:$L$54,11,FALSE)/VLOOKUP($A46,'Data - Total'!$A$2:$L$54,10,FALSE)</f>
        <v>0.61406922807476882</v>
      </c>
    </row>
    <row r="47" spans="1:15" x14ac:dyDescent="0.25">
      <c r="A47" s="3" t="s">
        <v>16</v>
      </c>
      <c r="B47" s="3" t="s">
        <v>17</v>
      </c>
      <c r="C47" s="78">
        <f>VLOOKUP($A47,'Data - Total'!$A$2:$L$54,8,FALSE)/VLOOKUP($A47,'Data - Total'!$A$2:$G$54,3,FALSE)</f>
        <v>0.2620444616036226</v>
      </c>
      <c r="D47" s="38">
        <f>VLOOKUP($A47,'Data - Total'!$A$2:$L$54,12,FALSE)/VLOOKUP($A47,'Data - Total'!$A$2:$L$54,8,FALSE)</f>
        <v>1098.5920951349704</v>
      </c>
      <c r="E47" s="4"/>
      <c r="F47" s="4">
        <f>VLOOKUP($A47,'Data - Total'!$A$2:$L$54,11,FALSE)/VLOOKUP($A47,'Data - Total'!$A$2:$L$54,8,FALSE)</f>
        <v>0.43424355237741513</v>
      </c>
      <c r="G47" s="4"/>
      <c r="H47" s="18">
        <f>VLOOKUP($A47,'Data - Total'!$A$2:$L$54,12,FALSE)/VLOOKUP($A47,'Data - Total'!$A$2:$L$54,11,FALSE)</f>
        <v>2529.8984616359908</v>
      </c>
      <c r="I47" s="4">
        <f>VLOOKUP($A47,'Data - Total'!$A$2:$L$54,11,FALSE)/VLOOKUP($A47,'Data - Total'!$A$2:$L$54,8,FALSE)</f>
        <v>0.43424355237741513</v>
      </c>
      <c r="J47" s="4"/>
      <c r="K47" s="4">
        <f>VLOOKUP($A47,'Data - Total'!$A$2:$L$54,9,FALSE)/VLOOKUP($A47,'Data - Total'!$A$2:$L$54,8,FALSE)</f>
        <v>0.43510330747333831</v>
      </c>
      <c r="L47" s="4"/>
      <c r="M47" s="4">
        <f>VLOOKUP($A47,'Data - Total'!$A$2:$L$54,10,FALSE)/VLOOKUP($A47,'Data - Total'!$A$2:$L$54,9,FALSE)</f>
        <v>1.2276149819659221</v>
      </c>
      <c r="N47" s="4"/>
      <c r="O47" s="4">
        <f>VLOOKUP($A47,'Data - Total'!$A$2:$L$54,11,FALSE)/VLOOKUP($A47,'Data - Total'!$A$2:$L$54,10,FALSE)</f>
        <v>0.81297803907346078</v>
      </c>
    </row>
    <row r="48" spans="1:15" x14ac:dyDescent="0.25">
      <c r="A48" s="3" t="s">
        <v>20</v>
      </c>
      <c r="B48" s="3" t="s">
        <v>21</v>
      </c>
      <c r="C48" s="78">
        <f>VLOOKUP($A48,'Data - Total'!$A$2:$L$54,8,FALSE)/VLOOKUP($A48,'Data - Total'!$A$2:$G$54,3,FALSE)</f>
        <v>0.24459068270695086</v>
      </c>
      <c r="D48" s="38">
        <f>VLOOKUP($A48,'Data - Total'!$A$2:$L$54,12,FALSE)/VLOOKUP($A48,'Data - Total'!$A$2:$L$54,8,FALSE)</f>
        <v>1172.8494799866053</v>
      </c>
      <c r="E48" s="4"/>
      <c r="F48" s="4">
        <f>VLOOKUP($A48,'Data - Total'!$A$2:$L$54,11,FALSE)/VLOOKUP($A48,'Data - Total'!$A$2:$L$54,8,FALSE)</f>
        <v>0.33496719470788933</v>
      </c>
      <c r="G48" s="4"/>
      <c r="H48" s="18">
        <f>VLOOKUP($A48,'Data - Total'!$A$2:$L$54,12,FALSE)/VLOOKUP($A48,'Data - Total'!$A$2:$L$54,11,FALSE)</f>
        <v>3501.3861014341946</v>
      </c>
      <c r="I48" s="4">
        <f>VLOOKUP($A48,'Data - Total'!$A$2:$L$54,11,FALSE)/VLOOKUP($A48,'Data - Total'!$A$2:$L$54,8,FALSE)</f>
        <v>0.33496719470788933</v>
      </c>
      <c r="J48" s="4"/>
      <c r="K48" s="4">
        <f>VLOOKUP($A48,'Data - Total'!$A$2:$L$54,9,FALSE)/VLOOKUP($A48,'Data - Total'!$A$2:$L$54,8,FALSE)</f>
        <v>0.66354656557906899</v>
      </c>
      <c r="L48" s="4"/>
      <c r="M48" s="4">
        <f>VLOOKUP($A48,'Data - Total'!$A$2:$L$54,10,FALSE)/VLOOKUP($A48,'Data - Total'!$A$2:$L$54,9,FALSE)</f>
        <v>0.54885076080128292</v>
      </c>
      <c r="N48" s="4"/>
      <c r="O48" s="4">
        <f>VLOOKUP($A48,'Data - Total'!$A$2:$L$54,11,FALSE)/VLOOKUP($A48,'Data - Total'!$A$2:$L$54,10,FALSE)</f>
        <v>0.91976440838014761</v>
      </c>
    </row>
    <row r="49" spans="1:15" x14ac:dyDescent="0.25">
      <c r="A49" s="3" t="s">
        <v>72</v>
      </c>
      <c r="B49" s="3" t="s">
        <v>73</v>
      </c>
      <c r="C49" s="78">
        <f>VLOOKUP($A49,'Data - Total'!$A$2:$L$54,8,FALSE)/VLOOKUP($A49,'Data - Total'!$A$2:$G$54,3,FALSE)</f>
        <v>0.23401982622296938</v>
      </c>
      <c r="D49" s="38">
        <f>VLOOKUP($A49,'Data - Total'!$A$2:$L$54,12,FALSE)/VLOOKUP($A49,'Data - Total'!$A$2:$L$54,8,FALSE)</f>
        <v>1255.6040554864262</v>
      </c>
      <c r="E49" s="4"/>
      <c r="F49" s="4">
        <f>VLOOKUP($A49,'Data - Total'!$A$2:$L$54,11,FALSE)/VLOOKUP($A49,'Data - Total'!$A$2:$L$54,8,FALSE)</f>
        <v>0.45732840282399351</v>
      </c>
      <c r="G49" s="4"/>
      <c r="H49" s="18">
        <f>VLOOKUP($A49,'Data - Total'!$A$2:$L$54,12,FALSE)/VLOOKUP($A49,'Data - Total'!$A$2:$L$54,11,FALSE)</f>
        <v>2745.5195166823164</v>
      </c>
      <c r="I49" s="4">
        <f>VLOOKUP($A49,'Data - Total'!$A$2:$L$54,11,FALSE)/VLOOKUP($A49,'Data - Total'!$A$2:$L$54,8,FALSE)</f>
        <v>0.45732840282399351</v>
      </c>
      <c r="J49" s="4"/>
      <c r="K49" s="4">
        <f>VLOOKUP($A49,'Data - Total'!$A$2:$L$54,9,FALSE)/VLOOKUP($A49,'Data - Total'!$A$2:$L$54,8,FALSE)</f>
        <v>0.49583331355982524</v>
      </c>
      <c r="L49" s="4"/>
      <c r="M49" s="4">
        <f>VLOOKUP($A49,'Data - Total'!$A$2:$L$54,10,FALSE)/VLOOKUP($A49,'Data - Total'!$A$2:$L$54,9,FALSE)</f>
        <v>1.0776510891385209</v>
      </c>
      <c r="N49" s="4"/>
      <c r="O49" s="4">
        <f>VLOOKUP($A49,'Data - Total'!$A$2:$L$54,11,FALSE)/VLOOKUP($A49,'Data - Total'!$A$2:$L$54,10,FALSE)</f>
        <v>0.8558828023009265</v>
      </c>
    </row>
    <row r="50" spans="1:15" x14ac:dyDescent="0.25">
      <c r="A50" s="3" t="s">
        <v>86</v>
      </c>
      <c r="B50" s="3" t="s">
        <v>87</v>
      </c>
      <c r="C50" s="78">
        <f>VLOOKUP($A50,'Data - Total'!$A$2:$L$54,8,FALSE)/VLOOKUP($A50,'Data - Total'!$A$2:$G$54,3,FALSE)</f>
        <v>0.22733003348505568</v>
      </c>
      <c r="D50" s="38">
        <f>VLOOKUP($A50,'Data - Total'!$A$2:$L$54,12,FALSE)/VLOOKUP($A50,'Data - Total'!$A$2:$L$54,8,FALSE)</f>
        <v>1844.3629304393235</v>
      </c>
      <c r="E50" s="4"/>
      <c r="F50" s="4">
        <f>VLOOKUP($A50,'Data - Total'!$A$2:$L$54,11,FALSE)/VLOOKUP($A50,'Data - Total'!$A$2:$L$54,8,FALSE)</f>
        <v>0.37596280123747022</v>
      </c>
      <c r="G50" s="4"/>
      <c r="H50" s="18">
        <f>VLOOKUP($A50,'Data - Total'!$A$2:$L$54,12,FALSE)/VLOOKUP($A50,'Data - Total'!$A$2:$L$54,11,FALSE)</f>
        <v>4905.7058952871357</v>
      </c>
      <c r="I50" s="4">
        <f>VLOOKUP($A50,'Data - Total'!$A$2:$L$54,11,FALSE)/VLOOKUP($A50,'Data - Total'!$A$2:$L$54,8,FALSE)</f>
        <v>0.37596280123747022</v>
      </c>
      <c r="J50" s="4"/>
      <c r="K50" s="4">
        <f>VLOOKUP($A50,'Data - Total'!$A$2:$L$54,9,FALSE)/VLOOKUP($A50,'Data - Total'!$A$2:$L$54,8,FALSE)</f>
        <v>0.55031607261310189</v>
      </c>
      <c r="L50" s="4"/>
      <c r="M50" s="4">
        <f>VLOOKUP($A50,'Data - Total'!$A$2:$L$54,10,FALSE)/VLOOKUP($A50,'Data - Total'!$A$2:$L$54,9,FALSE)</f>
        <v>0.7816836535889049</v>
      </c>
      <c r="N50" s="4"/>
      <c r="O50" s="4">
        <f>VLOOKUP($A50,'Data - Total'!$A$2:$L$54,11,FALSE)/VLOOKUP($A50,'Data - Total'!$A$2:$L$54,10,FALSE)</f>
        <v>0.87398031218134753</v>
      </c>
    </row>
    <row r="51" spans="1:15" x14ac:dyDescent="0.25">
      <c r="A51" s="3" t="s">
        <v>48</v>
      </c>
      <c r="B51" s="3" t="s">
        <v>49</v>
      </c>
      <c r="C51" s="78">
        <f>VLOOKUP($A51,'Data - Total'!$A$2:$L$54,8,FALSE)/VLOOKUP($A51,'Data - Total'!$A$2:$G$54,3,FALSE)</f>
        <v>0.24517138749711614</v>
      </c>
      <c r="D51" s="38">
        <f>VLOOKUP($A51,'Data - Total'!$A$2:$L$54,12,FALSE)/VLOOKUP($A51,'Data - Total'!$A$2:$L$54,8,FALSE)</f>
        <v>1026.4250005919321</v>
      </c>
      <c r="E51" s="4"/>
      <c r="F51" s="4">
        <f>VLOOKUP($A51,'Data - Total'!$A$2:$L$54,11,FALSE)/VLOOKUP($A51,'Data - Total'!$A$2:$L$54,8,FALSE)</f>
        <v>0.33773058659229716</v>
      </c>
      <c r="G51" s="4"/>
      <c r="H51" s="18">
        <f>VLOOKUP($A51,'Data - Total'!$A$2:$L$54,12,FALSE)/VLOOKUP($A51,'Data - Total'!$A$2:$L$54,11,FALSE)</f>
        <v>3039.1828319388069</v>
      </c>
      <c r="I51" s="4">
        <f>VLOOKUP($A51,'Data - Total'!$A$2:$L$54,11,FALSE)/VLOOKUP($A51,'Data - Total'!$A$2:$L$54,8,FALSE)</f>
        <v>0.33773058659229716</v>
      </c>
      <c r="J51" s="4"/>
      <c r="K51" s="4">
        <f>VLOOKUP($A51,'Data - Total'!$A$2:$L$54,9,FALSE)/VLOOKUP($A51,'Data - Total'!$A$2:$L$54,8,FALSE)</f>
        <v>0.62013047397232612</v>
      </c>
      <c r="L51" s="4"/>
      <c r="M51" s="4">
        <f>VLOOKUP($A51,'Data - Total'!$A$2:$L$54,10,FALSE)/VLOOKUP($A51,'Data - Total'!$A$2:$L$54,9,FALSE)</f>
        <v>0.57630492393353017</v>
      </c>
      <c r="N51" s="4"/>
      <c r="O51" s="4">
        <f>VLOOKUP($A51,'Data - Total'!$A$2:$L$54,11,FALSE)/VLOOKUP($A51,'Data - Total'!$A$2:$L$54,10,FALSE)</f>
        <v>0.9450069238377844</v>
      </c>
    </row>
    <row r="52" spans="1:15" x14ac:dyDescent="0.25">
      <c r="A52" s="3" t="s">
        <v>54</v>
      </c>
      <c r="B52" s="3" t="s">
        <v>55</v>
      </c>
      <c r="C52" s="78">
        <f>VLOOKUP($A52,'Data - Total'!$A$2:$L$54,8,FALSE)/VLOOKUP($A52,'Data - Total'!$A$2:$G$54,3,FALSE)</f>
        <v>0.25183035636383988</v>
      </c>
      <c r="D52" s="38">
        <f>VLOOKUP($A52,'Data - Total'!$A$2:$L$54,12,FALSE)/VLOOKUP($A52,'Data - Total'!$A$2:$L$54,8,FALSE)</f>
        <v>1203.2316584563671</v>
      </c>
      <c r="E52" s="4"/>
      <c r="F52" s="4">
        <f>VLOOKUP($A52,'Data - Total'!$A$2:$L$54,11,FALSE)/VLOOKUP($A52,'Data - Total'!$A$2:$L$54,8,FALSE)</f>
        <v>0.26837599742197005</v>
      </c>
      <c r="G52" s="4"/>
      <c r="H52" s="18">
        <f>VLOOKUP($A52,'Data - Total'!$A$2:$L$54,12,FALSE)/VLOOKUP($A52,'Data - Total'!$A$2:$L$54,11,FALSE)</f>
        <v>4483.3802948648745</v>
      </c>
      <c r="I52" s="4">
        <f>VLOOKUP($A52,'Data - Total'!$A$2:$L$54,11,FALSE)/VLOOKUP($A52,'Data - Total'!$A$2:$L$54,8,FALSE)</f>
        <v>0.26837599742197005</v>
      </c>
      <c r="J52" s="4"/>
      <c r="K52" s="4">
        <f>VLOOKUP($A52,'Data - Total'!$A$2:$L$54,9,FALSE)/VLOOKUP($A52,'Data - Total'!$A$2:$L$54,8,FALSE)</f>
        <v>0.60976302324494636</v>
      </c>
      <c r="L52" s="4"/>
      <c r="M52" s="4">
        <f>VLOOKUP($A52,'Data - Total'!$A$2:$L$54,10,FALSE)/VLOOKUP($A52,'Data - Total'!$A$2:$L$54,9,FALSE)</f>
        <v>0.8138026586838546</v>
      </c>
      <c r="N52" s="4"/>
      <c r="O52" s="4">
        <f>VLOOKUP($A52,'Data - Total'!$A$2:$L$54,11,FALSE)/VLOOKUP($A52,'Data - Total'!$A$2:$L$54,10,FALSE)</f>
        <v>0.54083337281687838</v>
      </c>
    </row>
    <row r="53" spans="1:15" x14ac:dyDescent="0.25">
      <c r="A53" s="3" t="s">
        <v>68</v>
      </c>
      <c r="B53" s="3" t="s">
        <v>69</v>
      </c>
      <c r="C53" s="78">
        <f>VLOOKUP($A53,'Data - Total'!$A$2:$L$54,8,FALSE)/VLOOKUP($A53,'Data - Total'!$A$2:$G$54,3,FALSE)</f>
        <v>0.24580150099753836</v>
      </c>
      <c r="D53" s="38">
        <f>VLOOKUP($A53,'Data - Total'!$A$2:$L$54,12,FALSE)/VLOOKUP($A53,'Data - Total'!$A$2:$L$54,8,FALSE)</f>
        <v>797.44552909756624</v>
      </c>
      <c r="E53" s="4"/>
      <c r="F53" s="4">
        <f>VLOOKUP($A53,'Data - Total'!$A$2:$L$54,11,FALSE)/VLOOKUP($A53,'Data - Total'!$A$2:$L$54,8,FALSE)</f>
        <v>0.30554091504185676</v>
      </c>
      <c r="G53" s="4"/>
      <c r="H53" s="18">
        <f>VLOOKUP($A53,'Data - Total'!$A$2:$L$54,12,FALSE)/VLOOKUP($A53,'Data - Total'!$A$2:$L$54,11,FALSE)</f>
        <v>2609.9467856484043</v>
      </c>
      <c r="I53" s="4">
        <f>VLOOKUP($A53,'Data - Total'!$A$2:$L$54,11,FALSE)/VLOOKUP($A53,'Data - Total'!$A$2:$L$54,8,FALSE)</f>
        <v>0.30554091504185676</v>
      </c>
      <c r="J53" s="4"/>
      <c r="K53" s="4">
        <f>VLOOKUP($A53,'Data - Total'!$A$2:$L$54,9,FALSE)/VLOOKUP($A53,'Data - Total'!$A$2:$L$54,8,FALSE)</f>
        <v>0.62388857926702013</v>
      </c>
      <c r="L53" s="4"/>
      <c r="M53" s="4">
        <f>VLOOKUP($A53,'Data - Total'!$A$2:$L$54,10,FALSE)/VLOOKUP($A53,'Data - Total'!$A$2:$L$54,9,FALSE)</f>
        <v>0.58456235144129898</v>
      </c>
      <c r="N53" s="4"/>
      <c r="O53" s="4">
        <f>VLOOKUP($A53,'Data - Total'!$A$2:$L$54,11,FALSE)/VLOOKUP($A53,'Data - Total'!$A$2:$L$54,10,FALSE)</f>
        <v>0.8377829120722029</v>
      </c>
    </row>
    <row r="54" spans="1:15" x14ac:dyDescent="0.25">
      <c r="A54" s="3" t="s">
        <v>24</v>
      </c>
      <c r="B54" s="3" t="s">
        <v>25</v>
      </c>
      <c r="C54" s="78">
        <f>VLOOKUP($A54,'Data - Total'!$A$2:$L$54,8,FALSE)/VLOOKUP($A54,'Data - Total'!$A$2:$G$54,3,FALSE)</f>
        <v>0.1827768007419828</v>
      </c>
      <c r="D54" s="38">
        <f>VLOOKUP($A54,'Data - Total'!$A$2:$L$54,12,FALSE)/VLOOKUP($A54,'Data - Total'!$A$2:$L$54,8,FALSE)</f>
        <v>2123.6840362182061</v>
      </c>
      <c r="E54" s="5"/>
      <c r="F54" s="4">
        <f>VLOOKUP($A54,'Data - Total'!$A$2:$L$54,11,FALSE)/VLOOKUP($A54,'Data - Total'!$A$2:$L$54,8,FALSE)</f>
        <v>0.68419115640343209</v>
      </c>
      <c r="G54" s="5"/>
      <c r="H54" s="18">
        <f>VLOOKUP($A54,'Data - Total'!$A$2:$L$54,12,FALSE)/VLOOKUP($A54,'Data - Total'!$A$2:$L$54,11,FALSE)</f>
        <v>3103.9337710556142</v>
      </c>
      <c r="I54" s="4">
        <f>VLOOKUP($A54,'Data - Total'!$A$2:$L$54,11,FALSE)/VLOOKUP($A54,'Data - Total'!$A$2:$L$54,8,FALSE)</f>
        <v>0.68419115640343209</v>
      </c>
      <c r="J54" s="5"/>
      <c r="K54" s="4">
        <f>VLOOKUP($A54,'Data - Total'!$A$2:$L$54,9,FALSE)/VLOOKUP($A54,'Data - Total'!$A$2:$L$54,8,FALSE)</f>
        <v>0.44120320026127663</v>
      </c>
      <c r="L54" s="5"/>
      <c r="M54" s="4">
        <f>VLOOKUP($A54,'Data - Total'!$A$2:$L$54,10,FALSE)/VLOOKUP($A54,'Data - Total'!$A$2:$L$54,9,FALSE)</f>
        <v>1.4888600636894687</v>
      </c>
      <c r="N54" s="5"/>
      <c r="O54" s="80">
        <f>VLOOKUP($A54,'Data - Total'!$A$2:$L$54,11,FALSE)/VLOOKUP($A54,'Data - Total'!$A$2:$L$54,10,FALSE)</f>
        <v>1.0415615077749736</v>
      </c>
    </row>
  </sheetData>
  <mergeCells count="2">
    <mergeCell ref="D1:H1"/>
    <mergeCell ref="I1:O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workbookViewId="0">
      <selection activeCell="M3" sqref="M3"/>
    </sheetView>
  </sheetViews>
  <sheetFormatPr defaultRowHeight="15" x14ac:dyDescent="0.25"/>
  <cols>
    <col min="2" max="2" width="19.140625" bestFit="1" customWidth="1"/>
    <col min="3" max="3" width="19.140625" style="50" customWidth="1"/>
    <col min="4" max="4" width="16.28515625" style="7" customWidth="1"/>
    <col min="5" max="5" width="2.5703125" bestFit="1" customWidth="1"/>
    <col min="6" max="6" width="15.85546875" style="15" customWidth="1"/>
    <col min="7" max="7" width="2.28515625" bestFit="1" customWidth="1"/>
    <col min="8" max="8" width="17.5703125" style="53" customWidth="1"/>
    <col min="9" max="9" width="19.42578125" customWidth="1"/>
    <col min="10" max="10" width="4.28515625" bestFit="1" customWidth="1"/>
    <col min="11" max="11" width="45.140625" bestFit="1" customWidth="1"/>
    <col min="12" max="12" width="4" bestFit="1" customWidth="1"/>
    <col min="13" max="13" width="29.5703125" customWidth="1"/>
    <col min="14" max="14" width="2" bestFit="1" customWidth="1"/>
    <col min="15" max="15" width="18.5703125" bestFit="1" customWidth="1"/>
  </cols>
  <sheetData>
    <row r="1" spans="1:15" x14ac:dyDescent="0.25">
      <c r="A1" s="1"/>
      <c r="B1" s="1"/>
      <c r="C1" s="56"/>
      <c r="D1" s="133" t="s">
        <v>111</v>
      </c>
      <c r="E1" s="134"/>
      <c r="F1" s="134"/>
      <c r="G1" s="134"/>
      <c r="H1" s="135"/>
      <c r="I1" s="133" t="s">
        <v>112</v>
      </c>
      <c r="J1" s="134"/>
      <c r="K1" s="134"/>
      <c r="L1" s="134"/>
      <c r="M1" s="134"/>
      <c r="N1" s="134"/>
      <c r="O1" s="135"/>
    </row>
    <row r="2" spans="1:15" s="11" customFormat="1" ht="45.75" customHeight="1" x14ac:dyDescent="0.25">
      <c r="A2" s="9" t="s">
        <v>0</v>
      </c>
      <c r="B2" s="9" t="s">
        <v>1</v>
      </c>
      <c r="C2" s="57" t="s">
        <v>184</v>
      </c>
      <c r="D2" s="81" t="s">
        <v>113</v>
      </c>
      <c r="E2" s="82" t="s">
        <v>114</v>
      </c>
      <c r="F2" s="83" t="s">
        <v>115</v>
      </c>
      <c r="G2" s="82" t="s">
        <v>116</v>
      </c>
      <c r="H2" s="84" t="s">
        <v>117</v>
      </c>
      <c r="I2" s="92" t="s">
        <v>118</v>
      </c>
      <c r="J2" s="90" t="s">
        <v>114</v>
      </c>
      <c r="K2" s="90" t="s">
        <v>119</v>
      </c>
      <c r="L2" s="90" t="s">
        <v>116</v>
      </c>
      <c r="M2" s="90" t="s">
        <v>120</v>
      </c>
      <c r="N2" s="90" t="s">
        <v>116</v>
      </c>
      <c r="O2" s="84" t="s">
        <v>121</v>
      </c>
    </row>
    <row r="3" spans="1:15" x14ac:dyDescent="0.25">
      <c r="A3" s="3" t="s">
        <v>56</v>
      </c>
      <c r="B3" s="3" t="s">
        <v>57</v>
      </c>
      <c r="C3" s="89">
        <f>VLOOKUP($A3,'Data - Total'!$A$3:$AA$54,13,FALSE)/VLOOKUP($A3,'Data - Total'!$A$3:$AA$54,3,FALSE)</f>
        <v>0.52827572460387295</v>
      </c>
      <c r="D3" s="87">
        <f>VLOOKUP($A3,'Data - Total'!$A$3:$AA$54,17,FALSE)/VLOOKUP($A3,'Data - Total'!$A$3:$AA$54,13,FALSE)</f>
        <v>299.76024383879485</v>
      </c>
      <c r="E3" s="68"/>
      <c r="F3" s="85">
        <f>VLOOKUP($A3,'Data - Total'!$A$3:$AA$54,16,FALSE)/VLOOKUP($A3,'Data - Total'!$A$3:$AA$54,13,FALSE)</f>
        <v>3.8504669904175094E-2</v>
      </c>
      <c r="G3" s="68"/>
      <c r="H3" s="87">
        <f>VLOOKUP($A3,'Data - Total'!$A$3:$AA$54,17,FALSE)/VLOOKUP($A3,'Data - Total'!$A$3:$AA$54,16,FALSE)</f>
        <v>7785.0360640617137</v>
      </c>
      <c r="I3" s="93">
        <f>VLOOKUP($A3,'Data - Total'!$A$3:$AA$54,16,FALSE)/VLOOKUP($A3,'Data - Total'!$A$3:$AA$54,13,FALSE)</f>
        <v>3.8504669904175094E-2</v>
      </c>
      <c r="J3" s="68"/>
      <c r="K3" s="85">
        <f>VLOOKUP($A3,'Data - Total'!$A$3:$AA$54,14,FALSE)/VLOOKUP($A3,'Data - Total'!$A$3:$AA$54,13,FALSE)</f>
        <v>0.57996551889910219</v>
      </c>
      <c r="L3" s="68"/>
      <c r="M3" s="85">
        <f>VLOOKUP($A3,'Data - Total'!$A$3:$AA$54,15,FALSE)/VLOOKUP($A3,'Data - Total'!$A$3:$AA$54,14,FALSE)</f>
        <v>8.0657145549108314E-2</v>
      </c>
      <c r="N3" s="68"/>
      <c r="O3" s="98">
        <f>VLOOKUP($A3,'Data - Total'!$A$3:$AA$54,16,FALSE)/VLOOKUP($A3,'Data - Total'!$A$3:$AA$54,15,FALSE)</f>
        <v>0.82312990903192851</v>
      </c>
    </row>
    <row r="4" spans="1:15" x14ac:dyDescent="0.25">
      <c r="A4" s="3" t="s">
        <v>32</v>
      </c>
      <c r="B4" s="3" t="s">
        <v>33</v>
      </c>
      <c r="C4" s="78">
        <f>VLOOKUP($A4,'Data - Total'!$A$3:$AA$54,13,FALSE)/VLOOKUP($A4,'Data - Total'!$A$3:$AA$54,3,FALSE)</f>
        <v>0.54643989551422256</v>
      </c>
      <c r="D4" s="38">
        <f>VLOOKUP($A4,'Data - Total'!$A$3:$AA$54,17,FALSE)/VLOOKUP($A4,'Data - Total'!$A$3:$AA$54,13,FALSE)</f>
        <v>235.12392857157559</v>
      </c>
      <c r="E4" s="4"/>
      <c r="F4" s="58">
        <f>VLOOKUP($A4,'Data - Total'!$A$3:$AA$54,16,FALSE)/VLOOKUP($A4,'Data - Total'!$A$3:$AA$54,13,FALSE)</f>
        <v>2.0239156483187453E-2</v>
      </c>
      <c r="G4" s="4"/>
      <c r="H4" s="38">
        <f>VLOOKUP($A4,'Data - Total'!$A$3:$AA$54,17,FALSE)/VLOOKUP($A4,'Data - Total'!$A$3:$AA$54,16,FALSE)</f>
        <v>11617.279048506376</v>
      </c>
      <c r="I4" s="14">
        <f>VLOOKUP($A4,'Data - Total'!$A$3:$AA$54,16,FALSE)/VLOOKUP($A4,'Data - Total'!$A$3:$AA$54,13,FALSE)</f>
        <v>2.0239156483187453E-2</v>
      </c>
      <c r="J4" s="4"/>
      <c r="K4" s="58">
        <f>VLOOKUP($A4,'Data - Total'!$A$3:$AA$54,14,FALSE)/VLOOKUP($A4,'Data - Total'!$A$3:$AA$54,13,FALSE)</f>
        <v>0.5671809113131635</v>
      </c>
      <c r="L4" s="4"/>
      <c r="M4" s="58">
        <f>VLOOKUP($A4,'Data - Total'!$A$3:$AA$54,15,FALSE)/VLOOKUP($A4,'Data - Total'!$A$3:$AA$54,14,FALSE)</f>
        <v>6.2731799435935667E-2</v>
      </c>
      <c r="N4" s="4"/>
      <c r="O4" s="99">
        <f>VLOOKUP($A4,'Data - Total'!$A$3:$AA$54,16,FALSE)/VLOOKUP($A4,'Data - Total'!$A$3:$AA$54,15,FALSE)</f>
        <v>0.56883073865518385</v>
      </c>
    </row>
    <row r="5" spans="1:15" x14ac:dyDescent="0.25">
      <c r="A5" s="3" t="s">
        <v>80</v>
      </c>
      <c r="B5" s="3" t="s">
        <v>81</v>
      </c>
      <c r="C5" s="78">
        <f>VLOOKUP($A5,'Data - Total'!$A$3:$AA$54,13,FALSE)/VLOOKUP($A5,'Data - Total'!$A$3:$AA$54,3,FALSE)</f>
        <v>0.54221353677684503</v>
      </c>
      <c r="D5" s="38">
        <f>VLOOKUP($A5,'Data - Total'!$A$3:$AA$54,17,FALSE)/VLOOKUP($A5,'Data - Total'!$A$3:$AA$54,13,FALSE)</f>
        <v>278.89134906142255</v>
      </c>
      <c r="E5" s="4"/>
      <c r="F5" s="58">
        <f>VLOOKUP($A5,'Data - Total'!$A$3:$AA$54,16,FALSE)/VLOOKUP($A5,'Data - Total'!$A$3:$AA$54,13,FALSE)</f>
        <v>4.1592171946893464E-2</v>
      </c>
      <c r="G5" s="4"/>
      <c r="H5" s="38">
        <f>VLOOKUP($A5,'Data - Total'!$A$3:$AA$54,17,FALSE)/VLOOKUP($A5,'Data - Total'!$A$3:$AA$54,16,FALSE)</f>
        <v>6705.3807485101306</v>
      </c>
      <c r="I5" s="14">
        <f>VLOOKUP($A5,'Data - Total'!$A$3:$AA$54,16,FALSE)/VLOOKUP($A5,'Data - Total'!$A$3:$AA$54,13,FALSE)</f>
        <v>4.1592171946893464E-2</v>
      </c>
      <c r="J5" s="4"/>
      <c r="K5" s="58">
        <f>VLOOKUP($A5,'Data - Total'!$A$3:$AA$54,14,FALSE)/VLOOKUP($A5,'Data - Total'!$A$3:$AA$54,13,FALSE)</f>
        <v>0.62875645760553012</v>
      </c>
      <c r="L5" s="4"/>
      <c r="M5" s="58">
        <f>VLOOKUP($A5,'Data - Total'!$A$3:$AA$54,15,FALSE)/VLOOKUP($A5,'Data - Total'!$A$3:$AA$54,14,FALSE)</f>
        <v>6.5608235841250043E-2</v>
      </c>
      <c r="N5" s="4"/>
      <c r="O5" s="100">
        <f>VLOOKUP($A5,'Data - Total'!$A$3:$AA$54,16,FALSE)/VLOOKUP($A5,'Data - Total'!$A$3:$AA$54,15,FALSE)</f>
        <v>1.0082559215507192</v>
      </c>
    </row>
    <row r="6" spans="1:15" x14ac:dyDescent="0.25">
      <c r="A6" s="3" t="s">
        <v>92</v>
      </c>
      <c r="B6" s="3" t="s">
        <v>93</v>
      </c>
      <c r="C6" s="78">
        <f>VLOOKUP($A6,'Data - Total'!$A$3:$AA$54,13,FALSE)/VLOOKUP($A6,'Data - Total'!$A$3:$AA$54,3,FALSE)</f>
        <v>0.5562109188680574</v>
      </c>
      <c r="D6" s="38">
        <f>VLOOKUP($A6,'Data - Total'!$A$3:$AA$54,17,FALSE)/VLOOKUP($A6,'Data - Total'!$A$3:$AA$54,13,FALSE)</f>
        <v>426.67098623644756</v>
      </c>
      <c r="E6" s="4"/>
      <c r="F6" s="58">
        <f>VLOOKUP($A6,'Data - Total'!$A$3:$AA$54,16,FALSE)/VLOOKUP($A6,'Data - Total'!$A$3:$AA$54,13,FALSE)</f>
        <v>6.722302071778298E-2</v>
      </c>
      <c r="G6" s="4"/>
      <c r="H6" s="38">
        <f>VLOOKUP($A6,'Data - Total'!$A$3:$AA$54,17,FALSE)/VLOOKUP($A6,'Data - Total'!$A$3:$AA$54,16,FALSE)</f>
        <v>6347.0963024364246</v>
      </c>
      <c r="I6" s="14">
        <f>VLOOKUP($A6,'Data - Total'!$A$3:$AA$54,16,FALSE)/VLOOKUP($A6,'Data - Total'!$A$3:$AA$54,13,FALSE)</f>
        <v>6.722302071778298E-2</v>
      </c>
      <c r="J6" s="4"/>
      <c r="K6" s="58">
        <f>VLOOKUP($A6,'Data - Total'!$A$3:$AA$54,14,FALSE)/VLOOKUP($A6,'Data - Total'!$A$3:$AA$54,13,FALSE)</f>
        <v>0.59077374081874978</v>
      </c>
      <c r="L6" s="4"/>
      <c r="M6" s="58">
        <f>VLOOKUP($A6,'Data - Total'!$A$3:$AA$54,15,FALSE)/VLOOKUP($A6,'Data - Total'!$A$3:$AA$54,14,FALSE)</f>
        <v>0.11886073615198575</v>
      </c>
      <c r="N6" s="4"/>
      <c r="O6" s="99">
        <f>VLOOKUP($A6,'Data - Total'!$A$3:$AA$54,16,FALSE)/VLOOKUP($A6,'Data - Total'!$A$3:$AA$54,15,FALSE)</f>
        <v>0.95732284994777206</v>
      </c>
    </row>
    <row r="7" spans="1:15" x14ac:dyDescent="0.25">
      <c r="A7" s="3" t="s">
        <v>42</v>
      </c>
      <c r="B7" s="3" t="s">
        <v>43</v>
      </c>
      <c r="C7" s="78">
        <f>VLOOKUP($A7,'Data - Total'!$A$3:$AA$54,13,FALSE)/VLOOKUP($A7,'Data - Total'!$A$3:$AA$54,3,FALSE)</f>
        <v>0.54766816051748424</v>
      </c>
      <c r="D7" s="38">
        <f>VLOOKUP($A7,'Data - Total'!$A$3:$AA$54,17,FALSE)/VLOOKUP($A7,'Data - Total'!$A$3:$AA$54,13,FALSE)</f>
        <v>306.88914984045863</v>
      </c>
      <c r="E7" s="4"/>
      <c r="F7" s="58">
        <f>VLOOKUP($A7,'Data - Total'!$A$3:$AA$54,16,FALSE)/VLOOKUP($A7,'Data - Total'!$A$3:$AA$54,13,FALSE)</f>
        <v>3.8645249598403965E-2</v>
      </c>
      <c r="G7" s="4"/>
      <c r="H7" s="38">
        <f>VLOOKUP($A7,'Data - Total'!$A$3:$AA$54,17,FALSE)/VLOOKUP($A7,'Data - Total'!$A$3:$AA$54,16,FALSE)</f>
        <v>7941.1868995441309</v>
      </c>
      <c r="I7" s="14">
        <f>VLOOKUP($A7,'Data - Total'!$A$3:$AA$54,16,FALSE)/VLOOKUP($A7,'Data - Total'!$A$3:$AA$54,13,FALSE)</f>
        <v>3.8645249598403965E-2</v>
      </c>
      <c r="J7" s="4"/>
      <c r="K7" s="58">
        <f>VLOOKUP($A7,'Data - Total'!$A$3:$AA$54,14,FALSE)/VLOOKUP($A7,'Data - Total'!$A$3:$AA$54,13,FALSE)</f>
        <v>0.59694867089654324</v>
      </c>
      <c r="L7" s="4"/>
      <c r="M7" s="58">
        <f>VLOOKUP($A7,'Data - Total'!$A$3:$AA$54,15,FALSE)/VLOOKUP($A7,'Data - Total'!$A$3:$AA$54,14,FALSE)</f>
        <v>7.9186063223924061E-2</v>
      </c>
      <c r="N7" s="4"/>
      <c r="O7" s="99">
        <f>VLOOKUP($A7,'Data - Total'!$A$3:$AA$54,16,FALSE)/VLOOKUP($A7,'Data - Total'!$A$3:$AA$54,15,FALSE)</f>
        <v>0.81754256771319778</v>
      </c>
    </row>
    <row r="8" spans="1:15" x14ac:dyDescent="0.25">
      <c r="A8" s="3" t="s">
        <v>90</v>
      </c>
      <c r="B8" s="3" t="s">
        <v>91</v>
      </c>
      <c r="C8" s="78">
        <f>VLOOKUP($A8,'Data - Total'!$A$3:$AA$54,13,FALSE)/VLOOKUP($A8,'Data - Total'!$A$3:$AA$54,3,FALSE)</f>
        <v>0.56788438833975718</v>
      </c>
      <c r="D8" s="38">
        <f>VLOOKUP($A8,'Data - Total'!$A$3:$AA$54,17,FALSE)/VLOOKUP($A8,'Data - Total'!$A$3:$AA$54,13,FALSE)</f>
        <v>210.79303613176194</v>
      </c>
      <c r="E8" s="4"/>
      <c r="F8" s="58">
        <f>VLOOKUP($A8,'Data - Total'!$A$3:$AA$54,16,FALSE)/VLOOKUP($A8,'Data - Total'!$A$3:$AA$54,13,FALSE)</f>
        <v>3.0830398933841367E-2</v>
      </c>
      <c r="G8" s="4"/>
      <c r="H8" s="38">
        <f>VLOOKUP($A8,'Data - Total'!$A$3:$AA$54,17,FALSE)/VLOOKUP($A8,'Data - Total'!$A$3:$AA$54,16,FALSE)</f>
        <v>6837.1815941824343</v>
      </c>
      <c r="I8" s="14">
        <f>VLOOKUP($A8,'Data - Total'!$A$3:$AA$54,16,FALSE)/VLOOKUP($A8,'Data - Total'!$A$3:$AA$54,13,FALSE)</f>
        <v>3.0830398933841367E-2</v>
      </c>
      <c r="J8" s="4"/>
      <c r="K8" s="58">
        <f>VLOOKUP($A8,'Data - Total'!$A$3:$AA$54,14,FALSE)/VLOOKUP($A8,'Data - Total'!$A$3:$AA$54,13,FALSE)</f>
        <v>0.63803628240111321</v>
      </c>
      <c r="L8" s="4"/>
      <c r="M8" s="58">
        <f>VLOOKUP($A8,'Data - Total'!$A$3:$AA$54,15,FALSE)/VLOOKUP($A8,'Data - Total'!$A$3:$AA$54,14,FALSE)</f>
        <v>5.0497310751649739E-2</v>
      </c>
      <c r="N8" s="4"/>
      <c r="O8" s="99">
        <f>VLOOKUP($A8,'Data - Total'!$A$3:$AA$54,16,FALSE)/VLOOKUP($A8,'Data - Total'!$A$3:$AA$54,15,FALSE)</f>
        <v>0.95689771652479394</v>
      </c>
    </row>
    <row r="9" spans="1:15" x14ac:dyDescent="0.25">
      <c r="A9" s="3" t="s">
        <v>14</v>
      </c>
      <c r="B9" s="3" t="s">
        <v>15</v>
      </c>
      <c r="C9" s="78">
        <f>VLOOKUP($A9,'Data - Total'!$A$3:$AA$54,13,FALSE)/VLOOKUP($A9,'Data - Total'!$A$3:$AA$54,3,FALSE)</f>
        <v>0.5198886794571278</v>
      </c>
      <c r="D9" s="38">
        <f>VLOOKUP($A9,'Data - Total'!$A$3:$AA$54,17,FALSE)/VLOOKUP($A9,'Data - Total'!$A$3:$AA$54,13,FALSE)</f>
        <v>124.16682851798218</v>
      </c>
      <c r="E9" s="4"/>
      <c r="F9" s="58">
        <f>VLOOKUP($A9,'Data - Total'!$A$3:$AA$54,16,FALSE)/VLOOKUP($A9,'Data - Total'!$A$3:$AA$54,13,FALSE)</f>
        <v>1.9746370489452776E-2</v>
      </c>
      <c r="G9" s="4"/>
      <c r="H9" s="38">
        <f>VLOOKUP($A9,'Data - Total'!$A$3:$AA$54,17,FALSE)/VLOOKUP($A9,'Data - Total'!$A$3:$AA$54,16,FALSE)</f>
        <v>6288.0836042402834</v>
      </c>
      <c r="I9" s="14">
        <f>VLOOKUP($A9,'Data - Total'!$A$3:$AA$54,16,FALSE)/VLOOKUP($A9,'Data - Total'!$A$3:$AA$54,13,FALSE)</f>
        <v>1.9746370489452776E-2</v>
      </c>
      <c r="J9" s="4"/>
      <c r="K9" s="58">
        <f>VLOOKUP($A9,'Data - Total'!$A$3:$AA$54,14,FALSE)/VLOOKUP($A9,'Data - Total'!$A$3:$AA$54,13,FALSE)</f>
        <v>0.58028660871183468</v>
      </c>
      <c r="L9" s="4"/>
      <c r="M9" s="58">
        <f>VLOOKUP($A9,'Data - Total'!$A$3:$AA$54,15,FALSE)/VLOOKUP($A9,'Data - Total'!$A$3:$AA$54,14,FALSE)</f>
        <v>6.5836822305297471E-2</v>
      </c>
      <c r="N9" s="4"/>
      <c r="O9" s="99">
        <f>VLOOKUP($A9,'Data - Total'!$A$3:$AA$54,16,FALSE)/VLOOKUP($A9,'Data - Total'!$A$3:$AA$54,15,FALSE)</f>
        <v>0.51686350907098499</v>
      </c>
    </row>
    <row r="10" spans="1:15" x14ac:dyDescent="0.25">
      <c r="A10" s="3" t="s">
        <v>44</v>
      </c>
      <c r="B10" s="3" t="s">
        <v>45</v>
      </c>
      <c r="C10" s="78">
        <f>VLOOKUP($A10,'Data - Total'!$A$3:$AA$54,13,FALSE)/VLOOKUP($A10,'Data - Total'!$A$3:$AA$54,3,FALSE)</f>
        <v>0.52917843450667257</v>
      </c>
      <c r="D10" s="38">
        <f>VLOOKUP($A10,'Data - Total'!$A$3:$AA$54,17,FALSE)/VLOOKUP($A10,'Data - Total'!$A$3:$AA$54,13,FALSE)</f>
        <v>310.04122319119688</v>
      </c>
      <c r="E10" s="4"/>
      <c r="F10" s="58">
        <f>VLOOKUP($A10,'Data - Total'!$A$3:$AA$54,16,FALSE)/VLOOKUP($A10,'Data - Total'!$A$3:$AA$54,13,FALSE)</f>
        <v>4.3967817020091518E-2</v>
      </c>
      <c r="G10" s="4"/>
      <c r="H10" s="38">
        <f>VLOOKUP($A10,'Data - Total'!$A$3:$AA$54,17,FALSE)/VLOOKUP($A10,'Data - Total'!$A$3:$AA$54,16,FALSE)</f>
        <v>7051.5491603670143</v>
      </c>
      <c r="I10" s="14">
        <f>VLOOKUP($A10,'Data - Total'!$A$3:$AA$54,16,FALSE)/VLOOKUP($A10,'Data - Total'!$A$3:$AA$54,13,FALSE)</f>
        <v>4.3967817020091518E-2</v>
      </c>
      <c r="J10" s="4"/>
      <c r="K10" s="58">
        <f>VLOOKUP($A10,'Data - Total'!$A$3:$AA$54,14,FALSE)/VLOOKUP($A10,'Data - Total'!$A$3:$AA$54,13,FALSE)</f>
        <v>0.5935644009290546</v>
      </c>
      <c r="L10" s="4"/>
      <c r="M10" s="58">
        <f>VLOOKUP($A10,'Data - Total'!$A$3:$AA$54,15,FALSE)/VLOOKUP($A10,'Data - Total'!$A$3:$AA$54,14,FALSE)</f>
        <v>0.10264195250975992</v>
      </c>
      <c r="N10" s="4"/>
      <c r="O10" s="99">
        <f>VLOOKUP($A10,'Data - Total'!$A$3:$AA$54,16,FALSE)/VLOOKUP($A10,'Data - Total'!$A$3:$AA$54,15,FALSE)</f>
        <v>0.72167581712048756</v>
      </c>
    </row>
    <row r="11" spans="1:15" x14ac:dyDescent="0.25">
      <c r="A11" s="3" t="s">
        <v>40</v>
      </c>
      <c r="B11" s="3" t="s">
        <v>41</v>
      </c>
      <c r="C11" s="78">
        <f>VLOOKUP($A11,'Data - Total'!$A$3:$AA$54,13,FALSE)/VLOOKUP($A11,'Data - Total'!$A$3:$AA$54,3,FALSE)</f>
        <v>0.5484377026263072</v>
      </c>
      <c r="D11" s="38">
        <f>VLOOKUP($A11,'Data - Total'!$A$3:$AA$54,17,FALSE)/VLOOKUP($A11,'Data - Total'!$A$3:$AA$54,13,FALSE)</f>
        <v>149.07480080512937</v>
      </c>
      <c r="E11" s="4"/>
      <c r="F11" s="58">
        <f>VLOOKUP($A11,'Data - Total'!$A$3:$AA$54,16,FALSE)/VLOOKUP($A11,'Data - Total'!$A$3:$AA$54,13,FALSE)</f>
        <v>2.2646198663390318E-2</v>
      </c>
      <c r="G11" s="4"/>
      <c r="H11" s="38">
        <f>VLOOKUP($A11,'Data - Total'!$A$3:$AA$54,17,FALSE)/VLOOKUP($A11,'Data - Total'!$A$3:$AA$54,16,FALSE)</f>
        <v>6582.7736928812974</v>
      </c>
      <c r="I11" s="14">
        <f>VLOOKUP($A11,'Data - Total'!$A$3:$AA$54,16,FALSE)/VLOOKUP($A11,'Data - Total'!$A$3:$AA$54,13,FALSE)</f>
        <v>2.2646198663390318E-2</v>
      </c>
      <c r="J11" s="4"/>
      <c r="K11" s="58">
        <f>VLOOKUP($A11,'Data - Total'!$A$3:$AA$54,14,FALSE)/VLOOKUP($A11,'Data - Total'!$A$3:$AA$54,13,FALSE)</f>
        <v>0.64445876888884246</v>
      </c>
      <c r="L11" s="4"/>
      <c r="M11" s="58">
        <f>VLOOKUP($A11,'Data - Total'!$A$3:$AA$54,15,FALSE)/VLOOKUP($A11,'Data - Total'!$A$3:$AA$54,14,FALSE)</f>
        <v>5.6439718727026043E-2</v>
      </c>
      <c r="N11" s="4"/>
      <c r="O11" s="99">
        <f>VLOOKUP($A11,'Data - Total'!$A$3:$AA$54,16,FALSE)/VLOOKUP($A11,'Data - Total'!$A$3:$AA$54,15,FALSE)</f>
        <v>0.62260891472170732</v>
      </c>
    </row>
    <row r="12" spans="1:15" x14ac:dyDescent="0.25">
      <c r="A12" s="3" t="s">
        <v>26</v>
      </c>
      <c r="B12" s="3" t="s">
        <v>27</v>
      </c>
      <c r="C12" s="78">
        <f>VLOOKUP($A12,'Data - Total'!$A$3:$AA$54,13,FALSE)/VLOOKUP($A12,'Data - Total'!$A$3:$AA$54,3,FALSE)</f>
        <v>0.55571124921742043</v>
      </c>
      <c r="D12" s="38">
        <f>VLOOKUP($A12,'Data - Total'!$A$3:$AA$54,17,FALSE)/VLOOKUP($A12,'Data - Total'!$A$3:$AA$54,13,FALSE)</f>
        <v>224.16805349046044</v>
      </c>
      <c r="E12" s="4"/>
      <c r="F12" s="58">
        <f>VLOOKUP($A12,'Data - Total'!$A$3:$AA$54,16,FALSE)/VLOOKUP($A12,'Data - Total'!$A$3:$AA$54,13,FALSE)</f>
        <v>3.8700948359152547E-2</v>
      </c>
      <c r="G12" s="4"/>
      <c r="H12" s="38">
        <f>VLOOKUP($A12,'Data - Total'!$A$3:$AA$54,17,FALSE)/VLOOKUP($A12,'Data - Total'!$A$3:$AA$54,16,FALSE)</f>
        <v>5792.3142195414966</v>
      </c>
      <c r="I12" s="14">
        <f>VLOOKUP($A12,'Data - Total'!$A$3:$AA$54,16,FALSE)/VLOOKUP($A12,'Data - Total'!$A$3:$AA$54,13,FALSE)</f>
        <v>3.8700948359152547E-2</v>
      </c>
      <c r="J12" s="4"/>
      <c r="K12" s="58">
        <f>VLOOKUP($A12,'Data - Total'!$A$3:$AA$54,14,FALSE)/VLOOKUP($A12,'Data - Total'!$A$3:$AA$54,13,FALSE)</f>
        <v>0.61835966453761049</v>
      </c>
      <c r="L12" s="4"/>
      <c r="M12" s="58">
        <f>VLOOKUP($A12,'Data - Total'!$A$3:$AA$54,15,FALSE)/VLOOKUP($A12,'Data - Total'!$A$3:$AA$54,14,FALSE)</f>
        <v>5.9229755583749162E-2</v>
      </c>
      <c r="N12" s="4"/>
      <c r="O12" s="100">
        <f>VLOOKUP($A12,'Data - Total'!$A$3:$AA$54,16,FALSE)/VLOOKUP($A12,'Data - Total'!$A$3:$AA$54,15,FALSE)</f>
        <v>1.0566727652969614</v>
      </c>
    </row>
    <row r="13" spans="1:15" x14ac:dyDescent="0.25">
      <c r="A13" s="3" t="s">
        <v>8</v>
      </c>
      <c r="B13" s="3" t="s">
        <v>9</v>
      </c>
      <c r="C13" s="78">
        <f>VLOOKUP($A13,'Data - Total'!$A$3:$AA$54,13,FALSE)/VLOOKUP($A13,'Data - Total'!$A$3:$AA$54,3,FALSE)</f>
        <v>0.52842147166412823</v>
      </c>
      <c r="D13" s="38">
        <f>VLOOKUP($A13,'Data - Total'!$A$3:$AA$54,17,FALSE)/VLOOKUP($A13,'Data - Total'!$A$3:$AA$54,13,FALSE)</f>
        <v>176.82873071298224</v>
      </c>
      <c r="E13" s="4"/>
      <c r="F13" s="58">
        <f>VLOOKUP($A13,'Data - Total'!$A$3:$AA$54,16,FALSE)/VLOOKUP($A13,'Data - Total'!$A$3:$AA$54,13,FALSE)</f>
        <v>1.959124560528229E-2</v>
      </c>
      <c r="G13" s="4"/>
      <c r="H13" s="38">
        <f>VLOOKUP($A13,'Data - Total'!$A$3:$AA$54,17,FALSE)/VLOOKUP($A13,'Data - Total'!$A$3:$AA$54,16,FALSE)</f>
        <v>9025.9054618408118</v>
      </c>
      <c r="I13" s="14">
        <f>VLOOKUP($A13,'Data - Total'!$A$3:$AA$54,16,FALSE)/VLOOKUP($A13,'Data - Total'!$A$3:$AA$54,13,FALSE)</f>
        <v>1.959124560528229E-2</v>
      </c>
      <c r="J13" s="4"/>
      <c r="K13" s="58">
        <f>VLOOKUP($A13,'Data - Total'!$A$3:$AA$54,14,FALSE)/VLOOKUP($A13,'Data - Total'!$A$3:$AA$54,13,FALSE)</f>
        <v>0.62631061056544601</v>
      </c>
      <c r="L13" s="4"/>
      <c r="M13" s="58">
        <f>VLOOKUP($A13,'Data - Total'!$A$3:$AA$54,15,FALSE)/VLOOKUP($A13,'Data - Total'!$A$3:$AA$54,14,FALSE)</f>
        <v>4.0134682856979673E-2</v>
      </c>
      <c r="N13" s="4"/>
      <c r="O13" s="99">
        <f>VLOOKUP($A13,'Data - Total'!$A$3:$AA$54,16,FALSE)/VLOOKUP($A13,'Data - Total'!$A$3:$AA$54,15,FALSE)</f>
        <v>0.77938571998404471</v>
      </c>
    </row>
    <row r="14" spans="1:15" x14ac:dyDescent="0.25">
      <c r="A14" s="3" t="s">
        <v>74</v>
      </c>
      <c r="B14" s="3" t="s">
        <v>75</v>
      </c>
      <c r="C14" s="78">
        <f>VLOOKUP($A14,'Data - Total'!$A$3:$AA$54,13,FALSE)/VLOOKUP($A14,'Data - Total'!$A$3:$AA$54,3,FALSE)</f>
        <v>0.55528917436965852</v>
      </c>
      <c r="D14" s="38">
        <f>VLOOKUP($A14,'Data - Total'!$A$3:$AA$54,17,FALSE)/VLOOKUP($A14,'Data - Total'!$A$3:$AA$54,13,FALSE)</f>
        <v>277.71444336593026</v>
      </c>
      <c r="E14" s="4"/>
      <c r="F14" s="58">
        <f>VLOOKUP($A14,'Data - Total'!$A$3:$AA$54,16,FALSE)/VLOOKUP($A14,'Data - Total'!$A$3:$AA$54,13,FALSE)</f>
        <v>3.568033683719881E-2</v>
      </c>
      <c r="G14" s="4"/>
      <c r="H14" s="38">
        <f>VLOOKUP($A14,'Data - Total'!$A$3:$AA$54,17,FALSE)/VLOOKUP($A14,'Data - Total'!$A$3:$AA$54,16,FALSE)</f>
        <v>7783.4030724843633</v>
      </c>
      <c r="I14" s="14">
        <f>VLOOKUP($A14,'Data - Total'!$A$3:$AA$54,16,FALSE)/VLOOKUP($A14,'Data - Total'!$A$3:$AA$54,13,FALSE)</f>
        <v>3.568033683719881E-2</v>
      </c>
      <c r="J14" s="4"/>
      <c r="K14" s="58">
        <f>VLOOKUP($A14,'Data - Total'!$A$3:$AA$54,14,FALSE)/VLOOKUP($A14,'Data - Total'!$A$3:$AA$54,13,FALSE)</f>
        <v>0.62994918444370285</v>
      </c>
      <c r="L14" s="4"/>
      <c r="M14" s="58">
        <f>VLOOKUP($A14,'Data - Total'!$A$3:$AA$54,15,FALSE)/VLOOKUP($A14,'Data - Total'!$A$3:$AA$54,14,FALSE)</f>
        <v>0.11460109339396715</v>
      </c>
      <c r="N14" s="4"/>
      <c r="O14" s="99">
        <f>VLOOKUP($A14,'Data - Total'!$A$3:$AA$54,16,FALSE)/VLOOKUP($A14,'Data - Total'!$A$3:$AA$54,15,FALSE)</f>
        <v>0.49423633040605075</v>
      </c>
    </row>
    <row r="15" spans="1:15" x14ac:dyDescent="0.25">
      <c r="A15" s="3" t="s">
        <v>70</v>
      </c>
      <c r="B15" s="3" t="s">
        <v>71</v>
      </c>
      <c r="C15" s="78">
        <f>VLOOKUP($A15,'Data - Total'!$A$3:$AA$54,13,FALSE)/VLOOKUP($A15,'Data - Total'!$A$3:$AA$54,3,FALSE)</f>
        <v>0.53410153872501964</v>
      </c>
      <c r="D15" s="38">
        <f>VLOOKUP($A15,'Data - Total'!$A$3:$AA$54,17,FALSE)/VLOOKUP($A15,'Data - Total'!$A$3:$AA$54,13,FALSE)</f>
        <v>581.48700401136</v>
      </c>
      <c r="E15" s="4"/>
      <c r="F15" s="58">
        <f>VLOOKUP($A15,'Data - Total'!$A$3:$AA$54,16,FALSE)/VLOOKUP($A15,'Data - Total'!$A$3:$AA$54,13,FALSE)</f>
        <v>5.5801852160224083E-2</v>
      </c>
      <c r="G15" s="4"/>
      <c r="H15" s="38">
        <f>VLOOKUP($A15,'Data - Total'!$A$3:$AA$54,17,FALSE)/VLOOKUP($A15,'Data - Total'!$A$3:$AA$54,16,FALSE)</f>
        <v>10420.568162177377</v>
      </c>
      <c r="I15" s="14">
        <f>VLOOKUP($A15,'Data - Total'!$A$3:$AA$54,16,FALSE)/VLOOKUP($A15,'Data - Total'!$A$3:$AA$54,13,FALSE)</f>
        <v>5.5801852160224083E-2</v>
      </c>
      <c r="J15" s="4"/>
      <c r="K15" s="58">
        <f>VLOOKUP($A15,'Data - Total'!$A$3:$AA$54,14,FALSE)/VLOOKUP($A15,'Data - Total'!$A$3:$AA$54,13,FALSE)</f>
        <v>0.56471004097693567</v>
      </c>
      <c r="L15" s="4"/>
      <c r="M15" s="58">
        <f>VLOOKUP($A15,'Data - Total'!$A$3:$AA$54,15,FALSE)/VLOOKUP($A15,'Data - Total'!$A$3:$AA$54,14,FALSE)</f>
        <v>9.7264190963772645E-2</v>
      </c>
      <c r="N15" s="4"/>
      <c r="O15" s="100">
        <f>VLOOKUP($A15,'Data - Total'!$A$3:$AA$54,16,FALSE)/VLOOKUP($A15,'Data - Total'!$A$3:$AA$54,15,FALSE)</f>
        <v>1.0159448322260534</v>
      </c>
    </row>
    <row r="16" spans="1:15" x14ac:dyDescent="0.25">
      <c r="A16" s="3" t="s">
        <v>88</v>
      </c>
      <c r="B16" s="3" t="s">
        <v>89</v>
      </c>
      <c r="C16" s="78">
        <f>VLOOKUP($A16,'Data - Total'!$A$3:$AA$54,13,FALSE)/VLOOKUP($A16,'Data - Total'!$A$3:$AA$54,3,FALSE)</f>
        <v>0.54648620802237202</v>
      </c>
      <c r="D16" s="38">
        <f>VLOOKUP($A16,'Data - Total'!$A$3:$AA$54,17,FALSE)/VLOOKUP($A16,'Data - Total'!$A$3:$AA$54,13,FALSE)</f>
        <v>313.43152726134593</v>
      </c>
      <c r="E16" s="4"/>
      <c r="F16" s="58">
        <f>VLOOKUP($A16,'Data - Total'!$A$3:$AA$54,16,FALSE)/VLOOKUP($A16,'Data - Total'!$A$3:$AA$54,13,FALSE)</f>
        <v>4.5069468143416509E-2</v>
      </c>
      <c r="G16" s="4"/>
      <c r="H16" s="38">
        <f>VLOOKUP($A16,'Data - Total'!$A$3:$AA$54,17,FALSE)/VLOOKUP($A16,'Data - Total'!$A$3:$AA$54,16,FALSE)</f>
        <v>6954.4092746772349</v>
      </c>
      <c r="I16" s="14">
        <f>VLOOKUP($A16,'Data - Total'!$A$3:$AA$54,16,FALSE)/VLOOKUP($A16,'Data - Total'!$A$3:$AA$54,13,FALSE)</f>
        <v>4.5069468143416509E-2</v>
      </c>
      <c r="J16" s="4"/>
      <c r="K16" s="58">
        <f>VLOOKUP($A16,'Data - Total'!$A$3:$AA$54,14,FALSE)/VLOOKUP($A16,'Data - Total'!$A$3:$AA$54,13,FALSE)</f>
        <v>0.58957502908383963</v>
      </c>
      <c r="L16" s="4"/>
      <c r="M16" s="58">
        <f>VLOOKUP($A16,'Data - Total'!$A$3:$AA$54,15,FALSE)/VLOOKUP($A16,'Data - Total'!$A$3:$AA$54,14,FALSE)</f>
        <v>7.921258338459379E-2</v>
      </c>
      <c r="N16" s="4"/>
      <c r="O16" s="99">
        <f>VLOOKUP($A16,'Data - Total'!$A$3:$AA$54,16,FALSE)/VLOOKUP($A16,'Data - Total'!$A$3:$AA$54,15,FALSE)</f>
        <v>0.96504857699002733</v>
      </c>
    </row>
    <row r="17" spans="1:15" x14ac:dyDescent="0.25">
      <c r="A17" s="3" t="s">
        <v>12</v>
      </c>
      <c r="B17" s="3" t="s">
        <v>13</v>
      </c>
      <c r="C17" s="78">
        <f>VLOOKUP($A17,'Data - Total'!$A$3:$AA$54,13,FALSE)/VLOOKUP($A17,'Data - Total'!$A$3:$AA$54,3,FALSE)</f>
        <v>0.56131467856183614</v>
      </c>
      <c r="D17" s="38">
        <f>VLOOKUP($A17,'Data - Total'!$A$3:$AA$54,17,FALSE)/VLOOKUP($A17,'Data - Total'!$A$3:$AA$54,13,FALSE)</f>
        <v>760.3145750559828</v>
      </c>
      <c r="E17" s="4"/>
      <c r="F17" s="58">
        <f>VLOOKUP($A17,'Data - Total'!$A$3:$AA$54,16,FALSE)/VLOOKUP($A17,'Data - Total'!$A$3:$AA$54,13,FALSE)</f>
        <v>0.10804405124612716</v>
      </c>
      <c r="G17" s="4"/>
      <c r="H17" s="38">
        <f>VLOOKUP($A17,'Data - Total'!$A$3:$AA$54,17,FALSE)/VLOOKUP($A17,'Data - Total'!$A$3:$AA$54,16,FALSE)</f>
        <v>7037.0794716311266</v>
      </c>
      <c r="I17" s="14">
        <f>VLOOKUP($A17,'Data - Total'!$A$3:$AA$54,16,FALSE)/VLOOKUP($A17,'Data - Total'!$A$3:$AA$54,13,FALSE)</f>
        <v>0.10804405124612716</v>
      </c>
      <c r="J17" s="4"/>
      <c r="K17" s="58">
        <f>VLOOKUP($A17,'Data - Total'!$A$3:$AA$54,14,FALSE)/VLOOKUP($A17,'Data - Total'!$A$3:$AA$54,13,FALSE)</f>
        <v>0.60979788051252959</v>
      </c>
      <c r="L17" s="4"/>
      <c r="M17" s="58">
        <f>VLOOKUP($A17,'Data - Total'!$A$3:$AA$54,15,FALSE)/VLOOKUP($A17,'Data - Total'!$A$3:$AA$54,14,FALSE)</f>
        <v>0.24647178283684443</v>
      </c>
      <c r="N17" s="4"/>
      <c r="O17" s="99">
        <f>VLOOKUP($A17,'Data - Total'!$A$3:$AA$54,16,FALSE)/VLOOKUP($A17,'Data - Total'!$A$3:$AA$54,15,FALSE)</f>
        <v>0.71886566854744882</v>
      </c>
    </row>
    <row r="18" spans="1:15" x14ac:dyDescent="0.25">
      <c r="A18" s="3" t="s">
        <v>58</v>
      </c>
      <c r="B18" s="3" t="s">
        <v>59</v>
      </c>
      <c r="C18" s="78">
        <f>VLOOKUP($A18,'Data - Total'!$A$3:$AA$54,13,FALSE)/VLOOKUP($A18,'Data - Total'!$A$3:$AA$54,3,FALSE)</f>
        <v>0.5405016486456381</v>
      </c>
      <c r="D18" s="38">
        <f>VLOOKUP($A18,'Data - Total'!$A$3:$AA$54,17,FALSE)/VLOOKUP($A18,'Data - Total'!$A$3:$AA$54,13,FALSE)</f>
        <v>219.7422090057303</v>
      </c>
      <c r="E18" s="4"/>
      <c r="F18" s="58">
        <f>VLOOKUP($A18,'Data - Total'!$A$3:$AA$54,16,FALSE)/VLOOKUP($A18,'Data - Total'!$A$3:$AA$54,13,FALSE)</f>
        <v>3.5015561106235951E-2</v>
      </c>
      <c r="G18" s="4"/>
      <c r="H18" s="38">
        <f>VLOOKUP($A18,'Data - Total'!$A$3:$AA$54,17,FALSE)/VLOOKUP($A18,'Data - Total'!$A$3:$AA$54,16,FALSE)</f>
        <v>6275.5586962904963</v>
      </c>
      <c r="I18" s="14">
        <f>VLOOKUP($A18,'Data - Total'!$A$3:$AA$54,16,FALSE)/VLOOKUP($A18,'Data - Total'!$A$3:$AA$54,13,FALSE)</f>
        <v>3.5015561106235951E-2</v>
      </c>
      <c r="J18" s="4"/>
      <c r="K18" s="58">
        <f>VLOOKUP($A18,'Data - Total'!$A$3:$AA$54,14,FALSE)/VLOOKUP($A18,'Data - Total'!$A$3:$AA$54,13,FALSE)</f>
        <v>0.67412925543088464</v>
      </c>
      <c r="L18" s="4"/>
      <c r="M18" s="58">
        <f>VLOOKUP($A18,'Data - Total'!$A$3:$AA$54,15,FALSE)/VLOOKUP($A18,'Data - Total'!$A$3:$AA$54,14,FALSE)</f>
        <v>5.2386517615841698E-2</v>
      </c>
      <c r="N18" s="4"/>
      <c r="O18" s="99">
        <f>VLOOKUP($A18,'Data - Total'!$A$3:$AA$54,16,FALSE)/VLOOKUP($A18,'Data - Total'!$A$3:$AA$54,15,FALSE)</f>
        <v>0.99151293791740558</v>
      </c>
    </row>
    <row r="19" spans="1:15" x14ac:dyDescent="0.25">
      <c r="A19" s="3" t="s">
        <v>46</v>
      </c>
      <c r="B19" s="3" t="s">
        <v>47</v>
      </c>
      <c r="C19" s="78">
        <f>VLOOKUP($A19,'Data - Total'!$A$3:$AA$54,13,FALSE)/VLOOKUP($A19,'Data - Total'!$A$3:$AA$54,3,FALSE)</f>
        <v>0.55964986904436209</v>
      </c>
      <c r="D19" s="38">
        <f>VLOOKUP($A19,'Data - Total'!$A$3:$AA$54,17,FALSE)/VLOOKUP($A19,'Data - Total'!$A$3:$AA$54,13,FALSE)</f>
        <v>332.00362399017428</v>
      </c>
      <c r="E19" s="4"/>
      <c r="F19" s="58">
        <f>VLOOKUP($A19,'Data - Total'!$A$3:$AA$54,16,FALSE)/VLOOKUP($A19,'Data - Total'!$A$3:$AA$54,13,FALSE)</f>
        <v>0.13098578162160168</v>
      </c>
      <c r="G19" s="4"/>
      <c r="H19" s="38">
        <f>VLOOKUP($A19,'Data - Total'!$A$3:$AA$54,17,FALSE)/VLOOKUP($A19,'Data - Total'!$A$3:$AA$54,16,FALSE)</f>
        <v>2534.6539134246118</v>
      </c>
      <c r="I19" s="14">
        <f>VLOOKUP($A19,'Data - Total'!$A$3:$AA$54,16,FALSE)/VLOOKUP($A19,'Data - Total'!$A$3:$AA$54,13,FALSE)</f>
        <v>0.13098578162160168</v>
      </c>
      <c r="J19" s="4"/>
      <c r="K19" s="58">
        <f>VLOOKUP($A19,'Data - Total'!$A$3:$AA$54,14,FALSE)/VLOOKUP($A19,'Data - Total'!$A$3:$AA$54,13,FALSE)</f>
        <v>0.67693637998426159</v>
      </c>
      <c r="L19" s="4"/>
      <c r="M19" s="58">
        <f>VLOOKUP($A19,'Data - Total'!$A$3:$AA$54,15,FALSE)/VLOOKUP($A19,'Data - Total'!$A$3:$AA$54,14,FALSE)</f>
        <v>0.15603576649067544</v>
      </c>
      <c r="N19" s="4"/>
      <c r="O19" s="100">
        <f>VLOOKUP($A19,'Data - Total'!$A$3:$AA$54,16,FALSE)/VLOOKUP($A19,'Data - Total'!$A$3:$AA$54,15,FALSE)</f>
        <v>1.2400869655243814</v>
      </c>
    </row>
    <row r="20" spans="1:15" x14ac:dyDescent="0.25">
      <c r="A20" s="3" t="s">
        <v>94</v>
      </c>
      <c r="B20" s="3" t="s">
        <v>95</v>
      </c>
      <c r="C20" s="78">
        <f>VLOOKUP($A20,'Data - Total'!$A$3:$AA$54,13,FALSE)/VLOOKUP($A20,'Data - Total'!$A$3:$AA$54,3,FALSE)</f>
        <v>0.56603133952297879</v>
      </c>
      <c r="D20" s="38">
        <f>VLOOKUP($A20,'Data - Total'!$A$3:$AA$54,17,FALSE)/VLOOKUP($A20,'Data - Total'!$A$3:$AA$54,13,FALSE)</f>
        <v>154.70654132868319</v>
      </c>
      <c r="E20" s="4"/>
      <c r="F20" s="58">
        <f>VLOOKUP($A20,'Data - Total'!$A$3:$AA$54,16,FALSE)/VLOOKUP($A20,'Data - Total'!$A$3:$AA$54,13,FALSE)</f>
        <v>1.564293888917476E-2</v>
      </c>
      <c r="G20" s="4"/>
      <c r="H20" s="38">
        <f>VLOOKUP($A20,'Data - Total'!$A$3:$AA$54,17,FALSE)/VLOOKUP($A20,'Data - Total'!$A$3:$AA$54,16,FALSE)</f>
        <v>9889.8642016522444</v>
      </c>
      <c r="I20" s="14">
        <f>VLOOKUP($A20,'Data - Total'!$A$3:$AA$54,16,FALSE)/VLOOKUP($A20,'Data - Total'!$A$3:$AA$54,13,FALSE)</f>
        <v>1.564293888917476E-2</v>
      </c>
      <c r="J20" s="4"/>
      <c r="K20" s="58">
        <f>VLOOKUP($A20,'Data - Total'!$A$3:$AA$54,14,FALSE)/VLOOKUP($A20,'Data - Total'!$A$3:$AA$54,13,FALSE)</f>
        <v>0.59615429707791678</v>
      </c>
      <c r="L20" s="4"/>
      <c r="M20" s="58">
        <f>VLOOKUP($A20,'Data - Total'!$A$3:$AA$54,15,FALSE)/VLOOKUP($A20,'Data - Total'!$A$3:$AA$54,14,FALSE)</f>
        <v>6.0235186906072762E-2</v>
      </c>
      <c r="N20" s="4"/>
      <c r="O20" s="99">
        <f>VLOOKUP($A20,'Data - Total'!$A$3:$AA$54,16,FALSE)/VLOOKUP($A20,'Data - Total'!$A$3:$AA$54,15,FALSE)</f>
        <v>0.43562160191727484</v>
      </c>
    </row>
    <row r="21" spans="1:15" x14ac:dyDescent="0.25">
      <c r="A21" s="3" t="s">
        <v>104</v>
      </c>
      <c r="B21" s="3" t="s">
        <v>105</v>
      </c>
      <c r="C21" s="78">
        <f>VLOOKUP($A21,'Data - Total'!$A$3:$AA$54,13,FALSE)/VLOOKUP($A21,'Data - Total'!$A$3:$AA$54,3,FALSE)</f>
        <v>0.52587218705975025</v>
      </c>
      <c r="D21" s="38">
        <f>VLOOKUP($A21,'Data - Total'!$A$3:$AA$54,17,FALSE)/VLOOKUP($A21,'Data - Total'!$A$3:$AA$54,13,FALSE)</f>
        <v>286.45271872751988</v>
      </c>
      <c r="E21" s="4"/>
      <c r="F21" s="58">
        <f>VLOOKUP($A21,'Data - Total'!$A$3:$AA$54,16,FALSE)/VLOOKUP($A21,'Data - Total'!$A$3:$AA$54,13,FALSE)</f>
        <v>3.912584505833154E-2</v>
      </c>
      <c r="G21" s="4"/>
      <c r="H21" s="38">
        <f>VLOOKUP($A21,'Data - Total'!$A$3:$AA$54,17,FALSE)/VLOOKUP($A21,'Data - Total'!$A$3:$AA$54,16,FALSE)</f>
        <v>7321.3171063898099</v>
      </c>
      <c r="I21" s="14">
        <f>VLOOKUP($A21,'Data - Total'!$A$3:$AA$54,16,FALSE)/VLOOKUP($A21,'Data - Total'!$A$3:$AA$54,13,FALSE)</f>
        <v>3.912584505833154E-2</v>
      </c>
      <c r="J21" s="4"/>
      <c r="K21" s="58">
        <f>VLOOKUP($A21,'Data - Total'!$A$3:$AA$54,14,FALSE)/VLOOKUP($A21,'Data - Total'!$A$3:$AA$54,13,FALSE)</f>
        <v>0.63906087612885465</v>
      </c>
      <c r="L21" s="4"/>
      <c r="M21" s="58">
        <f>VLOOKUP($A21,'Data - Total'!$A$3:$AA$54,15,FALSE)/VLOOKUP($A21,'Data - Total'!$A$3:$AA$54,14,FALSE)</f>
        <v>7.3979238963012187E-2</v>
      </c>
      <c r="N21" s="4"/>
      <c r="O21" s="99">
        <f>VLOOKUP($A21,'Data - Total'!$A$3:$AA$54,16,FALSE)/VLOOKUP($A21,'Data - Total'!$A$3:$AA$54,15,FALSE)</f>
        <v>0.82758315248682401</v>
      </c>
    </row>
    <row r="22" spans="1:15" x14ac:dyDescent="0.25">
      <c r="A22" s="3" t="s">
        <v>28</v>
      </c>
      <c r="B22" s="3" t="s">
        <v>29</v>
      </c>
      <c r="C22" s="78">
        <f>VLOOKUP($A22,'Data - Total'!$A$3:$AA$54,13,FALSE)/VLOOKUP($A22,'Data - Total'!$A$3:$AA$54,3,FALSE)</f>
        <v>0.57792595250105006</v>
      </c>
      <c r="D22" s="38">
        <f>VLOOKUP($A22,'Data - Total'!$A$3:$AA$54,17,FALSE)/VLOOKUP($A22,'Data - Total'!$A$3:$AA$54,13,FALSE)</f>
        <v>222.42541243080927</v>
      </c>
      <c r="E22" s="4"/>
      <c r="F22" s="58">
        <f>VLOOKUP($A22,'Data - Total'!$A$3:$AA$54,16,FALSE)/VLOOKUP($A22,'Data - Total'!$A$3:$AA$54,13,FALSE)</f>
        <v>3.0641753357036249E-2</v>
      </c>
      <c r="G22" s="4"/>
      <c r="H22" s="38">
        <f>VLOOKUP($A22,'Data - Total'!$A$3:$AA$54,17,FALSE)/VLOOKUP($A22,'Data - Total'!$A$3:$AA$54,16,FALSE)</f>
        <v>7258.8996406021215</v>
      </c>
      <c r="I22" s="14">
        <f>VLOOKUP($A22,'Data - Total'!$A$3:$AA$54,16,FALSE)/VLOOKUP($A22,'Data - Total'!$A$3:$AA$54,13,FALSE)</f>
        <v>3.0641753357036249E-2</v>
      </c>
      <c r="J22" s="4"/>
      <c r="K22" s="58">
        <f>VLOOKUP($A22,'Data - Total'!$A$3:$AA$54,14,FALSE)/VLOOKUP($A22,'Data - Total'!$A$3:$AA$54,13,FALSE)</f>
        <v>0.6018290007494721</v>
      </c>
      <c r="L22" s="4"/>
      <c r="M22" s="58">
        <f>VLOOKUP($A22,'Data - Total'!$A$3:$AA$54,15,FALSE)/VLOOKUP($A22,'Data - Total'!$A$3:$AA$54,14,FALSE)</f>
        <v>5.7439089683093185E-2</v>
      </c>
      <c r="N22" s="4"/>
      <c r="O22" s="99">
        <f>VLOOKUP($A22,'Data - Total'!$A$3:$AA$54,16,FALSE)/VLOOKUP($A22,'Data - Total'!$A$3:$AA$54,15,FALSE)</f>
        <v>0.88640654176841149</v>
      </c>
    </row>
    <row r="23" spans="1:15" x14ac:dyDescent="0.25">
      <c r="A23" s="3" t="s">
        <v>96</v>
      </c>
      <c r="B23" s="3" t="s">
        <v>97</v>
      </c>
      <c r="C23" s="78">
        <f>VLOOKUP($A23,'Data - Total'!$A$3:$AA$54,13,FALSE)/VLOOKUP($A23,'Data - Total'!$A$3:$AA$54,3,FALSE)</f>
        <v>0.54361695379259578</v>
      </c>
      <c r="D23" s="38">
        <f>VLOOKUP($A23,'Data - Total'!$A$3:$AA$54,17,FALSE)/VLOOKUP($A23,'Data - Total'!$A$3:$AA$54,13,FALSE)</f>
        <v>177.50551765252249</v>
      </c>
      <c r="E23" s="4"/>
      <c r="F23" s="58">
        <f>VLOOKUP($A23,'Data - Total'!$A$3:$AA$54,16,FALSE)/VLOOKUP($A23,'Data - Total'!$A$3:$AA$54,13,FALSE)</f>
        <v>2.3289531845590013E-2</v>
      </c>
      <c r="G23" s="4"/>
      <c r="H23" s="38">
        <f>VLOOKUP($A23,'Data - Total'!$A$3:$AA$54,17,FALSE)/VLOOKUP($A23,'Data - Total'!$A$3:$AA$54,16,FALSE)</f>
        <v>7621.6868088799301</v>
      </c>
      <c r="I23" s="14">
        <f>VLOOKUP($A23,'Data - Total'!$A$3:$AA$54,16,FALSE)/VLOOKUP($A23,'Data - Total'!$A$3:$AA$54,13,FALSE)</f>
        <v>2.3289531845590013E-2</v>
      </c>
      <c r="J23" s="4"/>
      <c r="K23" s="58">
        <f>VLOOKUP($A23,'Data - Total'!$A$3:$AA$54,14,FALSE)/VLOOKUP($A23,'Data - Total'!$A$3:$AA$54,13,FALSE)</f>
        <v>0.64959036266958869</v>
      </c>
      <c r="L23" s="4"/>
      <c r="M23" s="58">
        <f>VLOOKUP($A23,'Data - Total'!$A$3:$AA$54,15,FALSE)/VLOOKUP($A23,'Data - Total'!$A$3:$AA$54,14,FALSE)</f>
        <v>9.0528402177939546E-2</v>
      </c>
      <c r="N23" s="4"/>
      <c r="O23" s="99">
        <f>VLOOKUP($A23,'Data - Total'!$A$3:$AA$54,16,FALSE)/VLOOKUP($A23,'Data - Total'!$A$3:$AA$54,15,FALSE)</f>
        <v>0.39603751829349415</v>
      </c>
    </row>
    <row r="24" spans="1:15" x14ac:dyDescent="0.25">
      <c r="A24" s="3" t="s">
        <v>36</v>
      </c>
      <c r="B24" s="3" t="s">
        <v>37</v>
      </c>
      <c r="C24" s="78">
        <f>VLOOKUP($A24,'Data - Total'!$A$3:$AA$54,13,FALSE)/VLOOKUP($A24,'Data - Total'!$A$3:$AA$54,3,FALSE)</f>
        <v>0.54196187545461294</v>
      </c>
      <c r="D24" s="38">
        <f>VLOOKUP($A24,'Data - Total'!$A$3:$AA$54,17,FALSE)/VLOOKUP($A24,'Data - Total'!$A$3:$AA$54,13,FALSE)</f>
        <v>262.46038737285284</v>
      </c>
      <c r="E24" s="4"/>
      <c r="F24" s="58">
        <f>VLOOKUP($A24,'Data - Total'!$A$3:$AA$54,16,FALSE)/VLOOKUP($A24,'Data - Total'!$A$3:$AA$54,13,FALSE)</f>
        <v>5.152613899153962E-2</v>
      </c>
      <c r="G24" s="4"/>
      <c r="H24" s="38">
        <f>VLOOKUP($A24,'Data - Total'!$A$3:$AA$54,17,FALSE)/VLOOKUP($A24,'Data - Total'!$A$3:$AA$54,16,FALSE)</f>
        <v>5093.7328608290982</v>
      </c>
      <c r="I24" s="14">
        <f>VLOOKUP($A24,'Data - Total'!$A$3:$AA$54,16,FALSE)/VLOOKUP($A24,'Data - Total'!$A$3:$AA$54,13,FALSE)</f>
        <v>5.152613899153962E-2</v>
      </c>
      <c r="J24" s="4"/>
      <c r="K24" s="58">
        <f>VLOOKUP($A24,'Data - Total'!$A$3:$AA$54,14,FALSE)/VLOOKUP($A24,'Data - Total'!$A$3:$AA$54,13,FALSE)</f>
        <v>0.63690451367402756</v>
      </c>
      <c r="L24" s="4"/>
      <c r="M24" s="58">
        <f>VLOOKUP($A24,'Data - Total'!$A$3:$AA$54,15,FALSE)/VLOOKUP($A24,'Data - Total'!$A$3:$AA$54,14,FALSE)</f>
        <v>5.9914714132395401E-2</v>
      </c>
      <c r="N24" s="4"/>
      <c r="O24" s="100">
        <f>VLOOKUP($A24,'Data - Total'!$A$3:$AA$54,16,FALSE)/VLOOKUP($A24,'Data - Total'!$A$3:$AA$54,15,FALSE)</f>
        <v>1.3502674000197792</v>
      </c>
    </row>
    <row r="25" spans="1:15" x14ac:dyDescent="0.25">
      <c r="A25" s="3" t="s">
        <v>38</v>
      </c>
      <c r="B25" s="3" t="s">
        <v>39</v>
      </c>
      <c r="C25" s="78">
        <f>VLOOKUP($A25,'Data - Total'!$A$3:$AA$54,13,FALSE)/VLOOKUP($A25,'Data - Total'!$A$3:$AA$54,3,FALSE)</f>
        <v>0.57915802732524879</v>
      </c>
      <c r="D25" s="38">
        <f>VLOOKUP($A25,'Data - Total'!$A$3:$AA$54,17,FALSE)/VLOOKUP($A25,'Data - Total'!$A$3:$AA$54,13,FALSE)</f>
        <v>216.65418105341644</v>
      </c>
      <c r="E25" s="4"/>
      <c r="F25" s="58">
        <f>VLOOKUP($A25,'Data - Total'!$A$3:$AA$54,16,FALSE)/VLOOKUP($A25,'Data - Total'!$A$3:$AA$54,13,FALSE)</f>
        <v>5.597085589189571E-2</v>
      </c>
      <c r="G25" s="4"/>
      <c r="H25" s="38">
        <f>VLOOKUP($A25,'Data - Total'!$A$3:$AA$54,17,FALSE)/VLOOKUP($A25,'Data - Total'!$A$3:$AA$54,16,FALSE)</f>
        <v>3870.8391644371268</v>
      </c>
      <c r="I25" s="14">
        <f>VLOOKUP($A25,'Data - Total'!$A$3:$AA$54,16,FALSE)/VLOOKUP($A25,'Data - Total'!$A$3:$AA$54,13,FALSE)</f>
        <v>5.597085589189571E-2</v>
      </c>
      <c r="J25" s="4"/>
      <c r="K25" s="58">
        <f>VLOOKUP($A25,'Data - Total'!$A$3:$AA$54,14,FALSE)/VLOOKUP($A25,'Data - Total'!$A$3:$AA$54,13,FALSE)</f>
        <v>0.68391437729792937</v>
      </c>
      <c r="L25" s="4"/>
      <c r="M25" s="58">
        <f>VLOOKUP($A25,'Data - Total'!$A$3:$AA$54,15,FALSE)/VLOOKUP($A25,'Data - Total'!$A$3:$AA$54,14,FALSE)</f>
        <v>7.3171695840537773E-2</v>
      </c>
      <c r="N25" s="4"/>
      <c r="O25" s="100">
        <f>VLOOKUP($A25,'Data - Total'!$A$3:$AA$54,16,FALSE)/VLOOKUP($A25,'Data - Total'!$A$3:$AA$54,15,FALSE)</f>
        <v>1.1184513396556486</v>
      </c>
    </row>
    <row r="26" spans="1:15" x14ac:dyDescent="0.25">
      <c r="A26" s="3" t="s">
        <v>62</v>
      </c>
      <c r="B26" s="3" t="s">
        <v>63</v>
      </c>
      <c r="C26" s="78">
        <f>VLOOKUP($A26,'Data - Total'!$A$3:$AA$54,13,FALSE)/VLOOKUP($A26,'Data - Total'!$A$3:$AA$54,3,FALSE)</f>
        <v>0.57570860315912442</v>
      </c>
      <c r="D26" s="38">
        <f>VLOOKUP($A26,'Data - Total'!$A$3:$AA$54,17,FALSE)/VLOOKUP($A26,'Data - Total'!$A$3:$AA$54,13,FALSE)</f>
        <v>182.32389738133961</v>
      </c>
      <c r="E26" s="4"/>
      <c r="F26" s="58">
        <f>VLOOKUP($A26,'Data - Total'!$A$3:$AA$54,16,FALSE)/VLOOKUP($A26,'Data - Total'!$A$3:$AA$54,13,FALSE)</f>
        <v>2.7395611270466205E-2</v>
      </c>
      <c r="G26" s="4"/>
      <c r="H26" s="38">
        <f>VLOOKUP($A26,'Data - Total'!$A$3:$AA$54,17,FALSE)/VLOOKUP($A26,'Data - Total'!$A$3:$AA$54,16,FALSE)</f>
        <v>6655.2228231495455</v>
      </c>
      <c r="I26" s="14">
        <f>VLOOKUP($A26,'Data - Total'!$A$3:$AA$54,16,FALSE)/VLOOKUP($A26,'Data - Total'!$A$3:$AA$54,13,FALSE)</f>
        <v>2.7395611270466205E-2</v>
      </c>
      <c r="J26" s="4"/>
      <c r="K26" s="58">
        <f>VLOOKUP($A26,'Data - Total'!$A$3:$AA$54,14,FALSE)/VLOOKUP($A26,'Data - Total'!$A$3:$AA$54,13,FALSE)</f>
        <v>0.67573144282128517</v>
      </c>
      <c r="L26" s="4"/>
      <c r="M26" s="58">
        <f>VLOOKUP($A26,'Data - Total'!$A$3:$AA$54,15,FALSE)/VLOOKUP($A26,'Data - Total'!$A$3:$AA$54,14,FALSE)</f>
        <v>3.8619845804089073E-2</v>
      </c>
      <c r="N26" s="4"/>
      <c r="O26" s="100">
        <f>VLOOKUP($A26,'Data - Total'!$A$3:$AA$54,16,FALSE)/VLOOKUP($A26,'Data - Total'!$A$3:$AA$54,15,FALSE)</f>
        <v>1.0497752560607176</v>
      </c>
    </row>
    <row r="27" spans="1:15" x14ac:dyDescent="0.25">
      <c r="A27" s="3" t="s">
        <v>18</v>
      </c>
      <c r="B27" s="3" t="s">
        <v>19</v>
      </c>
      <c r="C27" s="78">
        <f>VLOOKUP($A27,'Data - Total'!$A$3:$AA$54,13,FALSE)/VLOOKUP($A27,'Data - Total'!$A$3:$AA$54,3,FALSE)</f>
        <v>0.59132792136874268</v>
      </c>
      <c r="D27" s="38">
        <f>VLOOKUP($A27,'Data - Total'!$A$3:$AA$54,17,FALSE)/VLOOKUP($A27,'Data - Total'!$A$3:$AA$54,13,FALSE)</f>
        <v>191.37336917188162</v>
      </c>
      <c r="E27" s="4"/>
      <c r="F27" s="58">
        <f>VLOOKUP($A27,'Data - Total'!$A$3:$AA$54,16,FALSE)/VLOOKUP($A27,'Data - Total'!$A$3:$AA$54,13,FALSE)</f>
        <v>2.2930184136039217E-2</v>
      </c>
      <c r="G27" s="4"/>
      <c r="H27" s="38">
        <f>VLOOKUP($A27,'Data - Total'!$A$3:$AA$54,17,FALSE)/VLOOKUP($A27,'Data - Total'!$A$3:$AA$54,16,FALSE)</f>
        <v>8345.9150627186373</v>
      </c>
      <c r="I27" s="14">
        <f>VLOOKUP($A27,'Data - Total'!$A$3:$AA$54,16,FALSE)/VLOOKUP($A27,'Data - Total'!$A$3:$AA$54,13,FALSE)</f>
        <v>2.2930184136039217E-2</v>
      </c>
      <c r="J27" s="4"/>
      <c r="K27" s="58">
        <f>VLOOKUP($A27,'Data - Total'!$A$3:$AA$54,14,FALSE)/VLOOKUP($A27,'Data - Total'!$A$3:$AA$54,13,FALSE)</f>
        <v>0.69964535987957155</v>
      </c>
      <c r="L27" s="4"/>
      <c r="M27" s="58">
        <f>VLOOKUP($A27,'Data - Total'!$A$3:$AA$54,15,FALSE)/VLOOKUP($A27,'Data - Total'!$A$3:$AA$54,14,FALSE)</f>
        <v>3.6675461030941055E-2</v>
      </c>
      <c r="N27" s="4"/>
      <c r="O27" s="99">
        <f>VLOOKUP($A27,'Data - Total'!$A$3:$AA$54,16,FALSE)/VLOOKUP($A27,'Data - Total'!$A$3:$AA$54,15,FALSE)</f>
        <v>0.89362230883930205</v>
      </c>
    </row>
    <row r="28" spans="1:15" x14ac:dyDescent="0.25">
      <c r="A28" s="3" t="s">
        <v>60</v>
      </c>
      <c r="B28" s="3" t="s">
        <v>61</v>
      </c>
      <c r="C28" s="78">
        <f>VLOOKUP($A28,'Data - Total'!$A$3:$AA$54,13,FALSE)/VLOOKUP($A28,'Data - Total'!$A$3:$AA$54,3,FALSE)</f>
        <v>0.55403140498670655</v>
      </c>
      <c r="D28" s="38">
        <f>VLOOKUP($A28,'Data - Total'!$A$3:$AA$54,17,FALSE)/VLOOKUP($A28,'Data - Total'!$A$3:$AA$54,13,FALSE)</f>
        <v>183.57849607181268</v>
      </c>
      <c r="E28" s="4"/>
      <c r="F28" s="58">
        <f>VLOOKUP($A28,'Data - Total'!$A$3:$AA$54,16,FALSE)/VLOOKUP($A28,'Data - Total'!$A$3:$AA$54,13,FALSE)</f>
        <v>1.0027149019382951E-2</v>
      </c>
      <c r="G28" s="4"/>
      <c r="H28" s="38">
        <f>VLOOKUP($A28,'Data - Total'!$A$3:$AA$54,17,FALSE)/VLOOKUP($A28,'Data - Total'!$A$3:$AA$54,16,FALSE)</f>
        <v>18308.144789405924</v>
      </c>
      <c r="I28" s="14">
        <f>VLOOKUP($A28,'Data - Total'!$A$3:$AA$54,16,FALSE)/VLOOKUP($A28,'Data - Total'!$A$3:$AA$54,13,FALSE)</f>
        <v>1.0027149019382951E-2</v>
      </c>
      <c r="J28" s="4"/>
      <c r="K28" s="58">
        <f>VLOOKUP($A28,'Data - Total'!$A$3:$AA$54,14,FALSE)/VLOOKUP($A28,'Data - Total'!$A$3:$AA$54,13,FALSE)</f>
        <v>0.57673870516802683</v>
      </c>
      <c r="L28" s="4"/>
      <c r="M28" s="58">
        <f>VLOOKUP($A28,'Data - Total'!$A$3:$AA$54,15,FALSE)/VLOOKUP($A28,'Data - Total'!$A$3:$AA$54,14,FALSE)</f>
        <v>7.7713939536667775E-2</v>
      </c>
      <c r="N28" s="4"/>
      <c r="O28" s="99">
        <f>VLOOKUP($A28,'Data - Total'!$A$3:$AA$54,16,FALSE)/VLOOKUP($A28,'Data - Total'!$A$3:$AA$54,15,FALSE)</f>
        <v>0.22371723655515779</v>
      </c>
    </row>
    <row r="29" spans="1:15" x14ac:dyDescent="0.25">
      <c r="A29" s="3" t="s">
        <v>100</v>
      </c>
      <c r="B29" s="3" t="s">
        <v>101</v>
      </c>
      <c r="C29" s="78">
        <f>VLOOKUP($A29,'Data - Total'!$A$3:$AA$54,13,FALSE)/VLOOKUP($A29,'Data - Total'!$A$3:$AA$54,3,FALSE)</f>
        <v>0.58956881403057293</v>
      </c>
      <c r="D29" s="38">
        <f>VLOOKUP($A29,'Data - Total'!$A$3:$AA$54,17,FALSE)/VLOOKUP($A29,'Data - Total'!$A$3:$AA$54,13,FALSE)</f>
        <v>169.61785889316877</v>
      </c>
      <c r="E29" s="4"/>
      <c r="F29" s="58">
        <f>VLOOKUP($A29,'Data - Total'!$A$3:$AA$54,16,FALSE)/VLOOKUP($A29,'Data - Total'!$A$3:$AA$54,13,FALSE)</f>
        <v>2.3641599275110961E-2</v>
      </c>
      <c r="G29" s="4"/>
      <c r="H29" s="38">
        <f>VLOOKUP($A29,'Data - Total'!$A$3:$AA$54,17,FALSE)/VLOOKUP($A29,'Data - Total'!$A$3:$AA$54,16,FALSE)</f>
        <v>7174.5509649906144</v>
      </c>
      <c r="I29" s="14">
        <f>VLOOKUP($A29,'Data - Total'!$A$3:$AA$54,16,FALSE)/VLOOKUP($A29,'Data - Total'!$A$3:$AA$54,13,FALSE)</f>
        <v>2.3641599275110961E-2</v>
      </c>
      <c r="J29" s="4"/>
      <c r="K29" s="58">
        <f>VLOOKUP($A29,'Data - Total'!$A$3:$AA$54,14,FALSE)/VLOOKUP($A29,'Data - Total'!$A$3:$AA$54,13,FALSE)</f>
        <v>0.71334807218349849</v>
      </c>
      <c r="L29" s="4"/>
      <c r="M29" s="58">
        <f>VLOOKUP($A29,'Data - Total'!$A$3:$AA$54,15,FALSE)/VLOOKUP($A29,'Data - Total'!$A$3:$AA$54,14,FALSE)</f>
        <v>2.958120063248532E-2</v>
      </c>
      <c r="N29" s="4"/>
      <c r="O29" s="100">
        <f>VLOOKUP($A29,'Data - Total'!$A$3:$AA$54,16,FALSE)/VLOOKUP($A29,'Data - Total'!$A$3:$AA$54,15,FALSE)</f>
        <v>1.1203650767722966</v>
      </c>
    </row>
    <row r="30" spans="1:15" x14ac:dyDescent="0.25">
      <c r="A30" s="3" t="s">
        <v>76</v>
      </c>
      <c r="B30" s="3" t="s">
        <v>77</v>
      </c>
      <c r="C30" s="78">
        <f>VLOOKUP($A30,'Data - Total'!$A$3:$AA$54,13,FALSE)/VLOOKUP($A30,'Data - Total'!$A$3:$AA$54,3,FALSE)</f>
        <v>0.59883872401395366</v>
      </c>
      <c r="D30" s="38">
        <f>VLOOKUP($A30,'Data - Total'!$A$3:$AA$54,17,FALSE)/VLOOKUP($A30,'Data - Total'!$A$3:$AA$54,13,FALSE)</f>
        <v>168.54442295712843</v>
      </c>
      <c r="E30" s="4"/>
      <c r="F30" s="58">
        <f>VLOOKUP($A30,'Data - Total'!$A$3:$AA$54,16,FALSE)/VLOOKUP($A30,'Data - Total'!$A$3:$AA$54,13,FALSE)</f>
        <v>2.8565458156205883E-2</v>
      </c>
      <c r="G30" s="4"/>
      <c r="H30" s="38">
        <f>VLOOKUP($A30,'Data - Total'!$A$3:$AA$54,17,FALSE)/VLOOKUP($A30,'Data - Total'!$A$3:$AA$54,16,FALSE)</f>
        <v>5900.2877543734385</v>
      </c>
      <c r="I30" s="14">
        <f>VLOOKUP($A30,'Data - Total'!$A$3:$AA$54,16,FALSE)/VLOOKUP($A30,'Data - Total'!$A$3:$AA$54,13,FALSE)</f>
        <v>2.8565458156205883E-2</v>
      </c>
      <c r="J30" s="4"/>
      <c r="K30" s="58">
        <f>VLOOKUP($A30,'Data - Total'!$A$3:$AA$54,14,FALSE)/VLOOKUP($A30,'Data - Total'!$A$3:$AA$54,13,FALSE)</f>
        <v>0.71176949163085501</v>
      </c>
      <c r="L30" s="4"/>
      <c r="M30" s="58">
        <f>VLOOKUP($A30,'Data - Total'!$A$3:$AA$54,15,FALSE)/VLOOKUP($A30,'Data - Total'!$A$3:$AA$54,14,FALSE)</f>
        <v>6.8635198764990676E-2</v>
      </c>
      <c r="N30" s="4"/>
      <c r="O30" s="99">
        <f>VLOOKUP($A30,'Data - Total'!$A$3:$AA$54,16,FALSE)/VLOOKUP($A30,'Data - Total'!$A$3:$AA$54,15,FALSE)</f>
        <v>0.58472939825687598</v>
      </c>
    </row>
    <row r="31" spans="1:15" x14ac:dyDescent="0.25">
      <c r="A31" s="3" t="s">
        <v>98</v>
      </c>
      <c r="B31" s="3" t="s">
        <v>99</v>
      </c>
      <c r="C31" s="78">
        <f>VLOOKUP($A31,'Data - Total'!$A$3:$AA$54,13,FALSE)/VLOOKUP($A31,'Data - Total'!$A$3:$AA$54,3,FALSE)</f>
        <v>0.60086443333046657</v>
      </c>
      <c r="D31" s="38">
        <f>VLOOKUP($A31,'Data - Total'!$A$3:$AA$54,17,FALSE)/VLOOKUP($A31,'Data - Total'!$A$3:$AA$54,13,FALSE)</f>
        <v>994.70282252995764</v>
      </c>
      <c r="E31" s="4"/>
      <c r="F31" s="58">
        <f>VLOOKUP($A31,'Data - Total'!$A$3:$AA$54,16,FALSE)/VLOOKUP($A31,'Data - Total'!$A$3:$AA$54,13,FALSE)</f>
        <v>0.12348332457706354</v>
      </c>
      <c r="G31" s="4"/>
      <c r="H31" s="38">
        <f>VLOOKUP($A31,'Data - Total'!$A$3:$AA$54,17,FALSE)/VLOOKUP($A31,'Data - Total'!$A$3:$AA$54,16,FALSE)</f>
        <v>8055.3615310963141</v>
      </c>
      <c r="I31" s="14">
        <f>VLOOKUP($A31,'Data - Total'!$A$3:$AA$54,16,FALSE)/VLOOKUP($A31,'Data - Total'!$A$3:$AA$54,13,FALSE)</f>
        <v>0.12348332457706354</v>
      </c>
      <c r="J31" s="4"/>
      <c r="K31" s="58">
        <f>VLOOKUP($A31,'Data - Total'!$A$3:$AA$54,14,FALSE)/VLOOKUP($A31,'Data - Total'!$A$3:$AA$54,13,FALSE)</f>
        <v>0.71857953054254642</v>
      </c>
      <c r="L31" s="4"/>
      <c r="M31" s="58">
        <f>VLOOKUP($A31,'Data - Total'!$A$3:$AA$54,15,FALSE)/VLOOKUP($A31,'Data - Total'!$A$3:$AA$54,14,FALSE)</f>
        <v>0.26823224395446227</v>
      </c>
      <c r="N31" s="4"/>
      <c r="O31" s="99">
        <f>VLOOKUP($A31,'Data - Total'!$A$3:$AA$54,16,FALSE)/VLOOKUP($A31,'Data - Total'!$A$3:$AA$54,15,FALSE)</f>
        <v>0.64065244667503141</v>
      </c>
    </row>
    <row r="32" spans="1:15" x14ac:dyDescent="0.25">
      <c r="A32" s="3" t="s">
        <v>66</v>
      </c>
      <c r="B32" s="3" t="s">
        <v>67</v>
      </c>
      <c r="C32" s="78">
        <f>VLOOKUP($A32,'Data - Total'!$A$3:$AA$54,13,FALSE)/VLOOKUP($A32,'Data - Total'!$A$3:$AA$54,3,FALSE)</f>
        <v>0.59557553246379002</v>
      </c>
      <c r="D32" s="38">
        <f>VLOOKUP($A32,'Data - Total'!$A$3:$AA$54,17,FALSE)/VLOOKUP($A32,'Data - Total'!$A$3:$AA$54,13,FALSE)</f>
        <v>107.19117801038213</v>
      </c>
      <c r="E32" s="4"/>
      <c r="F32" s="58">
        <f>VLOOKUP($A32,'Data - Total'!$A$3:$AA$54,16,FALSE)/VLOOKUP($A32,'Data - Total'!$A$3:$AA$54,13,FALSE)</f>
        <v>2.0466744605873416E-2</v>
      </c>
      <c r="G32" s="4"/>
      <c r="H32" s="38">
        <f>VLOOKUP($A32,'Data - Total'!$A$3:$AA$54,17,FALSE)/VLOOKUP($A32,'Data - Total'!$A$3:$AA$54,16,FALSE)</f>
        <v>5237.3340301330136</v>
      </c>
      <c r="I32" s="14">
        <f>VLOOKUP($A32,'Data - Total'!$A$3:$AA$54,16,FALSE)/VLOOKUP($A32,'Data - Total'!$A$3:$AA$54,13,FALSE)</f>
        <v>2.0466744605873416E-2</v>
      </c>
      <c r="J32" s="4"/>
      <c r="K32" s="58">
        <f>VLOOKUP($A32,'Data - Total'!$A$3:$AA$54,14,FALSE)/VLOOKUP($A32,'Data - Total'!$A$3:$AA$54,13,FALSE)</f>
        <v>0.79710534091938223</v>
      </c>
      <c r="L32" s="4"/>
      <c r="M32" s="58">
        <f>VLOOKUP($A32,'Data - Total'!$A$3:$AA$54,15,FALSE)/VLOOKUP($A32,'Data - Total'!$A$3:$AA$54,14,FALSE)</f>
        <v>2.4339347240844845E-2</v>
      </c>
      <c r="N32" s="4"/>
      <c r="O32" s="100">
        <f>VLOOKUP($A32,'Data - Total'!$A$3:$AA$54,16,FALSE)/VLOOKUP($A32,'Data - Total'!$A$3:$AA$54,15,FALSE)</f>
        <v>1.0549311697812063</v>
      </c>
    </row>
    <row r="33" spans="1:15" x14ac:dyDescent="0.25">
      <c r="A33" s="3" t="s">
        <v>108</v>
      </c>
      <c r="B33" s="3" t="s">
        <v>109</v>
      </c>
      <c r="C33" s="78">
        <f>VLOOKUP($A33,'Data - Total'!$A$3:$AA$54,13,FALSE)/VLOOKUP($A33,'Data - Total'!$A$3:$AA$54,3,FALSE)</f>
        <v>0.59375974342206872</v>
      </c>
      <c r="D33" s="38">
        <f>VLOOKUP($A33,'Data - Total'!$A$3:$AA$54,17,FALSE)/VLOOKUP($A33,'Data - Total'!$A$3:$AA$54,13,FALSE)</f>
        <v>157.42987260278133</v>
      </c>
      <c r="E33" s="4"/>
      <c r="F33" s="58">
        <f>VLOOKUP($A33,'Data - Total'!$A$3:$AA$54,16,FALSE)/VLOOKUP($A33,'Data - Total'!$A$3:$AA$54,13,FALSE)</f>
        <v>2.3593253776893971E-2</v>
      </c>
      <c r="G33" s="4"/>
      <c r="H33" s="38">
        <f>VLOOKUP($A33,'Data - Total'!$A$3:$AA$54,17,FALSE)/VLOOKUP($A33,'Data - Total'!$A$3:$AA$54,16,FALSE)</f>
        <v>6672.6647410099959</v>
      </c>
      <c r="I33" s="14">
        <f>VLOOKUP($A33,'Data - Total'!$A$3:$AA$54,16,FALSE)/VLOOKUP($A33,'Data - Total'!$A$3:$AA$54,13,FALSE)</f>
        <v>2.3593253776893971E-2</v>
      </c>
      <c r="J33" s="4"/>
      <c r="K33" s="58">
        <f>VLOOKUP($A33,'Data - Total'!$A$3:$AA$54,14,FALSE)/VLOOKUP($A33,'Data - Total'!$A$3:$AA$54,13,FALSE)</f>
        <v>0.67806414030436357</v>
      </c>
      <c r="L33" s="4"/>
      <c r="M33" s="58">
        <f>VLOOKUP($A33,'Data - Total'!$A$3:$AA$54,15,FALSE)/VLOOKUP($A33,'Data - Total'!$A$3:$AA$54,14,FALSE)</f>
        <v>4.150738904648972E-2</v>
      </c>
      <c r="N33" s="4"/>
      <c r="O33" s="99">
        <f>VLOOKUP($A33,'Data - Total'!$A$3:$AA$54,16,FALSE)/VLOOKUP($A33,'Data - Total'!$A$3:$AA$54,15,FALSE)</f>
        <v>0.83828490586570903</v>
      </c>
    </row>
    <row r="34" spans="1:15" x14ac:dyDescent="0.25">
      <c r="A34" s="3" t="s">
        <v>82</v>
      </c>
      <c r="B34" s="3" t="s">
        <v>83</v>
      </c>
      <c r="C34" s="78">
        <f>VLOOKUP($A34,'Data - Total'!$A$3:$AA$54,13,FALSE)/VLOOKUP($A34,'Data - Total'!$A$3:$AA$54,3,FALSE)</f>
        <v>0.57830840775009684</v>
      </c>
      <c r="D34" s="38">
        <f>VLOOKUP($A34,'Data - Total'!$A$3:$AA$54,17,FALSE)/VLOOKUP($A34,'Data - Total'!$A$3:$AA$54,13,FALSE)</f>
        <v>482.175080873463</v>
      </c>
      <c r="E34" s="4"/>
      <c r="F34" s="58">
        <f>VLOOKUP($A34,'Data - Total'!$A$3:$AA$54,16,FALSE)/VLOOKUP($A34,'Data - Total'!$A$3:$AA$54,13,FALSE)</f>
        <v>2.9956322867815861E-2</v>
      </c>
      <c r="G34" s="4"/>
      <c r="H34" s="38">
        <f>VLOOKUP($A34,'Data - Total'!$A$3:$AA$54,17,FALSE)/VLOOKUP($A34,'Data - Total'!$A$3:$AA$54,16,FALSE)</f>
        <v>16095.936841150047</v>
      </c>
      <c r="I34" s="14">
        <f>VLOOKUP($A34,'Data - Total'!$A$3:$AA$54,16,FALSE)/VLOOKUP($A34,'Data - Total'!$A$3:$AA$54,13,FALSE)</f>
        <v>2.9956322867815861E-2</v>
      </c>
      <c r="J34" s="4"/>
      <c r="K34" s="58">
        <f>VLOOKUP($A34,'Data - Total'!$A$3:$AA$54,14,FALSE)/VLOOKUP($A34,'Data - Total'!$A$3:$AA$54,13,FALSE)</f>
        <v>0.62722059691424881</v>
      </c>
      <c r="L34" s="4"/>
      <c r="M34" s="58">
        <f>VLOOKUP($A34,'Data - Total'!$A$3:$AA$54,15,FALSE)/VLOOKUP($A34,'Data - Total'!$A$3:$AA$54,14,FALSE)</f>
        <v>7.3378951122258548E-2</v>
      </c>
      <c r="N34" s="4"/>
      <c r="O34" s="99">
        <f>VLOOKUP($A34,'Data - Total'!$A$3:$AA$54,16,FALSE)/VLOOKUP($A34,'Data - Total'!$A$3:$AA$54,15,FALSE)</f>
        <v>0.6508736526061919</v>
      </c>
    </row>
    <row r="35" spans="1:15" x14ac:dyDescent="0.25">
      <c r="A35" s="3" t="s">
        <v>30</v>
      </c>
      <c r="B35" s="3" t="s">
        <v>31</v>
      </c>
      <c r="C35" s="78">
        <f>VLOOKUP($A35,'Data - Total'!$A$3:$AA$54,13,FALSE)/VLOOKUP($A35,'Data - Total'!$A$3:$AA$54,3,FALSE)</f>
        <v>0.56835346893395378</v>
      </c>
      <c r="D35" s="38">
        <f>VLOOKUP($A35,'Data - Total'!$A$3:$AA$54,17,FALSE)/VLOOKUP($A35,'Data - Total'!$A$3:$AA$54,13,FALSE)</f>
        <v>560.24421452651393</v>
      </c>
      <c r="E35" s="4"/>
      <c r="F35" s="58">
        <f>VLOOKUP($A35,'Data - Total'!$A$3:$AA$54,16,FALSE)/VLOOKUP($A35,'Data - Total'!$A$3:$AA$54,13,FALSE)</f>
        <v>0.10883082998199015</v>
      </c>
      <c r="G35" s="4"/>
      <c r="H35" s="38">
        <f>VLOOKUP($A35,'Data - Total'!$A$3:$AA$54,17,FALSE)/VLOOKUP($A35,'Data - Total'!$A$3:$AA$54,16,FALSE)</f>
        <v>5147.8447294688995</v>
      </c>
      <c r="I35" s="14">
        <f>VLOOKUP($A35,'Data - Total'!$A$3:$AA$54,16,FALSE)/VLOOKUP($A35,'Data - Total'!$A$3:$AA$54,13,FALSE)</f>
        <v>0.10883082998199015</v>
      </c>
      <c r="J35" s="4"/>
      <c r="K35" s="58">
        <f>VLOOKUP($A35,'Data - Total'!$A$3:$AA$54,14,FALSE)/VLOOKUP($A35,'Data - Total'!$A$3:$AA$54,13,FALSE)</f>
        <v>0.67904365920449272</v>
      </c>
      <c r="L35" s="4"/>
      <c r="M35" s="58">
        <f>VLOOKUP($A35,'Data - Total'!$A$3:$AA$54,15,FALSE)/VLOOKUP($A35,'Data - Total'!$A$3:$AA$54,14,FALSE)</f>
        <v>0.20872417454313083</v>
      </c>
      <c r="N35" s="4"/>
      <c r="O35" s="99">
        <f>VLOOKUP($A35,'Data - Total'!$A$3:$AA$54,16,FALSE)/VLOOKUP($A35,'Data - Total'!$A$3:$AA$54,15,FALSE)</f>
        <v>0.76785902106460902</v>
      </c>
    </row>
    <row r="36" spans="1:15" x14ac:dyDescent="0.25">
      <c r="A36" s="3" t="s">
        <v>78</v>
      </c>
      <c r="B36" s="3" t="s">
        <v>79</v>
      </c>
      <c r="C36" s="78">
        <f>VLOOKUP($A36,'Data - Total'!$A$3:$AA$54,13,FALSE)/VLOOKUP($A36,'Data - Total'!$A$3:$AA$54,3,FALSE)</f>
        <v>0.55941029342969206</v>
      </c>
      <c r="D36" s="38">
        <f>VLOOKUP($A36,'Data - Total'!$A$3:$AA$54,17,FALSE)/VLOOKUP($A36,'Data - Total'!$A$3:$AA$54,13,FALSE)</f>
        <v>369.30710274318426</v>
      </c>
      <c r="E36" s="4"/>
      <c r="F36" s="58">
        <f>VLOOKUP($A36,'Data - Total'!$A$3:$AA$54,16,FALSE)/VLOOKUP($A36,'Data - Total'!$A$3:$AA$54,13,FALSE)</f>
        <v>6.974485162246194E-2</v>
      </c>
      <c r="G36" s="4"/>
      <c r="H36" s="38">
        <f>VLOOKUP($A36,'Data - Total'!$A$3:$AA$54,17,FALSE)/VLOOKUP($A36,'Data - Total'!$A$3:$AA$54,16,FALSE)</f>
        <v>5295.1163297657031</v>
      </c>
      <c r="I36" s="14">
        <f>VLOOKUP($A36,'Data - Total'!$A$3:$AA$54,16,FALSE)/VLOOKUP($A36,'Data - Total'!$A$3:$AA$54,13,FALSE)</f>
        <v>6.974485162246194E-2</v>
      </c>
      <c r="J36" s="4"/>
      <c r="K36" s="58">
        <f>VLOOKUP($A36,'Data - Total'!$A$3:$AA$54,14,FALSE)/VLOOKUP($A36,'Data - Total'!$A$3:$AA$54,13,FALSE)</f>
        <v>0.65010544100661272</v>
      </c>
      <c r="L36" s="4"/>
      <c r="M36" s="58">
        <f>VLOOKUP($A36,'Data - Total'!$A$3:$AA$54,15,FALSE)/VLOOKUP($A36,'Data - Total'!$A$3:$AA$54,14,FALSE)</f>
        <v>9.1567391678542789E-2</v>
      </c>
      <c r="N36" s="4"/>
      <c r="O36" s="100">
        <f>VLOOKUP($A36,'Data - Total'!$A$3:$AA$54,16,FALSE)/VLOOKUP($A36,'Data - Total'!$A$3:$AA$54,15,FALSE)</f>
        <v>1.171621979652395</v>
      </c>
    </row>
    <row r="37" spans="1:15" x14ac:dyDescent="0.25">
      <c r="A37" s="3" t="s">
        <v>6</v>
      </c>
      <c r="B37" s="3" t="s">
        <v>7</v>
      </c>
      <c r="C37" s="78">
        <f>VLOOKUP($A37,'Data - Total'!$A$3:$AA$54,13,FALSE)/VLOOKUP($A37,'Data - Total'!$A$3:$AA$54,3,FALSE)</f>
        <v>0.56545943791363074</v>
      </c>
      <c r="D37" s="38">
        <f>VLOOKUP($A37,'Data - Total'!$A$3:$AA$54,17,FALSE)/VLOOKUP($A37,'Data - Total'!$A$3:$AA$54,13,FALSE)</f>
        <v>351.19565075250256</v>
      </c>
      <c r="E37" s="4"/>
      <c r="F37" s="58">
        <f>VLOOKUP($A37,'Data - Total'!$A$3:$AA$54,16,FALSE)/VLOOKUP($A37,'Data - Total'!$A$3:$AA$54,13,FALSE)</f>
        <v>5.1711263180700587E-2</v>
      </c>
      <c r="G37" s="4"/>
      <c r="H37" s="38">
        <f>VLOOKUP($A37,'Data - Total'!$A$3:$AA$54,17,FALSE)/VLOOKUP($A37,'Data - Total'!$A$3:$AA$54,16,FALSE)</f>
        <v>6791.4730592691076</v>
      </c>
      <c r="I37" s="14">
        <f>VLOOKUP($A37,'Data - Total'!$A$3:$AA$54,16,FALSE)/VLOOKUP($A37,'Data - Total'!$A$3:$AA$54,13,FALSE)</f>
        <v>5.1711263180700587E-2</v>
      </c>
      <c r="J37" s="4"/>
      <c r="K37" s="58">
        <f>VLOOKUP($A37,'Data - Total'!$A$3:$AA$54,14,FALSE)/VLOOKUP($A37,'Data - Total'!$A$3:$AA$54,13,FALSE)</f>
        <v>0.6440580975989969</v>
      </c>
      <c r="L37" s="4"/>
      <c r="M37" s="58">
        <f>VLOOKUP($A37,'Data - Total'!$A$3:$AA$54,15,FALSE)/VLOOKUP($A37,'Data - Total'!$A$3:$AA$54,14,FALSE)</f>
        <v>9.928257438573003E-2</v>
      </c>
      <c r="N37" s="4"/>
      <c r="O37" s="99">
        <f>VLOOKUP($A37,'Data - Total'!$A$3:$AA$54,16,FALSE)/VLOOKUP($A37,'Data - Total'!$A$3:$AA$54,15,FALSE)</f>
        <v>0.80869930882622787</v>
      </c>
    </row>
    <row r="38" spans="1:15" x14ac:dyDescent="0.25">
      <c r="A38" s="3" t="s">
        <v>106</v>
      </c>
      <c r="B38" s="3" t="s">
        <v>107</v>
      </c>
      <c r="C38" s="78">
        <f>VLOOKUP($A38,'Data - Total'!$A$3:$AA$54,13,FALSE)/VLOOKUP($A38,'Data - Total'!$A$3:$AA$54,3,FALSE)</f>
        <v>0.5727885674269747</v>
      </c>
      <c r="D38" s="38">
        <f>VLOOKUP($A38,'Data - Total'!$A$3:$AA$54,17,FALSE)/VLOOKUP($A38,'Data - Total'!$A$3:$AA$54,13,FALSE)</f>
        <v>381.46341377493917</v>
      </c>
      <c r="E38" s="4"/>
      <c r="F38" s="58">
        <f>VLOOKUP($A38,'Data - Total'!$A$3:$AA$54,16,FALSE)/VLOOKUP($A38,'Data - Total'!$A$3:$AA$54,13,FALSE)</f>
        <v>9.8344907937690018E-2</v>
      </c>
      <c r="G38" s="4"/>
      <c r="H38" s="38">
        <f>VLOOKUP($A38,'Data - Total'!$A$3:$AA$54,17,FALSE)/VLOOKUP($A38,'Data - Total'!$A$3:$AA$54,16,FALSE)</f>
        <v>3878.8323846581784</v>
      </c>
      <c r="I38" s="14">
        <f>VLOOKUP($A38,'Data - Total'!$A$3:$AA$54,16,FALSE)/VLOOKUP($A38,'Data - Total'!$A$3:$AA$54,13,FALSE)</f>
        <v>9.8344907937690018E-2</v>
      </c>
      <c r="J38" s="4"/>
      <c r="K38" s="58">
        <f>VLOOKUP($A38,'Data - Total'!$A$3:$AA$54,14,FALSE)/VLOOKUP($A38,'Data - Total'!$A$3:$AA$54,13,FALSE)</f>
        <v>0.69444790600402351</v>
      </c>
      <c r="L38" s="4"/>
      <c r="M38" s="58">
        <f>VLOOKUP($A38,'Data - Total'!$A$3:$AA$54,15,FALSE)/VLOOKUP($A38,'Data - Total'!$A$3:$AA$54,14,FALSE)</f>
        <v>0.15328439069914016</v>
      </c>
      <c r="N38" s="4"/>
      <c r="O38" s="99">
        <f>VLOOKUP($A38,'Data - Total'!$A$3:$AA$54,16,FALSE)/VLOOKUP($A38,'Data - Total'!$A$3:$AA$54,15,FALSE)</f>
        <v>0.92387725116006247</v>
      </c>
    </row>
    <row r="39" spans="1:15" x14ac:dyDescent="0.25">
      <c r="A39" s="3" t="s">
        <v>52</v>
      </c>
      <c r="B39" s="3" t="s">
        <v>53</v>
      </c>
      <c r="C39" s="78">
        <f>VLOOKUP($A39,'Data - Total'!$A$3:$AA$54,13,FALSE)/VLOOKUP($A39,'Data - Total'!$A$3:$AA$54,3,FALSE)</f>
        <v>0.54955505312623987</v>
      </c>
      <c r="D39" s="38">
        <f>VLOOKUP($A39,'Data - Total'!$A$3:$AA$54,17,FALSE)/VLOOKUP($A39,'Data - Total'!$A$3:$AA$54,13,FALSE)</f>
        <v>361.64923192696773</v>
      </c>
      <c r="E39" s="4"/>
      <c r="F39" s="58">
        <f>VLOOKUP($A39,'Data - Total'!$A$3:$AA$54,16,FALSE)/VLOOKUP($A39,'Data - Total'!$A$3:$AA$54,13,FALSE)</f>
        <v>5.9116440846655079E-2</v>
      </c>
      <c r="G39" s="4"/>
      <c r="H39" s="38">
        <f>VLOOKUP($A39,'Data - Total'!$A$3:$AA$54,17,FALSE)/VLOOKUP($A39,'Data - Total'!$A$3:$AA$54,16,FALSE)</f>
        <v>6117.5745147625976</v>
      </c>
      <c r="I39" s="14">
        <f>VLOOKUP($A39,'Data - Total'!$A$3:$AA$54,16,FALSE)/VLOOKUP($A39,'Data - Total'!$A$3:$AA$54,13,FALSE)</f>
        <v>5.9116440846655079E-2</v>
      </c>
      <c r="J39" s="4"/>
      <c r="K39" s="58">
        <f>VLOOKUP($A39,'Data - Total'!$A$3:$AA$54,14,FALSE)/VLOOKUP($A39,'Data - Total'!$A$3:$AA$54,13,FALSE)</f>
        <v>0.65257737129455418</v>
      </c>
      <c r="L39" s="4"/>
      <c r="M39" s="58">
        <f>VLOOKUP($A39,'Data - Total'!$A$3:$AA$54,15,FALSE)/VLOOKUP($A39,'Data - Total'!$A$3:$AA$54,14,FALSE)</f>
        <v>8.8970337951909173E-2</v>
      </c>
      <c r="N39" s="4"/>
      <c r="O39" s="100">
        <f>VLOOKUP($A39,'Data - Total'!$A$3:$AA$54,16,FALSE)/VLOOKUP($A39,'Data - Total'!$A$3:$AA$54,15,FALSE)</f>
        <v>1.0181951610463265</v>
      </c>
    </row>
    <row r="40" spans="1:15" x14ac:dyDescent="0.25">
      <c r="A40" s="3" t="s">
        <v>84</v>
      </c>
      <c r="B40" s="3" t="s">
        <v>85</v>
      </c>
      <c r="C40" s="78">
        <f>VLOOKUP($A40,'Data - Total'!$A$3:$AA$54,13,FALSE)/VLOOKUP($A40,'Data - Total'!$A$3:$AA$54,3,FALSE)</f>
        <v>0.55742820927522951</v>
      </c>
      <c r="D40" s="38">
        <f>VLOOKUP($A40,'Data - Total'!$A$3:$AA$54,17,FALSE)/VLOOKUP($A40,'Data - Total'!$A$3:$AA$54,13,FALSE)</f>
        <v>268.57176928849105</v>
      </c>
      <c r="E40" s="4"/>
      <c r="F40" s="58">
        <f>VLOOKUP($A40,'Data - Total'!$A$3:$AA$54,16,FALSE)/VLOOKUP($A40,'Data - Total'!$A$3:$AA$54,13,FALSE)</f>
        <v>4.17759898371792E-2</v>
      </c>
      <c r="G40" s="4"/>
      <c r="H40" s="38">
        <f>VLOOKUP($A40,'Data - Total'!$A$3:$AA$54,17,FALSE)/VLOOKUP($A40,'Data - Total'!$A$3:$AA$54,16,FALSE)</f>
        <v>6428.8547161956503</v>
      </c>
      <c r="I40" s="14">
        <f>VLOOKUP($A40,'Data - Total'!$A$3:$AA$54,16,FALSE)/VLOOKUP($A40,'Data - Total'!$A$3:$AA$54,13,FALSE)</f>
        <v>4.17759898371792E-2</v>
      </c>
      <c r="J40" s="4"/>
      <c r="K40" s="58">
        <f>VLOOKUP($A40,'Data - Total'!$A$3:$AA$54,14,FALSE)/VLOOKUP($A40,'Data - Total'!$A$3:$AA$54,13,FALSE)</f>
        <v>0.69333936891417081</v>
      </c>
      <c r="L40" s="4"/>
      <c r="M40" s="58">
        <f>VLOOKUP($A40,'Data - Total'!$A$3:$AA$54,15,FALSE)/VLOOKUP($A40,'Data - Total'!$A$3:$AA$54,14,FALSE)</f>
        <v>5.59695311207263E-2</v>
      </c>
      <c r="N40" s="4"/>
      <c r="O40" s="100">
        <f>VLOOKUP($A40,'Data - Total'!$A$3:$AA$54,16,FALSE)/VLOOKUP($A40,'Data - Total'!$A$3:$AA$54,15,FALSE)</f>
        <v>1.0765376406496241</v>
      </c>
    </row>
    <row r="41" spans="1:15" x14ac:dyDescent="0.25">
      <c r="A41" s="3" t="s">
        <v>34</v>
      </c>
      <c r="B41" s="3" t="s">
        <v>35</v>
      </c>
      <c r="C41" s="78">
        <f>VLOOKUP($A41,'Data - Total'!$A$3:$AA$54,13,FALSE)/VLOOKUP($A41,'Data - Total'!$A$3:$AA$54,3,FALSE)</f>
        <v>0.574819490590877</v>
      </c>
      <c r="D41" s="38">
        <f>VLOOKUP($A41,'Data - Total'!$A$3:$AA$54,17,FALSE)/VLOOKUP($A41,'Data - Total'!$A$3:$AA$54,13,FALSE)</f>
        <v>313.49238102834221</v>
      </c>
      <c r="E41" s="4"/>
      <c r="F41" s="58">
        <f>VLOOKUP($A41,'Data - Total'!$A$3:$AA$54,16,FALSE)/VLOOKUP($A41,'Data - Total'!$A$3:$AA$54,13,FALSE)</f>
        <v>8.0790113205459035E-2</v>
      </c>
      <c r="G41" s="4"/>
      <c r="H41" s="38">
        <f>VLOOKUP($A41,'Data - Total'!$A$3:$AA$54,17,FALSE)/VLOOKUP($A41,'Data - Total'!$A$3:$AA$54,16,FALSE)</f>
        <v>3880.331003263891</v>
      </c>
      <c r="I41" s="14">
        <f>VLOOKUP($A41,'Data - Total'!$A$3:$AA$54,16,FALSE)/VLOOKUP($A41,'Data - Total'!$A$3:$AA$54,13,FALSE)</f>
        <v>8.0790113205459035E-2</v>
      </c>
      <c r="J41" s="4"/>
      <c r="K41" s="58">
        <f>VLOOKUP($A41,'Data - Total'!$A$3:$AA$54,14,FALSE)/VLOOKUP($A41,'Data - Total'!$A$3:$AA$54,13,FALSE)</f>
        <v>0.64118234902592031</v>
      </c>
      <c r="L41" s="4"/>
      <c r="M41" s="58">
        <f>VLOOKUP($A41,'Data - Total'!$A$3:$AA$54,15,FALSE)/VLOOKUP($A41,'Data - Total'!$A$3:$AA$54,14,FALSE)</f>
        <v>0.1468603578906236</v>
      </c>
      <c r="N41" s="4"/>
      <c r="O41" s="99">
        <f>VLOOKUP($A41,'Data - Total'!$A$3:$AA$54,16,FALSE)/VLOOKUP($A41,'Data - Total'!$A$3:$AA$54,15,FALSE)</f>
        <v>0.8579699481342018</v>
      </c>
    </row>
    <row r="42" spans="1:15" x14ac:dyDescent="0.25">
      <c r="A42" s="3" t="s">
        <v>22</v>
      </c>
      <c r="B42" s="3" t="s">
        <v>23</v>
      </c>
      <c r="C42" s="78">
        <f>VLOOKUP($A42,'Data - Total'!$A$3:$AA$54,13,FALSE)/VLOOKUP($A42,'Data - Total'!$A$3:$AA$54,3,FALSE)</f>
        <v>0.55742344455242332</v>
      </c>
      <c r="D42" s="38">
        <f>VLOOKUP($A42,'Data - Total'!$A$3:$AA$54,17,FALSE)/VLOOKUP($A42,'Data - Total'!$A$3:$AA$54,13,FALSE)</f>
        <v>1011.076826499542</v>
      </c>
      <c r="E42" s="4"/>
      <c r="F42" s="58">
        <f>VLOOKUP($A42,'Data - Total'!$A$3:$AA$54,16,FALSE)/VLOOKUP($A42,'Data - Total'!$A$3:$AA$54,13,FALSE)</f>
        <v>0.12317525621365036</v>
      </c>
      <c r="G42" s="4"/>
      <c r="H42" s="38">
        <f>VLOOKUP($A42,'Data - Total'!$A$3:$AA$54,17,FALSE)/VLOOKUP($A42,'Data - Total'!$A$3:$AA$54,16,FALSE)</f>
        <v>8208.441026059696</v>
      </c>
      <c r="I42" s="14">
        <f>VLOOKUP($A42,'Data - Total'!$A$3:$AA$54,16,FALSE)/VLOOKUP($A42,'Data - Total'!$A$3:$AA$54,13,FALSE)</f>
        <v>0.12317525621365036</v>
      </c>
      <c r="J42" s="4"/>
      <c r="K42" s="58">
        <f>VLOOKUP($A42,'Data - Total'!$A$3:$AA$54,14,FALSE)/VLOOKUP($A42,'Data - Total'!$A$3:$AA$54,13,FALSE)</f>
        <v>0.68325787770169988</v>
      </c>
      <c r="L42" s="4"/>
      <c r="M42" s="58">
        <f>VLOOKUP($A42,'Data - Total'!$A$3:$AA$54,15,FALSE)/VLOOKUP($A42,'Data - Total'!$A$3:$AA$54,14,FALSE)</f>
        <v>0.16497272662013163</v>
      </c>
      <c r="N42" s="4"/>
      <c r="O42" s="100">
        <f>VLOOKUP($A42,'Data - Total'!$A$3:$AA$54,16,FALSE)/VLOOKUP($A42,'Data - Total'!$A$3:$AA$54,15,FALSE)</f>
        <v>1.0927647426175395</v>
      </c>
    </row>
    <row r="43" spans="1:15" x14ac:dyDescent="0.25">
      <c r="A43" s="3" t="s">
        <v>10</v>
      </c>
      <c r="B43" s="3" t="s">
        <v>11</v>
      </c>
      <c r="C43" s="78">
        <f>VLOOKUP($A43,'Data - Total'!$A$3:$AA$54,13,FALSE)/VLOOKUP($A43,'Data - Total'!$A$3:$AA$54,3,FALSE)</f>
        <v>0.59389486411196457</v>
      </c>
      <c r="D43" s="38">
        <f>VLOOKUP($A43,'Data - Total'!$A$3:$AA$54,17,FALSE)/VLOOKUP($A43,'Data - Total'!$A$3:$AA$54,13,FALSE)</f>
        <v>485.51202603008096</v>
      </c>
      <c r="E43" s="4"/>
      <c r="F43" s="58">
        <f>VLOOKUP($A43,'Data - Total'!$A$3:$AA$54,16,FALSE)/VLOOKUP($A43,'Data - Total'!$A$3:$AA$54,13,FALSE)</f>
        <v>4.833186976651152E-2</v>
      </c>
      <c r="G43" s="4"/>
      <c r="H43" s="38">
        <f>VLOOKUP($A43,'Data - Total'!$A$3:$AA$54,17,FALSE)/VLOOKUP($A43,'Data - Total'!$A$3:$AA$54,16,FALSE)</f>
        <v>10045.380581706471</v>
      </c>
      <c r="I43" s="14">
        <f>VLOOKUP($A43,'Data - Total'!$A$3:$AA$54,16,FALSE)/VLOOKUP($A43,'Data - Total'!$A$3:$AA$54,13,FALSE)</f>
        <v>4.833186976651152E-2</v>
      </c>
      <c r="J43" s="4"/>
      <c r="K43" s="58">
        <f>VLOOKUP($A43,'Data - Total'!$A$3:$AA$54,14,FALSE)/VLOOKUP($A43,'Data - Total'!$A$3:$AA$54,13,FALSE)</f>
        <v>0.70805064888807023</v>
      </c>
      <c r="L43" s="4"/>
      <c r="M43" s="58">
        <f>VLOOKUP($A43,'Data - Total'!$A$3:$AA$54,15,FALSE)/VLOOKUP($A43,'Data - Total'!$A$3:$AA$54,14,FALSE)</f>
        <v>7.3854702871251579E-2</v>
      </c>
      <c r="N43" s="4"/>
      <c r="O43" s="99">
        <f>VLOOKUP($A43,'Data - Total'!$A$3:$AA$54,16,FALSE)/VLOOKUP($A43,'Data - Total'!$A$3:$AA$54,15,FALSE)</f>
        <v>0.92425352628686575</v>
      </c>
    </row>
    <row r="44" spans="1:15" x14ac:dyDescent="0.25">
      <c r="A44" s="3" t="s">
        <v>50</v>
      </c>
      <c r="B44" s="3" t="s">
        <v>51</v>
      </c>
      <c r="C44" s="78">
        <f>VLOOKUP($A44,'Data - Total'!$A$3:$AA$54,13,FALSE)/VLOOKUP($A44,'Data - Total'!$A$3:$AA$54,3,FALSE)</f>
        <v>0.57225262782581565</v>
      </c>
      <c r="D44" s="38">
        <f>VLOOKUP($A44,'Data - Total'!$A$3:$AA$54,17,FALSE)/VLOOKUP($A44,'Data - Total'!$A$3:$AA$54,13,FALSE)</f>
        <v>675.12482868218058</v>
      </c>
      <c r="E44" s="4"/>
      <c r="F44" s="58">
        <f>VLOOKUP($A44,'Data - Total'!$A$3:$AA$54,16,FALSE)/VLOOKUP($A44,'Data - Total'!$A$3:$AA$54,13,FALSE)</f>
        <v>6.1689436965868261E-2</v>
      </c>
      <c r="G44" s="4"/>
      <c r="H44" s="38">
        <f>VLOOKUP($A44,'Data - Total'!$A$3:$AA$54,17,FALSE)/VLOOKUP($A44,'Data - Total'!$A$3:$AA$54,16,FALSE)</f>
        <v>10943.92916984663</v>
      </c>
      <c r="I44" s="14">
        <f>VLOOKUP($A44,'Data - Total'!$A$3:$AA$54,16,FALSE)/VLOOKUP($A44,'Data - Total'!$A$3:$AA$54,13,FALSE)</f>
        <v>6.1689436965868261E-2</v>
      </c>
      <c r="J44" s="4"/>
      <c r="K44" s="58">
        <f>VLOOKUP($A44,'Data - Total'!$A$3:$AA$54,14,FALSE)/VLOOKUP($A44,'Data - Total'!$A$3:$AA$54,13,FALSE)</f>
        <v>0.75760805106973328</v>
      </c>
      <c r="L44" s="4"/>
      <c r="M44" s="58">
        <f>VLOOKUP($A44,'Data - Total'!$A$3:$AA$54,15,FALSE)/VLOOKUP($A44,'Data - Total'!$A$3:$AA$54,14,FALSE)</f>
        <v>0.12192061909783862</v>
      </c>
      <c r="N44" s="4"/>
      <c r="O44" s="99">
        <f>VLOOKUP($A44,'Data - Total'!$A$3:$AA$54,16,FALSE)/VLOOKUP($A44,'Data - Total'!$A$3:$AA$54,15,FALSE)</f>
        <v>0.66786558658284789</v>
      </c>
    </row>
    <row r="45" spans="1:15" x14ac:dyDescent="0.25">
      <c r="A45" s="3" t="s">
        <v>102</v>
      </c>
      <c r="B45" s="3" t="s">
        <v>103</v>
      </c>
      <c r="C45" s="78">
        <f>VLOOKUP($A45,'Data - Total'!$A$3:$AA$54,13,FALSE)/VLOOKUP($A45,'Data - Total'!$A$3:$AA$54,3,FALSE)</f>
        <v>0.57945637656679017</v>
      </c>
      <c r="D45" s="38">
        <f>VLOOKUP($A45,'Data - Total'!$A$3:$AA$54,17,FALSE)/VLOOKUP($A45,'Data - Total'!$A$3:$AA$54,13,FALSE)</f>
        <v>272.87254744957602</v>
      </c>
      <c r="E45" s="4"/>
      <c r="F45" s="58">
        <f>VLOOKUP($A45,'Data - Total'!$A$3:$AA$54,16,FALSE)/VLOOKUP($A45,'Data - Total'!$A$3:$AA$54,13,FALSE)</f>
        <v>3.1932330624180195E-2</v>
      </c>
      <c r="G45" s="4"/>
      <c r="H45" s="38">
        <f>VLOOKUP($A45,'Data - Total'!$A$3:$AA$54,17,FALSE)/VLOOKUP($A45,'Data - Total'!$A$3:$AA$54,16,FALSE)</f>
        <v>8545.3376598496088</v>
      </c>
      <c r="I45" s="14">
        <f>VLOOKUP($A45,'Data - Total'!$A$3:$AA$54,16,FALSE)/VLOOKUP($A45,'Data - Total'!$A$3:$AA$54,13,FALSE)</f>
        <v>3.1932330624180195E-2</v>
      </c>
      <c r="J45" s="4"/>
      <c r="K45" s="58">
        <f>VLOOKUP($A45,'Data - Total'!$A$3:$AA$54,14,FALSE)/VLOOKUP($A45,'Data - Total'!$A$3:$AA$54,13,FALSE)</f>
        <v>0.66435336540741663</v>
      </c>
      <c r="L45" s="4"/>
      <c r="M45" s="58">
        <f>VLOOKUP($A45,'Data - Total'!$A$3:$AA$54,15,FALSE)/VLOOKUP($A45,'Data - Total'!$A$3:$AA$54,14,FALSE)</f>
        <v>6.6337330502626218E-2</v>
      </c>
      <c r="N45" s="4"/>
      <c r="O45" s="99">
        <f>VLOOKUP($A45,'Data - Total'!$A$3:$AA$54,16,FALSE)/VLOOKUP($A45,'Data - Total'!$A$3:$AA$54,15,FALSE)</f>
        <v>0.72455855220159981</v>
      </c>
    </row>
    <row r="46" spans="1:15" x14ac:dyDescent="0.25">
      <c r="A46" s="3" t="s">
        <v>64</v>
      </c>
      <c r="B46" s="3" t="s">
        <v>65</v>
      </c>
      <c r="C46" s="78">
        <f>VLOOKUP($A46,'Data - Total'!$A$3:$AA$54,13,FALSE)/VLOOKUP($A46,'Data - Total'!$A$3:$AA$54,3,FALSE)</f>
        <v>0.58087013662831999</v>
      </c>
      <c r="D46" s="38">
        <f>VLOOKUP($A46,'Data - Total'!$A$3:$AA$54,17,FALSE)/VLOOKUP($A46,'Data - Total'!$A$3:$AA$54,13,FALSE)</f>
        <v>116.85697521281166</v>
      </c>
      <c r="E46" s="4"/>
      <c r="F46" s="58">
        <f>VLOOKUP($A46,'Data - Total'!$A$3:$AA$54,16,FALSE)/VLOOKUP($A46,'Data - Total'!$A$3:$AA$54,13,FALSE)</f>
        <v>2.6102846954638149E-2</v>
      </c>
      <c r="G46" s="4"/>
      <c r="H46" s="38">
        <f>VLOOKUP($A46,'Data - Total'!$A$3:$AA$54,17,FALSE)/VLOOKUP($A46,'Data - Total'!$A$3:$AA$54,16,FALSE)</f>
        <v>4476.790421209118</v>
      </c>
      <c r="I46" s="14">
        <f>VLOOKUP($A46,'Data - Total'!$A$3:$AA$54,16,FALSE)/VLOOKUP($A46,'Data - Total'!$A$3:$AA$54,13,FALSE)</f>
        <v>2.6102846954638149E-2</v>
      </c>
      <c r="J46" s="4"/>
      <c r="K46" s="58">
        <f>VLOOKUP($A46,'Data - Total'!$A$3:$AA$54,14,FALSE)/VLOOKUP($A46,'Data - Total'!$A$3:$AA$54,13,FALSE)</f>
        <v>0.60054341218812834</v>
      </c>
      <c r="L46" s="4"/>
      <c r="M46" s="58">
        <f>VLOOKUP($A46,'Data - Total'!$A$3:$AA$54,15,FALSE)/VLOOKUP($A46,'Data - Total'!$A$3:$AA$54,14,FALSE)</f>
        <v>5.1881680583390481E-2</v>
      </c>
      <c r="N46" s="4"/>
      <c r="O46" s="99">
        <f>VLOOKUP($A46,'Data - Total'!$A$3:$AA$54,16,FALSE)/VLOOKUP($A46,'Data - Total'!$A$3:$AA$54,15,FALSE)</f>
        <v>0.83777893098079914</v>
      </c>
    </row>
    <row r="47" spans="1:15" x14ac:dyDescent="0.25">
      <c r="A47" s="3" t="s">
        <v>16</v>
      </c>
      <c r="B47" s="3" t="s">
        <v>17</v>
      </c>
      <c r="C47" s="78">
        <f>VLOOKUP($A47,'Data - Total'!$A$3:$AA$54,13,FALSE)/VLOOKUP($A47,'Data - Total'!$A$3:$AA$54,3,FALSE)</f>
        <v>0.57787426741777548</v>
      </c>
      <c r="D47" s="38">
        <f>VLOOKUP($A47,'Data - Total'!$A$3:$AA$54,17,FALSE)/VLOOKUP($A47,'Data - Total'!$A$3:$AA$54,13,FALSE)</f>
        <v>359.25719934881329</v>
      </c>
      <c r="E47" s="4"/>
      <c r="F47" s="58">
        <f>VLOOKUP($A47,'Data - Total'!$A$3:$AA$54,16,FALSE)/VLOOKUP($A47,'Data - Total'!$A$3:$AA$54,13,FALSE)</f>
        <v>5.6648046944793487E-2</v>
      </c>
      <c r="G47" s="4"/>
      <c r="H47" s="38">
        <f>VLOOKUP($A47,'Data - Total'!$A$3:$AA$54,17,FALSE)/VLOOKUP($A47,'Data - Total'!$A$3:$AA$54,16,FALSE)</f>
        <v>6341.9167778004485</v>
      </c>
      <c r="I47" s="14">
        <f>VLOOKUP($A47,'Data - Total'!$A$3:$AA$54,16,FALSE)/VLOOKUP($A47,'Data - Total'!$A$3:$AA$54,13,FALSE)</f>
        <v>5.6648046944793487E-2</v>
      </c>
      <c r="J47" s="4"/>
      <c r="K47" s="58">
        <f>VLOOKUP($A47,'Data - Total'!$A$3:$AA$54,14,FALSE)/VLOOKUP($A47,'Data - Total'!$A$3:$AA$54,13,FALSE)</f>
        <v>0.59466444793881656</v>
      </c>
      <c r="L47" s="4"/>
      <c r="M47" s="58">
        <f>VLOOKUP($A47,'Data - Total'!$A$3:$AA$54,15,FALSE)/VLOOKUP($A47,'Data - Total'!$A$3:$AA$54,14,FALSE)</f>
        <v>0.1256140528767756</v>
      </c>
      <c r="N47" s="4"/>
      <c r="O47" s="99">
        <f>VLOOKUP($A47,'Data - Total'!$A$3:$AA$54,16,FALSE)/VLOOKUP($A47,'Data - Total'!$A$3:$AA$54,15,FALSE)</f>
        <v>0.75835881311662112</v>
      </c>
    </row>
    <row r="48" spans="1:15" x14ac:dyDescent="0.25">
      <c r="A48" s="3" t="s">
        <v>20</v>
      </c>
      <c r="B48" s="3" t="s">
        <v>21</v>
      </c>
      <c r="C48" s="78">
        <f>VLOOKUP($A48,'Data - Total'!$A$3:$AA$54,13,FALSE)/VLOOKUP($A48,'Data - Total'!$A$3:$AA$54,3,FALSE)</f>
        <v>0.57977915491418386</v>
      </c>
      <c r="D48" s="38">
        <f>VLOOKUP($A48,'Data - Total'!$A$3:$AA$54,17,FALSE)/VLOOKUP($A48,'Data - Total'!$A$3:$AA$54,13,FALSE)</f>
        <v>619.54121105679849</v>
      </c>
      <c r="E48" s="4"/>
      <c r="F48" s="58">
        <f>VLOOKUP($A48,'Data - Total'!$A$3:$AA$54,16,FALSE)/VLOOKUP($A48,'Data - Total'!$A$3:$AA$54,13,FALSE)</f>
        <v>8.7424611841017699E-2</v>
      </c>
      <c r="G48" s="4"/>
      <c r="H48" s="38">
        <f>VLOOKUP($A48,'Data - Total'!$A$3:$AA$54,17,FALSE)/VLOOKUP($A48,'Data - Total'!$A$3:$AA$54,16,FALSE)</f>
        <v>7086.5766288266595</v>
      </c>
      <c r="I48" s="14">
        <f>VLOOKUP($A48,'Data - Total'!$A$3:$AA$54,16,FALSE)/VLOOKUP($A48,'Data - Total'!$A$3:$AA$54,13,FALSE)</f>
        <v>8.7424611841017699E-2</v>
      </c>
      <c r="J48" s="4"/>
      <c r="K48" s="58">
        <f>VLOOKUP($A48,'Data - Total'!$A$3:$AA$54,14,FALSE)/VLOOKUP($A48,'Data - Total'!$A$3:$AA$54,13,FALSE)</f>
        <v>0.76294856519823684</v>
      </c>
      <c r="L48" s="4"/>
      <c r="M48" s="58">
        <f>VLOOKUP($A48,'Data - Total'!$A$3:$AA$54,15,FALSE)/VLOOKUP($A48,'Data - Total'!$A$3:$AA$54,14,FALSE)</f>
        <v>0.12806961061471303</v>
      </c>
      <c r="N48" s="4"/>
      <c r="O48" s="99">
        <f>VLOOKUP($A48,'Data - Total'!$A$3:$AA$54,16,FALSE)/VLOOKUP($A48,'Data - Total'!$A$3:$AA$54,15,FALSE)</f>
        <v>0.89473074929157792</v>
      </c>
    </row>
    <row r="49" spans="1:15" x14ac:dyDescent="0.25">
      <c r="A49" s="3" t="s">
        <v>72</v>
      </c>
      <c r="B49" s="3" t="s">
        <v>73</v>
      </c>
      <c r="C49" s="78">
        <f>VLOOKUP($A49,'Data - Total'!$A$3:$AA$54,13,FALSE)/VLOOKUP($A49,'Data - Total'!$A$3:$AA$54,3,FALSE)</f>
        <v>0.57581622160203194</v>
      </c>
      <c r="D49" s="38">
        <f>VLOOKUP($A49,'Data - Total'!$A$3:$AA$54,17,FALSE)/VLOOKUP($A49,'Data - Total'!$A$3:$AA$54,13,FALSE)</f>
        <v>954.50439992607858</v>
      </c>
      <c r="E49" s="4"/>
      <c r="F49" s="58">
        <f>VLOOKUP($A49,'Data - Total'!$A$3:$AA$54,16,FALSE)/VLOOKUP($A49,'Data - Total'!$A$3:$AA$54,13,FALSE)</f>
        <v>0.11298196564996436</v>
      </c>
      <c r="G49" s="4"/>
      <c r="H49" s="38">
        <f>VLOOKUP($A49,'Data - Total'!$A$3:$AA$54,17,FALSE)/VLOOKUP($A49,'Data - Total'!$A$3:$AA$54,16,FALSE)</f>
        <v>8448.2899056941624</v>
      </c>
      <c r="I49" s="14">
        <f>VLOOKUP($A49,'Data - Total'!$A$3:$AA$54,16,FALSE)/VLOOKUP($A49,'Data - Total'!$A$3:$AA$54,13,FALSE)</f>
        <v>0.11298196564996436</v>
      </c>
      <c r="J49" s="4"/>
      <c r="K49" s="58">
        <f>VLOOKUP($A49,'Data - Total'!$A$3:$AA$54,14,FALSE)/VLOOKUP($A49,'Data - Total'!$A$3:$AA$54,13,FALSE)</f>
        <v>0.66039935892436907</v>
      </c>
      <c r="L49" s="4"/>
      <c r="M49" s="58">
        <f>VLOOKUP($A49,'Data - Total'!$A$3:$AA$54,15,FALSE)/VLOOKUP($A49,'Data - Total'!$A$3:$AA$54,14,FALSE)</f>
        <v>0.22522740173686789</v>
      </c>
      <c r="N49" s="4"/>
      <c r="O49" s="99">
        <f>VLOOKUP($A49,'Data - Total'!$A$3:$AA$54,16,FALSE)/VLOOKUP($A49,'Data - Total'!$A$3:$AA$54,15,FALSE)</f>
        <v>0.7595935293548699</v>
      </c>
    </row>
    <row r="50" spans="1:15" x14ac:dyDescent="0.25">
      <c r="A50" s="3" t="s">
        <v>86</v>
      </c>
      <c r="B50" s="3" t="s">
        <v>87</v>
      </c>
      <c r="C50" s="78">
        <f>VLOOKUP($A50,'Data - Total'!$A$3:$AA$54,13,FALSE)/VLOOKUP($A50,'Data - Total'!$A$3:$AA$54,3,FALSE)</f>
        <v>0.56390353041313057</v>
      </c>
      <c r="D50" s="38">
        <f>VLOOKUP($A50,'Data - Total'!$A$3:$AA$54,17,FALSE)/VLOOKUP($A50,'Data - Total'!$A$3:$AA$54,13,FALSE)</f>
        <v>459.64880516528996</v>
      </c>
      <c r="E50" s="4"/>
      <c r="F50" s="58">
        <f>VLOOKUP($A50,'Data - Total'!$A$3:$AA$54,16,FALSE)/VLOOKUP($A50,'Data - Total'!$A$3:$AA$54,13,FALSE)</f>
        <v>5.0511226921503553E-2</v>
      </c>
      <c r="G50" s="4"/>
      <c r="H50" s="38">
        <f>VLOOKUP($A50,'Data - Total'!$A$3:$AA$54,17,FALSE)/VLOOKUP($A50,'Data - Total'!$A$3:$AA$54,16,FALSE)</f>
        <v>9099.9334836907128</v>
      </c>
      <c r="I50" s="14">
        <f>VLOOKUP($A50,'Data - Total'!$A$3:$AA$54,16,FALSE)/VLOOKUP($A50,'Data - Total'!$A$3:$AA$54,13,FALSE)</f>
        <v>5.0511226921503553E-2</v>
      </c>
      <c r="J50" s="4"/>
      <c r="K50" s="58">
        <f>VLOOKUP($A50,'Data - Total'!$A$3:$AA$54,14,FALSE)/VLOOKUP($A50,'Data - Total'!$A$3:$AA$54,13,FALSE)</f>
        <v>0.7080752376060665</v>
      </c>
      <c r="L50" s="4"/>
      <c r="M50" s="58">
        <f>VLOOKUP($A50,'Data - Total'!$A$3:$AA$54,15,FALSE)/VLOOKUP($A50,'Data - Total'!$A$3:$AA$54,14,FALSE)</f>
        <v>0.13100391507362691</v>
      </c>
      <c r="N50" s="4"/>
      <c r="O50" s="99">
        <f>VLOOKUP($A50,'Data - Total'!$A$3:$AA$54,16,FALSE)/VLOOKUP($A50,'Data - Total'!$A$3:$AA$54,15,FALSE)</f>
        <v>0.5445330400513243</v>
      </c>
    </row>
    <row r="51" spans="1:15" x14ac:dyDescent="0.25">
      <c r="A51" s="3" t="s">
        <v>48</v>
      </c>
      <c r="B51" s="3" t="s">
        <v>49</v>
      </c>
      <c r="C51" s="78">
        <f>VLOOKUP($A51,'Data - Total'!$A$3:$AA$54,13,FALSE)/VLOOKUP($A51,'Data - Total'!$A$3:$AA$54,3,FALSE)</f>
        <v>0.59423857849384443</v>
      </c>
      <c r="D51" s="38">
        <f>VLOOKUP($A51,'Data - Total'!$A$3:$AA$54,17,FALSE)/VLOOKUP($A51,'Data - Total'!$A$3:$AA$54,13,FALSE)</f>
        <v>366.90238836790434</v>
      </c>
      <c r="E51" s="4"/>
      <c r="F51" s="58">
        <f>VLOOKUP($A51,'Data - Total'!$A$3:$AA$54,16,FALSE)/VLOOKUP($A51,'Data - Total'!$A$3:$AA$54,13,FALSE)</f>
        <v>4.2209453031488882E-2</v>
      </c>
      <c r="G51" s="4"/>
      <c r="H51" s="38">
        <f>VLOOKUP($A51,'Data - Total'!$A$3:$AA$54,17,FALSE)/VLOOKUP($A51,'Data - Total'!$A$3:$AA$54,16,FALSE)</f>
        <v>8692.4222423396404</v>
      </c>
      <c r="I51" s="14">
        <f>VLOOKUP($A51,'Data - Total'!$A$3:$AA$54,16,FALSE)/VLOOKUP($A51,'Data - Total'!$A$3:$AA$54,13,FALSE)</f>
        <v>4.2209453031488882E-2</v>
      </c>
      <c r="J51" s="4"/>
      <c r="K51" s="58">
        <f>VLOOKUP($A51,'Data - Total'!$A$3:$AA$54,14,FALSE)/VLOOKUP($A51,'Data - Total'!$A$3:$AA$54,13,FALSE)</f>
        <v>0.74796443649572297</v>
      </c>
      <c r="L51" s="4"/>
      <c r="M51" s="58">
        <f>VLOOKUP($A51,'Data - Total'!$A$3:$AA$54,15,FALSE)/VLOOKUP($A51,'Data - Total'!$A$3:$AA$54,14,FALSE)</f>
        <v>5.8835099346702183E-2</v>
      </c>
      <c r="N51" s="4"/>
      <c r="O51" s="99">
        <f>VLOOKUP($A51,'Data - Total'!$A$3:$AA$54,16,FALSE)/VLOOKUP($A51,'Data - Total'!$A$3:$AA$54,15,FALSE)</f>
        <v>0.95916270622468802</v>
      </c>
    </row>
    <row r="52" spans="1:15" x14ac:dyDescent="0.25">
      <c r="A52" s="3" t="s">
        <v>54</v>
      </c>
      <c r="B52" s="3" t="s">
        <v>55</v>
      </c>
      <c r="C52" s="78">
        <f>VLOOKUP($A52,'Data - Total'!$A$3:$AA$54,13,FALSE)/VLOOKUP($A52,'Data - Total'!$A$3:$AA$54,3,FALSE)</f>
        <v>0.57899594221174733</v>
      </c>
      <c r="D52" s="38">
        <f>VLOOKUP($A52,'Data - Total'!$A$3:$AA$54,17,FALSE)/VLOOKUP($A52,'Data - Total'!$A$3:$AA$54,13,FALSE)</f>
        <v>470.28540007032308</v>
      </c>
      <c r="E52" s="4"/>
      <c r="F52" s="58">
        <f>VLOOKUP($A52,'Data - Total'!$A$3:$AA$54,16,FALSE)/VLOOKUP($A52,'Data - Total'!$A$3:$AA$54,13,FALSE)</f>
        <v>5.4892067910558187E-2</v>
      </c>
      <c r="G52" s="4"/>
      <c r="H52" s="38">
        <f>VLOOKUP($A52,'Data - Total'!$A$3:$AA$54,17,FALSE)/VLOOKUP($A52,'Data - Total'!$A$3:$AA$54,16,FALSE)</f>
        <v>8567.4564280692048</v>
      </c>
      <c r="I52" s="14">
        <f>VLOOKUP($A52,'Data - Total'!$A$3:$AA$54,16,FALSE)/VLOOKUP($A52,'Data - Total'!$A$3:$AA$54,13,FALSE)</f>
        <v>5.4892067910558187E-2</v>
      </c>
      <c r="J52" s="4"/>
      <c r="K52" s="58">
        <f>VLOOKUP($A52,'Data - Total'!$A$3:$AA$54,14,FALSE)/VLOOKUP($A52,'Data - Total'!$A$3:$AA$54,13,FALSE)</f>
        <v>0.736106293534187</v>
      </c>
      <c r="L52" s="4"/>
      <c r="M52" s="58">
        <f>VLOOKUP($A52,'Data - Total'!$A$3:$AA$54,15,FALSE)/VLOOKUP($A52,'Data - Total'!$A$3:$AA$54,14,FALSE)</f>
        <v>0.17306442699709879</v>
      </c>
      <c r="N52" s="4"/>
      <c r="O52" s="99">
        <f>VLOOKUP($A52,'Data - Total'!$A$3:$AA$54,16,FALSE)/VLOOKUP($A52,'Data - Total'!$A$3:$AA$54,15,FALSE)</f>
        <v>0.43088487761173933</v>
      </c>
    </row>
    <row r="53" spans="1:15" x14ac:dyDescent="0.25">
      <c r="A53" s="3" t="s">
        <v>68</v>
      </c>
      <c r="B53" s="3" t="s">
        <v>69</v>
      </c>
      <c r="C53" s="78">
        <f>VLOOKUP($A53,'Data - Total'!$A$3:$AA$54,13,FALSE)/VLOOKUP($A53,'Data - Total'!$A$3:$AA$54,3,FALSE)</f>
        <v>0.57537927098428698</v>
      </c>
      <c r="D53" s="38">
        <f>VLOOKUP($A53,'Data - Total'!$A$3:$AA$54,17,FALSE)/VLOOKUP($A53,'Data - Total'!$A$3:$AA$54,13,FALSE)</f>
        <v>148.00175231583441</v>
      </c>
      <c r="E53" s="4"/>
      <c r="F53" s="58">
        <f>VLOOKUP($A53,'Data - Total'!$A$3:$AA$54,16,FALSE)/VLOOKUP($A53,'Data - Total'!$A$3:$AA$54,13,FALSE)</f>
        <v>4.5467076419316382E-2</v>
      </c>
      <c r="G53" s="4"/>
      <c r="H53" s="38">
        <f>VLOOKUP($A53,'Data - Total'!$A$3:$AA$54,17,FALSE)/VLOOKUP($A53,'Data - Total'!$A$3:$AA$54,16,FALSE)</f>
        <v>3255.1411696432906</v>
      </c>
      <c r="I53" s="14">
        <f>VLOOKUP($A53,'Data - Total'!$A$3:$AA$54,16,FALSE)/VLOOKUP($A53,'Data - Total'!$A$3:$AA$54,13,FALSE)</f>
        <v>4.5467076419316382E-2</v>
      </c>
      <c r="J53" s="4"/>
      <c r="K53" s="58">
        <f>VLOOKUP($A53,'Data - Total'!$A$3:$AA$54,14,FALSE)/VLOOKUP($A53,'Data - Total'!$A$3:$AA$54,13,FALSE)</f>
        <v>0.73452322271537562</v>
      </c>
      <c r="L53" s="4"/>
      <c r="M53" s="58">
        <f>VLOOKUP($A53,'Data - Total'!$A$3:$AA$54,15,FALSE)/VLOOKUP($A53,'Data - Total'!$A$3:$AA$54,14,FALSE)</f>
        <v>4.3333007675707635E-2</v>
      </c>
      <c r="N53" s="4"/>
      <c r="O53" s="100">
        <f>VLOOKUP($A53,'Data - Total'!$A$3:$AA$54,16,FALSE)/VLOOKUP($A53,'Data - Total'!$A$3:$AA$54,15,FALSE)</f>
        <v>1.4284750677677616</v>
      </c>
    </row>
    <row r="54" spans="1:15" x14ac:dyDescent="0.25">
      <c r="A54" s="3" t="s">
        <v>24</v>
      </c>
      <c r="B54" s="3" t="s">
        <v>25</v>
      </c>
      <c r="C54" s="78">
        <f>VLOOKUP($A54,'Data - Total'!$A$3:$AA$54,13,FALSE)/VLOOKUP($A54,'Data - Total'!$A$3:$AA$54,3,FALSE)</f>
        <v>0.6418050187772032</v>
      </c>
      <c r="D54" s="88">
        <f>VLOOKUP($A54,'Data - Total'!$A$3:$AA$54,17,FALSE)/VLOOKUP($A54,'Data - Total'!$A$3:$AA$54,13,FALSE)</f>
        <v>1057.3060094593141</v>
      </c>
      <c r="E54" s="5"/>
      <c r="F54" s="86">
        <f>VLOOKUP($A54,'Data - Total'!$A$3:$AA$54,16,FALSE)/VLOOKUP($A54,'Data - Total'!$A$3:$AA$54,13,FALSE)</f>
        <v>0.11023883737787933</v>
      </c>
      <c r="G54" s="5"/>
      <c r="H54" s="88">
        <f>VLOOKUP($A54,'Data - Total'!$A$3:$AA$54,17,FALSE)/VLOOKUP($A54,'Data - Total'!$A$3:$AA$54,16,FALSE)</f>
        <v>9591.0482603790097</v>
      </c>
      <c r="I54" s="96">
        <f>VLOOKUP($A54,'Data - Total'!$A$3:$AA$54,16,FALSE)/VLOOKUP($A54,'Data - Total'!$A$3:$AA$54,13,FALSE)</f>
        <v>0.11023883737787933</v>
      </c>
      <c r="J54" s="5"/>
      <c r="K54" s="86">
        <f>VLOOKUP($A54,'Data - Total'!$A$3:$AA$54,14,FALSE)/VLOOKUP($A54,'Data - Total'!$A$3:$AA$54,13,FALSE)</f>
        <v>0.67354406469055161</v>
      </c>
      <c r="L54" s="5"/>
      <c r="M54" s="86">
        <f>VLOOKUP($A54,'Data - Total'!$A$3:$AA$54,15,FALSE)/VLOOKUP($A54,'Data - Total'!$A$3:$AA$54,14,FALSE)</f>
        <v>0.30154305859085506</v>
      </c>
      <c r="N54" s="5"/>
      <c r="O54" s="101">
        <f>VLOOKUP($A54,'Data - Total'!$A$3:$AA$54,16,FALSE)/VLOOKUP($A54,'Data - Total'!$A$3:$AA$54,15,FALSE)</f>
        <v>0.54277429917638387</v>
      </c>
    </row>
  </sheetData>
  <mergeCells count="2">
    <mergeCell ref="D1:H1"/>
    <mergeCell ref="I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workbookViewId="0">
      <selection activeCell="S41" sqref="S41"/>
    </sheetView>
  </sheetViews>
  <sheetFormatPr defaultRowHeight="15" x14ac:dyDescent="0.25"/>
  <cols>
    <col min="2" max="2" width="19.140625" bestFit="1" customWidth="1"/>
    <col min="3" max="3" width="19.140625" style="50" customWidth="1"/>
    <col min="4" max="4" width="16.28515625" style="7" customWidth="1"/>
    <col min="5" max="5" width="2.5703125" bestFit="1" customWidth="1"/>
    <col min="6" max="6" width="15.85546875" style="15" customWidth="1"/>
    <col min="7" max="7" width="2.28515625" bestFit="1" customWidth="1"/>
    <col min="8" max="8" width="17.5703125" style="53" customWidth="1"/>
    <col min="9" max="9" width="19.42578125" customWidth="1"/>
    <col min="10" max="10" width="4.28515625" bestFit="1" customWidth="1"/>
    <col min="11" max="11" width="45.140625" bestFit="1" customWidth="1"/>
    <col min="12" max="12" width="4" bestFit="1" customWidth="1"/>
    <col min="13" max="13" width="29.5703125" customWidth="1"/>
    <col min="14" max="14" width="2" bestFit="1" customWidth="1"/>
    <col min="15" max="15" width="18.5703125" style="50" bestFit="1" customWidth="1"/>
  </cols>
  <sheetData>
    <row r="1" spans="1:15" x14ac:dyDescent="0.25">
      <c r="A1" s="1"/>
      <c r="B1" s="1"/>
      <c r="C1" s="56"/>
      <c r="D1" s="133" t="s">
        <v>111</v>
      </c>
      <c r="E1" s="134"/>
      <c r="F1" s="134"/>
      <c r="G1" s="134"/>
      <c r="H1" s="135"/>
      <c r="I1" s="133" t="s">
        <v>112</v>
      </c>
      <c r="J1" s="134"/>
      <c r="K1" s="134"/>
      <c r="L1" s="134"/>
      <c r="M1" s="134"/>
      <c r="N1" s="134"/>
      <c r="O1" s="135"/>
    </row>
    <row r="2" spans="1:15" s="11" customFormat="1" ht="45.75" customHeight="1" x14ac:dyDescent="0.25">
      <c r="A2" s="9" t="s">
        <v>0</v>
      </c>
      <c r="B2" s="9" t="s">
        <v>1</v>
      </c>
      <c r="C2" s="57" t="s">
        <v>160</v>
      </c>
      <c r="D2" s="55" t="s">
        <v>113</v>
      </c>
      <c r="E2" s="9" t="s">
        <v>114</v>
      </c>
      <c r="F2" s="13" t="s">
        <v>115</v>
      </c>
      <c r="G2" s="9" t="s">
        <v>116</v>
      </c>
      <c r="H2" s="52" t="s">
        <v>117</v>
      </c>
      <c r="I2" s="51" t="s">
        <v>118</v>
      </c>
      <c r="J2" s="10" t="s">
        <v>114</v>
      </c>
      <c r="K2" s="10" t="s">
        <v>119</v>
      </c>
      <c r="L2" s="10" t="s">
        <v>116</v>
      </c>
      <c r="M2" s="10" t="s">
        <v>120</v>
      </c>
      <c r="N2" s="10" t="s">
        <v>116</v>
      </c>
      <c r="O2" s="10" t="s">
        <v>121</v>
      </c>
    </row>
    <row r="3" spans="1:15" x14ac:dyDescent="0.25">
      <c r="A3" s="69" t="s">
        <v>56</v>
      </c>
      <c r="B3" s="70" t="s">
        <v>57</v>
      </c>
      <c r="C3" s="78">
        <f>VLOOKUP($A3,'Data - Total'!$A$3:$AA$54,18,FALSE)/VLOOKUP($A3,'Data - Total'!$A$2:$G$54,3,FALSE)</f>
        <v>6.8797589890359584E-2</v>
      </c>
      <c r="D3" s="38">
        <f>VLOOKUP($A3,'Data - Total'!$A$3:$AA$54,22,FALSE)/VLOOKUP($A3,'Data - Total'!$A$3:$AA$54,18,FALSE)</f>
        <v>8850.7085334644489</v>
      </c>
      <c r="E3" s="4"/>
      <c r="F3" s="58">
        <f>VLOOKUP($A3,'Data - Total'!$A$3:$AA$54,21,FALSE)/VLOOKUP($A3,'Data - Total'!$A$3:$AA$54,18,FALSE)</f>
        <v>0.54695909321892122</v>
      </c>
      <c r="G3" s="4"/>
      <c r="H3" s="18">
        <f>VLOOKUP($A3,'Data - Total'!$A$3:$AA$54,22,FALSE)/VLOOKUP($A3,'Data - Total'!$A$3:$AA$54,21,FALSE)</f>
        <v>16181.664484956169</v>
      </c>
      <c r="I3" s="58">
        <f>VLOOKUP($A3,'Data - Total'!$A$3:$AA$54,21,FALSE)/VLOOKUP($A3,'Data - Total'!$A$3:$AA$54,18,FALSE)</f>
        <v>0.54695909321892122</v>
      </c>
      <c r="J3" s="4"/>
      <c r="K3" s="58">
        <f>VLOOKUP($A3,'Data - Total'!$A$3:$AA$54,19,FALSE)/VLOOKUP($A3,'Data - Total'!$A$3:$AA$54,18,FALSE)</f>
        <v>0.24694081737922466</v>
      </c>
      <c r="L3" s="4"/>
      <c r="M3" s="91">
        <f>VLOOKUP($A3,'Data - Total'!$A$3:$AA$54,20,FALSE)/VLOOKUP($A3,'Data - Total'!$A$3:$AA$54,19,FALSE)</f>
        <v>4.7597386136115736</v>
      </c>
      <c r="N3" s="4"/>
      <c r="O3" s="94">
        <f>VLOOKUP($A3,'Data - Total'!$A$3:$AA$54,21,FALSE)/VLOOKUP($A3,'Data - Total'!$A$3:$AA$54,20,FALSE)</f>
        <v>0.46534908247205231</v>
      </c>
    </row>
    <row r="4" spans="1:15" x14ac:dyDescent="0.25">
      <c r="A4" s="69" t="s">
        <v>32</v>
      </c>
      <c r="B4" s="70" t="s">
        <v>33</v>
      </c>
      <c r="C4" s="78">
        <f>VLOOKUP($A4,'Data - Total'!$A$3:$AA$54,18,FALSE)/VLOOKUP($A4,'Data - Total'!$A$2:$G$54,3,FALSE)</f>
        <v>3.8592905742413135E-2</v>
      </c>
      <c r="D4" s="38">
        <f>VLOOKUP($A4,'Data - Total'!$A$3:$AA$54,22,FALSE)/VLOOKUP($A4,'Data - Total'!$A$3:$AA$54,18,FALSE)</f>
        <v>13490.875646822105</v>
      </c>
      <c r="E4" s="4"/>
      <c r="F4" s="58">
        <f>VLOOKUP($A4,'Data - Total'!$A$3:$AA$54,21,FALSE)/VLOOKUP($A4,'Data - Total'!$A$3:$AA$54,18,FALSE)</f>
        <v>0.48282487453822287</v>
      </c>
      <c r="G4" s="4"/>
      <c r="H4" s="18">
        <f>VLOOKUP($A4,'Data - Total'!$A$3:$AA$54,22,FALSE)/VLOOKUP($A4,'Data - Total'!$A$3:$AA$54,21,FALSE)</f>
        <v>27941.550566807218</v>
      </c>
      <c r="I4" s="58">
        <f>VLOOKUP($A4,'Data - Total'!$A$3:$AA$54,21,FALSE)/VLOOKUP($A4,'Data - Total'!$A$3:$AA$54,18,FALSE)</f>
        <v>0.48282487453822287</v>
      </c>
      <c r="J4" s="4"/>
      <c r="K4" s="58">
        <f>VLOOKUP($A4,'Data - Total'!$A$3:$AA$54,19,FALSE)/VLOOKUP($A4,'Data - Total'!$A$3:$AA$54,18,FALSE)</f>
        <v>0.29427286771999039</v>
      </c>
      <c r="L4" s="4"/>
      <c r="M4" s="91">
        <f>VLOOKUP($A4,'Data - Total'!$A$3:$AA$54,20,FALSE)/VLOOKUP($A4,'Data - Total'!$A$3:$AA$54,19,FALSE)</f>
        <v>3.0011216402785421</v>
      </c>
      <c r="N4" s="4"/>
      <c r="O4" s="94">
        <f>VLOOKUP($A4,'Data - Total'!$A$3:$AA$54,21,FALSE)/VLOOKUP($A4,'Data - Total'!$A$3:$AA$54,20,FALSE)</f>
        <v>0.54670848764265745</v>
      </c>
    </row>
    <row r="5" spans="1:15" x14ac:dyDescent="0.25">
      <c r="A5" s="69" t="s">
        <v>80</v>
      </c>
      <c r="B5" s="70" t="s">
        <v>81</v>
      </c>
      <c r="C5" s="78">
        <f>VLOOKUP($A5,'Data - Total'!$A$3:$AA$54,18,FALSE)/VLOOKUP($A5,'Data - Total'!$A$2:$G$54,3,FALSE)</f>
        <v>5.7753446965603882E-2</v>
      </c>
      <c r="D5" s="38">
        <f>VLOOKUP($A5,'Data - Total'!$A$3:$AA$54,22,FALSE)/VLOOKUP($A5,'Data - Total'!$A$3:$AA$54,18,FALSE)</f>
        <v>8081.2239941109656</v>
      </c>
      <c r="E5" s="4"/>
      <c r="F5" s="58">
        <f>VLOOKUP($A5,'Data - Total'!$A$3:$AA$54,21,FALSE)/VLOOKUP($A5,'Data - Total'!$A$3:$AA$54,18,FALSE)</f>
        <v>0.43208833204503017</v>
      </c>
      <c r="G5" s="4"/>
      <c r="H5" s="18">
        <f>VLOOKUP($A5,'Data - Total'!$A$3:$AA$54,22,FALSE)/VLOOKUP($A5,'Data - Total'!$A$3:$AA$54,21,FALSE)</f>
        <v>18702.712836200302</v>
      </c>
      <c r="I5" s="58">
        <f>VLOOKUP($A5,'Data - Total'!$A$3:$AA$54,21,FALSE)/VLOOKUP($A5,'Data - Total'!$A$3:$AA$54,18,FALSE)</f>
        <v>0.43208833204503017</v>
      </c>
      <c r="J5" s="4"/>
      <c r="K5" s="58">
        <f>VLOOKUP($A5,'Data - Total'!$A$3:$AA$54,19,FALSE)/VLOOKUP($A5,'Data - Total'!$A$3:$AA$54,18,FALSE)</f>
        <v>0.27849744832159568</v>
      </c>
      <c r="L5" s="4"/>
      <c r="M5" s="91">
        <f>VLOOKUP($A5,'Data - Total'!$A$3:$AA$54,20,FALSE)/VLOOKUP($A5,'Data - Total'!$A$3:$AA$54,19,FALSE)</f>
        <v>3.7305046647648488</v>
      </c>
      <c r="N5" s="4"/>
      <c r="O5" s="94">
        <f>VLOOKUP($A5,'Data - Total'!$A$3:$AA$54,21,FALSE)/VLOOKUP($A5,'Data - Total'!$A$3:$AA$54,20,FALSE)</f>
        <v>0.41589503061905592</v>
      </c>
    </row>
    <row r="6" spans="1:15" x14ac:dyDescent="0.25">
      <c r="A6" s="69" t="s">
        <v>92</v>
      </c>
      <c r="B6" s="70" t="s">
        <v>93</v>
      </c>
      <c r="C6" s="78">
        <f>VLOOKUP($A6,'Data - Total'!$A$3:$AA$54,18,FALSE)/VLOOKUP($A6,'Data - Total'!$A$2:$G$54,3,FALSE)</f>
        <v>7.1232845053039534E-2</v>
      </c>
      <c r="D6" s="38">
        <f>VLOOKUP($A6,'Data - Total'!$A$3:$AA$54,22,FALSE)/VLOOKUP($A6,'Data - Total'!$A$3:$AA$54,18,FALSE)</f>
        <v>7133.6733207399657</v>
      </c>
      <c r="E6" s="4"/>
      <c r="F6" s="58">
        <f>VLOOKUP($A6,'Data - Total'!$A$3:$AA$54,21,FALSE)/VLOOKUP($A6,'Data - Total'!$A$3:$AA$54,18,FALSE)</f>
        <v>0.41099578313439655</v>
      </c>
      <c r="G6" s="4"/>
      <c r="H6" s="18">
        <f>VLOOKUP($A6,'Data - Total'!$A$3:$AA$54,22,FALSE)/VLOOKUP($A6,'Data - Total'!$A$3:$AA$54,21,FALSE)</f>
        <v>17357.047477071654</v>
      </c>
      <c r="I6" s="58">
        <f>VLOOKUP($A6,'Data - Total'!$A$3:$AA$54,21,FALSE)/VLOOKUP($A6,'Data - Total'!$A$3:$AA$54,18,FALSE)</f>
        <v>0.41099578313439655</v>
      </c>
      <c r="J6" s="4"/>
      <c r="K6" s="58">
        <f>VLOOKUP($A6,'Data - Total'!$A$3:$AA$54,19,FALSE)/VLOOKUP($A6,'Data - Total'!$A$3:$AA$54,18,FALSE)</f>
        <v>0.25377167069409523</v>
      </c>
      <c r="L6" s="4"/>
      <c r="M6" s="91">
        <f>VLOOKUP($A6,'Data - Total'!$A$3:$AA$54,20,FALSE)/VLOOKUP($A6,'Data - Total'!$A$3:$AA$54,19,FALSE)</f>
        <v>4.0350700331119871</v>
      </c>
      <c r="N6" s="4"/>
      <c r="O6" s="94">
        <f>VLOOKUP($A6,'Data - Total'!$A$3:$AA$54,21,FALSE)/VLOOKUP($A6,'Data - Total'!$A$3:$AA$54,20,FALSE)</f>
        <v>0.40136837518454205</v>
      </c>
    </row>
    <row r="7" spans="1:15" x14ac:dyDescent="0.25">
      <c r="A7" s="69" t="s">
        <v>42</v>
      </c>
      <c r="B7" s="70" t="s">
        <v>43</v>
      </c>
      <c r="C7" s="78">
        <f>VLOOKUP($A7,'Data - Total'!$A$3:$AA$54,18,FALSE)/VLOOKUP($A7,'Data - Total'!$A$2:$G$54,3,FALSE)</f>
        <v>7.7095842452056168E-2</v>
      </c>
      <c r="D7" s="38">
        <f>VLOOKUP($A7,'Data - Total'!$A$3:$AA$54,22,FALSE)/VLOOKUP($A7,'Data - Total'!$A$3:$AA$54,18,FALSE)</f>
        <v>7873.3862559325662</v>
      </c>
      <c r="E7" s="4"/>
      <c r="F7" s="58">
        <f>VLOOKUP($A7,'Data - Total'!$A$3:$AA$54,21,FALSE)/VLOOKUP($A7,'Data - Total'!$A$3:$AA$54,18,FALSE)</f>
        <v>0.50934449698882245</v>
      </c>
      <c r="G7" s="4"/>
      <c r="H7" s="18">
        <f>VLOOKUP($A7,'Data - Total'!$A$3:$AA$54,22,FALSE)/VLOOKUP($A7,'Data - Total'!$A$3:$AA$54,21,FALSE)</f>
        <v>15457.880280397625</v>
      </c>
      <c r="I7" s="58">
        <f>VLOOKUP($A7,'Data - Total'!$A$3:$AA$54,21,FALSE)/VLOOKUP($A7,'Data - Total'!$A$3:$AA$54,18,FALSE)</f>
        <v>0.50934449698882245</v>
      </c>
      <c r="J7" s="4"/>
      <c r="K7" s="58">
        <f>VLOOKUP($A7,'Data - Total'!$A$3:$AA$54,19,FALSE)/VLOOKUP($A7,'Data - Total'!$A$3:$AA$54,18,FALSE)</f>
        <v>0.22401709969241912</v>
      </c>
      <c r="L7" s="4"/>
      <c r="M7" s="91">
        <f>VLOOKUP($A7,'Data - Total'!$A$3:$AA$54,20,FALSE)/VLOOKUP($A7,'Data - Total'!$A$3:$AA$54,19,FALSE)</f>
        <v>5.4341606030814882</v>
      </c>
      <c r="N7" s="4"/>
      <c r="O7" s="94">
        <f>VLOOKUP($A7,'Data - Total'!$A$3:$AA$54,21,FALSE)/VLOOKUP($A7,'Data - Total'!$A$3:$AA$54,20,FALSE)</f>
        <v>0.41840607210626185</v>
      </c>
    </row>
    <row r="8" spans="1:15" x14ac:dyDescent="0.25">
      <c r="A8" s="69" t="s">
        <v>90</v>
      </c>
      <c r="B8" s="70" t="s">
        <v>91</v>
      </c>
      <c r="C8" s="78">
        <f>VLOOKUP($A8,'Data - Total'!$A$3:$AA$54,18,FALSE)/VLOOKUP($A8,'Data - Total'!$A$2:$G$54,3,FALSE)</f>
        <v>3.9002554861160374E-2</v>
      </c>
      <c r="D8" s="38">
        <f>VLOOKUP($A8,'Data - Total'!$A$3:$AA$54,22,FALSE)/VLOOKUP($A8,'Data - Total'!$A$3:$AA$54,18,FALSE)</f>
        <v>9801.9389601506773</v>
      </c>
      <c r="E8" s="4"/>
      <c r="F8" s="58">
        <f>VLOOKUP($A8,'Data - Total'!$A$3:$AA$54,21,FALSE)/VLOOKUP($A8,'Data - Total'!$A$3:$AA$54,18,FALSE)</f>
        <v>0.40297347839078057</v>
      </c>
      <c r="G8" s="4"/>
      <c r="H8" s="18">
        <f>VLOOKUP($A8,'Data - Total'!$A$3:$AA$54,22,FALSE)/VLOOKUP($A8,'Data - Total'!$A$3:$AA$54,21,FALSE)</f>
        <v>24324.029956744002</v>
      </c>
      <c r="I8" s="58">
        <f>VLOOKUP($A8,'Data - Total'!$A$3:$AA$54,21,FALSE)/VLOOKUP($A8,'Data - Total'!$A$3:$AA$54,18,FALSE)</f>
        <v>0.40297347839078057</v>
      </c>
      <c r="J8" s="4"/>
      <c r="K8" s="58">
        <f>VLOOKUP($A8,'Data - Total'!$A$3:$AA$54,19,FALSE)/VLOOKUP($A8,'Data - Total'!$A$3:$AA$54,18,FALSE)</f>
        <v>0.19799958575746607</v>
      </c>
      <c r="L8" s="4"/>
      <c r="M8" s="91">
        <f>VLOOKUP($A8,'Data - Total'!$A$3:$AA$54,20,FALSE)/VLOOKUP($A8,'Data - Total'!$A$3:$AA$54,19,FALSE)</f>
        <v>4.3382360906436856</v>
      </c>
      <c r="N8" s="4"/>
      <c r="O8" s="94">
        <f>VLOOKUP($A8,'Data - Total'!$A$3:$AA$54,21,FALSE)/VLOOKUP($A8,'Data - Total'!$A$3:$AA$54,20,FALSE)</f>
        <v>0.46913625797882152</v>
      </c>
    </row>
    <row r="9" spans="1:15" x14ac:dyDescent="0.25">
      <c r="A9" s="69" t="s">
        <v>14</v>
      </c>
      <c r="B9" s="70" t="s">
        <v>15</v>
      </c>
      <c r="C9" s="78">
        <f>VLOOKUP($A9,'Data - Total'!$A$3:$AA$54,18,FALSE)/VLOOKUP($A9,'Data - Total'!$A$2:$G$54,3,FALSE)</f>
        <v>7.9498293310086496E-2</v>
      </c>
      <c r="D9" s="38">
        <f>VLOOKUP($A9,'Data - Total'!$A$3:$AA$54,22,FALSE)/VLOOKUP($A9,'Data - Total'!$A$3:$AA$54,18,FALSE)</f>
        <v>7607.0801483096811</v>
      </c>
      <c r="E9" s="4"/>
      <c r="F9" s="58">
        <f>VLOOKUP($A9,'Data - Total'!$A$3:$AA$54,21,FALSE)/VLOOKUP($A9,'Data - Total'!$A$3:$AA$54,18,FALSE)</f>
        <v>0.42575250334341208</v>
      </c>
      <c r="G9" s="4"/>
      <c r="H9" s="18">
        <f>VLOOKUP($A9,'Data - Total'!$A$3:$AA$54,22,FALSE)/VLOOKUP($A9,'Data - Total'!$A$3:$AA$54,21,FALSE)</f>
        <v>17867.376207002144</v>
      </c>
      <c r="I9" s="58">
        <f>VLOOKUP($A9,'Data - Total'!$A$3:$AA$54,21,FALSE)/VLOOKUP($A9,'Data - Total'!$A$3:$AA$54,18,FALSE)</f>
        <v>0.42575250334341208</v>
      </c>
      <c r="J9" s="4"/>
      <c r="K9" s="58">
        <f>VLOOKUP($A9,'Data - Total'!$A$3:$AA$54,19,FALSE)/VLOOKUP($A9,'Data - Total'!$A$3:$AA$54,18,FALSE)</f>
        <v>0.22966755192648708</v>
      </c>
      <c r="L9" s="4"/>
      <c r="M9" s="91">
        <f>VLOOKUP($A9,'Data - Total'!$A$3:$AA$54,20,FALSE)/VLOOKUP($A9,'Data - Total'!$A$3:$AA$54,19,FALSE)</f>
        <v>3.9684496664842563</v>
      </c>
      <c r="N9" s="4"/>
      <c r="O9" s="94">
        <f>VLOOKUP($A9,'Data - Total'!$A$3:$AA$54,21,FALSE)/VLOOKUP($A9,'Data - Total'!$A$3:$AA$54,20,FALSE)</f>
        <v>0.4671288526090937</v>
      </c>
    </row>
    <row r="10" spans="1:15" x14ac:dyDescent="0.25">
      <c r="A10" s="69" t="s">
        <v>44</v>
      </c>
      <c r="B10" s="70" t="s">
        <v>45</v>
      </c>
      <c r="C10" s="78">
        <f>VLOOKUP($A10,'Data - Total'!$A$3:$AA$54,18,FALSE)/VLOOKUP($A10,'Data - Total'!$A$2:$G$54,3,FALSE)</f>
        <v>7.8397543410443415E-2</v>
      </c>
      <c r="D10" s="38">
        <f>VLOOKUP($A10,'Data - Total'!$A$3:$AA$54,22,FALSE)/VLOOKUP($A10,'Data - Total'!$A$3:$AA$54,18,FALSE)</f>
        <v>8837.4132809123439</v>
      </c>
      <c r="E10" s="4"/>
      <c r="F10" s="58">
        <f>VLOOKUP($A10,'Data - Total'!$A$3:$AA$54,21,FALSE)/VLOOKUP($A10,'Data - Total'!$A$3:$AA$54,18,FALSE)</f>
        <v>0.4451556831248924</v>
      </c>
      <c r="G10" s="4"/>
      <c r="H10" s="18">
        <f>VLOOKUP($A10,'Data - Total'!$A$3:$AA$54,22,FALSE)/VLOOKUP($A10,'Data - Total'!$A$3:$AA$54,21,FALSE)</f>
        <v>19852.410327271795</v>
      </c>
      <c r="I10" s="58">
        <f>VLOOKUP($A10,'Data - Total'!$A$3:$AA$54,21,FALSE)/VLOOKUP($A10,'Data - Total'!$A$3:$AA$54,18,FALSE)</f>
        <v>0.4451556831248924</v>
      </c>
      <c r="J10" s="4"/>
      <c r="K10" s="58">
        <f>VLOOKUP($A10,'Data - Total'!$A$3:$AA$54,19,FALSE)/VLOOKUP($A10,'Data - Total'!$A$3:$AA$54,18,FALSE)</f>
        <v>0.21433395763074911</v>
      </c>
      <c r="L10" s="4"/>
      <c r="M10" s="91">
        <f>VLOOKUP($A10,'Data - Total'!$A$3:$AA$54,20,FALSE)/VLOOKUP($A10,'Data - Total'!$A$3:$AA$54,19,FALSE)</f>
        <v>4.9089467447972268</v>
      </c>
      <c r="N10" s="4"/>
      <c r="O10" s="94">
        <f>VLOOKUP($A10,'Data - Total'!$A$3:$AA$54,21,FALSE)/VLOOKUP($A10,'Data - Total'!$A$3:$AA$54,20,FALSE)</f>
        <v>0.42308986142610661</v>
      </c>
    </row>
    <row r="11" spans="1:15" x14ac:dyDescent="0.25">
      <c r="A11" s="69" t="s">
        <v>40</v>
      </c>
      <c r="B11" s="70" t="s">
        <v>41</v>
      </c>
      <c r="C11" s="78">
        <f>VLOOKUP($A11,'Data - Total'!$A$3:$AA$54,18,FALSE)/VLOOKUP($A11,'Data - Total'!$A$2:$G$54,3,FALSE)</f>
        <v>4.6775363030426807E-2</v>
      </c>
      <c r="D11" s="38">
        <f>VLOOKUP($A11,'Data - Total'!$A$3:$AA$54,22,FALSE)/VLOOKUP($A11,'Data - Total'!$A$3:$AA$54,18,FALSE)</f>
        <v>9753.5690029379202</v>
      </c>
      <c r="E11" s="4"/>
      <c r="F11" s="58">
        <f>VLOOKUP($A11,'Data - Total'!$A$3:$AA$54,21,FALSE)/VLOOKUP($A11,'Data - Total'!$A$3:$AA$54,18,FALSE)</f>
        <v>0.42961041002701328</v>
      </c>
      <c r="G11" s="4"/>
      <c r="H11" s="18">
        <f>VLOOKUP($A11,'Data - Total'!$A$3:$AA$54,22,FALSE)/VLOOKUP($A11,'Data - Total'!$A$3:$AA$54,21,FALSE)</f>
        <v>22703.288317256163</v>
      </c>
      <c r="I11" s="58">
        <f>VLOOKUP($A11,'Data - Total'!$A$3:$AA$54,21,FALSE)/VLOOKUP($A11,'Data - Total'!$A$3:$AA$54,18,FALSE)</f>
        <v>0.42961041002701328</v>
      </c>
      <c r="J11" s="4"/>
      <c r="K11" s="58">
        <f>VLOOKUP($A11,'Data - Total'!$A$3:$AA$54,19,FALSE)/VLOOKUP($A11,'Data - Total'!$A$3:$AA$54,18,FALSE)</f>
        <v>0.21619468395200003</v>
      </c>
      <c r="L11" s="4"/>
      <c r="M11" s="91">
        <f>VLOOKUP($A11,'Data - Total'!$A$3:$AA$54,20,FALSE)/VLOOKUP($A11,'Data - Total'!$A$3:$AA$54,19,FALSE)</f>
        <v>5.0825927878056616</v>
      </c>
      <c r="N11" s="4"/>
      <c r="O11" s="94">
        <f>VLOOKUP($A11,'Data - Total'!$A$3:$AA$54,21,FALSE)/VLOOKUP($A11,'Data - Total'!$A$3:$AA$54,20,FALSE)</f>
        <v>0.39097093210040368</v>
      </c>
    </row>
    <row r="12" spans="1:15" x14ac:dyDescent="0.25">
      <c r="A12" s="69" t="s">
        <v>26</v>
      </c>
      <c r="B12" s="70" t="s">
        <v>27</v>
      </c>
      <c r="C12" s="78">
        <f>VLOOKUP($A12,'Data - Total'!$A$3:$AA$54,18,FALSE)/VLOOKUP($A12,'Data - Total'!$A$2:$G$54,3,FALSE)</f>
        <v>4.873809586630138E-2</v>
      </c>
      <c r="D12" s="38">
        <f>VLOOKUP($A12,'Data - Total'!$A$3:$AA$54,22,FALSE)/VLOOKUP($A12,'Data - Total'!$A$3:$AA$54,18,FALSE)</f>
        <v>7996.2516489768423</v>
      </c>
      <c r="E12" s="4"/>
      <c r="F12" s="58">
        <f>VLOOKUP($A12,'Data - Total'!$A$3:$AA$54,21,FALSE)/VLOOKUP($A12,'Data - Total'!$A$3:$AA$54,18,FALSE)</f>
        <v>0.41444447192461525</v>
      </c>
      <c r="G12" s="4"/>
      <c r="H12" s="18">
        <f>VLOOKUP($A12,'Data - Total'!$A$3:$AA$54,22,FALSE)/VLOOKUP($A12,'Data - Total'!$A$3:$AA$54,21,FALSE)</f>
        <v>19293.903503751666</v>
      </c>
      <c r="I12" s="58">
        <f>VLOOKUP($A12,'Data - Total'!$A$3:$AA$54,21,FALSE)/VLOOKUP($A12,'Data - Total'!$A$3:$AA$54,18,FALSE)</f>
        <v>0.41444447192461525</v>
      </c>
      <c r="J12" s="4"/>
      <c r="K12" s="58">
        <f>VLOOKUP($A12,'Data - Total'!$A$3:$AA$54,19,FALSE)/VLOOKUP($A12,'Data - Total'!$A$3:$AA$54,18,FALSE)</f>
        <v>0.28719694064063062</v>
      </c>
      <c r="L12" s="4"/>
      <c r="M12" s="91">
        <f>VLOOKUP($A12,'Data - Total'!$A$3:$AA$54,20,FALSE)/VLOOKUP($A12,'Data - Total'!$A$3:$AA$54,19,FALSE)</f>
        <v>3.6699001930853972</v>
      </c>
      <c r="N12" s="4"/>
      <c r="O12" s="94">
        <f>VLOOKUP($A12,'Data - Total'!$A$3:$AA$54,21,FALSE)/VLOOKUP($A12,'Data - Total'!$A$3:$AA$54,20,FALSE)</f>
        <v>0.39321700281250777</v>
      </c>
    </row>
    <row r="13" spans="1:15" x14ac:dyDescent="0.25">
      <c r="A13" s="69" t="s">
        <v>8</v>
      </c>
      <c r="B13" s="70" t="s">
        <v>9</v>
      </c>
      <c r="C13" s="78">
        <f>VLOOKUP($A13,'Data - Total'!$A$3:$AA$54,18,FALSE)/VLOOKUP($A13,'Data - Total'!$A$2:$G$54,3,FALSE)</f>
        <v>8.645572569989575E-2</v>
      </c>
      <c r="D13" s="38">
        <f>VLOOKUP($A13,'Data - Total'!$A$3:$AA$54,22,FALSE)/VLOOKUP($A13,'Data - Total'!$A$3:$AA$54,18,FALSE)</f>
        <v>4339.2536792709498</v>
      </c>
      <c r="E13" s="4"/>
      <c r="F13" s="58">
        <f>VLOOKUP($A13,'Data - Total'!$A$3:$AA$54,21,FALSE)/VLOOKUP($A13,'Data - Total'!$A$3:$AA$54,18,FALSE)</f>
        <v>0.35835272529546253</v>
      </c>
      <c r="G13" s="4"/>
      <c r="H13" s="18">
        <f>VLOOKUP($A13,'Data - Total'!$A$3:$AA$54,22,FALSE)/VLOOKUP($A13,'Data - Total'!$A$3:$AA$54,21,FALSE)</f>
        <v>12108.889853406938</v>
      </c>
      <c r="I13" s="58">
        <f>VLOOKUP($A13,'Data - Total'!$A$3:$AA$54,21,FALSE)/VLOOKUP($A13,'Data - Total'!$A$3:$AA$54,18,FALSE)</f>
        <v>0.35835272529546253</v>
      </c>
      <c r="J13" s="4"/>
      <c r="K13" s="58">
        <f>VLOOKUP($A13,'Data - Total'!$A$3:$AA$54,19,FALSE)/VLOOKUP($A13,'Data - Total'!$A$3:$AA$54,18,FALSE)</f>
        <v>0.25433873079937752</v>
      </c>
      <c r="L13" s="4"/>
      <c r="M13" s="91">
        <f>VLOOKUP($A13,'Data - Total'!$A$3:$AA$54,20,FALSE)/VLOOKUP($A13,'Data - Total'!$A$3:$AA$54,19,FALSE)</f>
        <v>0.92378841873904782</v>
      </c>
      <c r="N13" s="4"/>
      <c r="O13" s="95">
        <f>VLOOKUP($A13,'Data - Total'!$A$3:$AA$54,21,FALSE)/VLOOKUP($A13,'Data - Total'!$A$3:$AA$54,20,FALSE)</f>
        <v>1.5251961438944996</v>
      </c>
    </row>
    <row r="14" spans="1:15" x14ac:dyDescent="0.25">
      <c r="A14" s="69" t="s">
        <v>74</v>
      </c>
      <c r="B14" s="70" t="s">
        <v>75</v>
      </c>
      <c r="C14" s="78">
        <f>VLOOKUP($A14,'Data - Total'!$A$3:$AA$54,18,FALSE)/VLOOKUP($A14,'Data - Total'!$A$2:$G$54,3,FALSE)</f>
        <v>5.910652577820346E-2</v>
      </c>
      <c r="D14" s="38">
        <f>VLOOKUP($A14,'Data - Total'!$A$3:$AA$54,22,FALSE)/VLOOKUP($A14,'Data - Total'!$A$3:$AA$54,18,FALSE)</f>
        <v>8327.9923701771659</v>
      </c>
      <c r="E14" s="4"/>
      <c r="F14" s="58">
        <f>VLOOKUP($A14,'Data - Total'!$A$3:$AA$54,21,FALSE)/VLOOKUP($A14,'Data - Total'!$A$3:$AA$54,18,FALSE)</f>
        <v>0.43764994437185584</v>
      </c>
      <c r="G14" s="4"/>
      <c r="H14" s="18">
        <f>VLOOKUP($A14,'Data - Total'!$A$3:$AA$54,22,FALSE)/VLOOKUP($A14,'Data - Total'!$A$3:$AA$54,21,FALSE)</f>
        <v>19028.889360719673</v>
      </c>
      <c r="I14" s="58">
        <f>VLOOKUP($A14,'Data - Total'!$A$3:$AA$54,21,FALSE)/VLOOKUP($A14,'Data - Total'!$A$3:$AA$54,18,FALSE)</f>
        <v>0.43764994437185584</v>
      </c>
      <c r="J14" s="4"/>
      <c r="K14" s="58">
        <f>VLOOKUP($A14,'Data - Total'!$A$3:$AA$54,19,FALSE)/VLOOKUP($A14,'Data - Total'!$A$3:$AA$54,18,FALSE)</f>
        <v>0.24117284567205111</v>
      </c>
      <c r="L14" s="4"/>
      <c r="M14" s="91">
        <f>VLOOKUP($A14,'Data - Total'!$A$3:$AA$54,20,FALSE)/VLOOKUP($A14,'Data - Total'!$A$3:$AA$54,19,FALSE)</f>
        <v>4.5378954707774977</v>
      </c>
      <c r="N14" s="4"/>
      <c r="O14" s="94">
        <f>VLOOKUP($A14,'Data - Total'!$A$3:$AA$54,21,FALSE)/VLOOKUP($A14,'Data - Total'!$A$3:$AA$54,20,FALSE)</f>
        <v>0.39989316573983552</v>
      </c>
    </row>
    <row r="15" spans="1:15" x14ac:dyDescent="0.25">
      <c r="A15" s="69" t="s">
        <v>70</v>
      </c>
      <c r="B15" s="70" t="s">
        <v>71</v>
      </c>
      <c r="C15" s="78">
        <f>VLOOKUP($A15,'Data - Total'!$A$3:$AA$54,18,FALSE)/VLOOKUP($A15,'Data - Total'!$A$2:$G$54,3,FALSE)</f>
        <v>5.8649835159566857E-2</v>
      </c>
      <c r="D15" s="38">
        <f>VLOOKUP($A15,'Data - Total'!$A$3:$AA$54,22,FALSE)/VLOOKUP($A15,'Data - Total'!$A$3:$AA$54,18,FALSE)</f>
        <v>8708.5758124717322</v>
      </c>
      <c r="E15" s="4"/>
      <c r="F15" s="58">
        <f>VLOOKUP($A15,'Data - Total'!$A$3:$AA$54,21,FALSE)/VLOOKUP($A15,'Data - Total'!$A$3:$AA$54,18,FALSE)</f>
        <v>0.41866091656035009</v>
      </c>
      <c r="G15" s="4"/>
      <c r="H15" s="18">
        <f>VLOOKUP($A15,'Data - Total'!$A$3:$AA$54,22,FALSE)/VLOOKUP($A15,'Data - Total'!$A$3:$AA$54,21,FALSE)</f>
        <v>20801.024093722368</v>
      </c>
      <c r="I15" s="58">
        <f>VLOOKUP($A15,'Data - Total'!$A$3:$AA$54,21,FALSE)/VLOOKUP($A15,'Data - Total'!$A$3:$AA$54,18,FALSE)</f>
        <v>0.41866091656035009</v>
      </c>
      <c r="J15" s="4"/>
      <c r="K15" s="58">
        <f>VLOOKUP($A15,'Data - Total'!$A$3:$AA$54,19,FALSE)/VLOOKUP($A15,'Data - Total'!$A$3:$AA$54,18,FALSE)</f>
        <v>0.17929937712776151</v>
      </c>
      <c r="L15" s="4"/>
      <c r="M15" s="91">
        <f>VLOOKUP($A15,'Data - Total'!$A$3:$AA$54,20,FALSE)/VLOOKUP($A15,'Data - Total'!$A$3:$AA$54,19,FALSE)</f>
        <v>4.9751869739385395</v>
      </c>
      <c r="N15" s="4"/>
      <c r="O15" s="94">
        <f>VLOOKUP($A15,'Data - Total'!$A$3:$AA$54,21,FALSE)/VLOOKUP($A15,'Data - Total'!$A$3:$AA$54,20,FALSE)</f>
        <v>0.46932558731715596</v>
      </c>
    </row>
    <row r="16" spans="1:15" x14ac:dyDescent="0.25">
      <c r="A16" s="69" t="s">
        <v>88</v>
      </c>
      <c r="B16" s="70" t="s">
        <v>89</v>
      </c>
      <c r="C16" s="78">
        <f>VLOOKUP($A16,'Data - Total'!$A$3:$AA$54,18,FALSE)/VLOOKUP($A16,'Data - Total'!$A$2:$G$54,3,FALSE)</f>
        <v>7.0557872737749175E-2</v>
      </c>
      <c r="D16" s="38">
        <f>VLOOKUP($A16,'Data - Total'!$A$3:$AA$54,22,FALSE)/VLOOKUP($A16,'Data - Total'!$A$3:$AA$54,18,FALSE)</f>
        <v>6105.4323540997548</v>
      </c>
      <c r="E16" s="4"/>
      <c r="F16" s="58">
        <f>VLOOKUP($A16,'Data - Total'!$A$3:$AA$54,21,FALSE)/VLOOKUP($A16,'Data - Total'!$A$3:$AA$54,18,FALSE)</f>
        <v>0.39899143751051624</v>
      </c>
      <c r="G16" s="4"/>
      <c r="H16" s="18">
        <f>VLOOKUP($A16,'Data - Total'!$A$3:$AA$54,22,FALSE)/VLOOKUP($A16,'Data - Total'!$A$3:$AA$54,21,FALSE)</f>
        <v>15302.163856433219</v>
      </c>
      <c r="I16" s="58">
        <f>VLOOKUP($A16,'Data - Total'!$A$3:$AA$54,21,FALSE)/VLOOKUP($A16,'Data - Total'!$A$3:$AA$54,18,FALSE)</f>
        <v>0.39899143751051624</v>
      </c>
      <c r="J16" s="4"/>
      <c r="K16" s="58">
        <f>VLOOKUP($A16,'Data - Total'!$A$3:$AA$54,19,FALSE)/VLOOKUP($A16,'Data - Total'!$A$3:$AA$54,18,FALSE)</f>
        <v>0.26407872127000481</v>
      </c>
      <c r="L16" s="4"/>
      <c r="M16" s="91">
        <f>VLOOKUP($A16,'Data - Total'!$A$3:$AA$54,20,FALSE)/VLOOKUP($A16,'Data - Total'!$A$3:$AA$54,19,FALSE)</f>
        <v>3.4733565523265164</v>
      </c>
      <c r="N16" s="4"/>
      <c r="O16" s="94">
        <f>VLOOKUP($A16,'Data - Total'!$A$3:$AA$54,21,FALSE)/VLOOKUP($A16,'Data - Total'!$A$3:$AA$54,20,FALSE)</f>
        <v>0.43499152923512879</v>
      </c>
    </row>
    <row r="17" spans="1:15" x14ac:dyDescent="0.25">
      <c r="A17" s="69" t="s">
        <v>12</v>
      </c>
      <c r="B17" s="70" t="s">
        <v>13</v>
      </c>
      <c r="C17" s="78">
        <f>VLOOKUP($A17,'Data - Total'!$A$3:$AA$54,18,FALSE)/VLOOKUP($A17,'Data - Total'!$A$2:$G$54,3,FALSE)</f>
        <v>4.8575152279109156E-2</v>
      </c>
      <c r="D17" s="38">
        <f>VLOOKUP($A17,'Data - Total'!$A$3:$AA$54,22,FALSE)/VLOOKUP($A17,'Data - Total'!$A$3:$AA$54,18,FALSE)</f>
        <v>9841.3703593780047</v>
      </c>
      <c r="E17" s="4"/>
      <c r="F17" s="58">
        <f>VLOOKUP($A17,'Data - Total'!$A$3:$AA$54,21,FALSE)/VLOOKUP($A17,'Data - Total'!$A$3:$AA$54,18,FALSE)</f>
        <v>0.35842924196766113</v>
      </c>
      <c r="G17" s="4"/>
      <c r="H17" s="18">
        <f>VLOOKUP($A17,'Data - Total'!$A$3:$AA$54,22,FALSE)/VLOOKUP($A17,'Data - Total'!$A$3:$AA$54,21,FALSE)</f>
        <v>27456.940469901532</v>
      </c>
      <c r="I17" s="58">
        <f>VLOOKUP($A17,'Data - Total'!$A$3:$AA$54,21,FALSE)/VLOOKUP($A17,'Data - Total'!$A$3:$AA$54,18,FALSE)</f>
        <v>0.35842924196766113</v>
      </c>
      <c r="J17" s="4"/>
      <c r="K17" s="58">
        <f>VLOOKUP($A17,'Data - Total'!$A$3:$AA$54,19,FALSE)/VLOOKUP($A17,'Data - Total'!$A$3:$AA$54,18,FALSE)</f>
        <v>0.22236513145605791</v>
      </c>
      <c r="L17" s="4"/>
      <c r="M17" s="91">
        <f>VLOOKUP($A17,'Data - Total'!$A$3:$AA$54,20,FALSE)/VLOOKUP($A17,'Data - Total'!$A$3:$AA$54,19,FALSE)</f>
        <v>4.6909967744364343</v>
      </c>
      <c r="N17" s="4"/>
      <c r="O17" s="94">
        <f>VLOOKUP($A17,'Data - Total'!$A$3:$AA$54,21,FALSE)/VLOOKUP($A17,'Data - Total'!$A$3:$AA$54,20,FALSE)</f>
        <v>0.34361460267580823</v>
      </c>
    </row>
    <row r="18" spans="1:15" x14ac:dyDescent="0.25">
      <c r="A18" s="69" t="s">
        <v>58</v>
      </c>
      <c r="B18" s="70" t="s">
        <v>59</v>
      </c>
      <c r="C18" s="78">
        <f>VLOOKUP($A18,'Data - Total'!$A$3:$AA$54,18,FALSE)/VLOOKUP($A18,'Data - Total'!$A$2:$G$54,3,FALSE)</f>
        <v>7.7055445398174008E-2</v>
      </c>
      <c r="D18" s="38">
        <f>VLOOKUP($A18,'Data - Total'!$A$3:$AA$54,22,FALSE)/VLOOKUP($A18,'Data - Total'!$A$3:$AA$54,18,FALSE)</f>
        <v>7735.5214374967745</v>
      </c>
      <c r="E18" s="4"/>
      <c r="F18" s="58">
        <f>VLOOKUP($A18,'Data - Total'!$A$3:$AA$54,21,FALSE)/VLOOKUP($A18,'Data - Total'!$A$3:$AA$54,18,FALSE)</f>
        <v>0.33774867838660622</v>
      </c>
      <c r="G18" s="4"/>
      <c r="H18" s="18">
        <f>VLOOKUP($A18,'Data - Total'!$A$3:$AA$54,22,FALSE)/VLOOKUP($A18,'Data - Total'!$A$3:$AA$54,21,FALSE)</f>
        <v>22903.187880552588</v>
      </c>
      <c r="I18" s="58">
        <f>VLOOKUP($A18,'Data - Total'!$A$3:$AA$54,21,FALSE)/VLOOKUP($A18,'Data - Total'!$A$3:$AA$54,18,FALSE)</f>
        <v>0.33774867838660622</v>
      </c>
      <c r="J18" s="4"/>
      <c r="K18" s="58">
        <f>VLOOKUP($A18,'Data - Total'!$A$3:$AA$54,19,FALSE)/VLOOKUP($A18,'Data - Total'!$A$3:$AA$54,18,FALSE)</f>
        <v>0.2346046749502422</v>
      </c>
      <c r="L18" s="4"/>
      <c r="M18" s="91">
        <f>VLOOKUP($A18,'Data - Total'!$A$3:$AA$54,20,FALSE)/VLOOKUP($A18,'Data - Total'!$A$3:$AA$54,19,FALSE)</f>
        <v>3.7136725747762598</v>
      </c>
      <c r="N18" s="4"/>
      <c r="O18" s="94">
        <f>VLOOKUP($A18,'Data - Total'!$A$3:$AA$54,21,FALSE)/VLOOKUP($A18,'Data - Total'!$A$3:$AA$54,20,FALSE)</f>
        <v>0.38766213731534971</v>
      </c>
    </row>
    <row r="19" spans="1:15" x14ac:dyDescent="0.25">
      <c r="A19" s="69" t="s">
        <v>46</v>
      </c>
      <c r="B19" s="70" t="s">
        <v>47</v>
      </c>
      <c r="C19" s="78">
        <f>VLOOKUP($A19,'Data - Total'!$A$3:$AA$54,18,FALSE)/VLOOKUP($A19,'Data - Total'!$A$2:$G$54,3,FALSE)</f>
        <v>6.8557101861128317E-2</v>
      </c>
      <c r="D19" s="38">
        <f>VLOOKUP($A19,'Data - Total'!$A$3:$AA$54,22,FALSE)/VLOOKUP($A19,'Data - Total'!$A$3:$AA$54,18,FALSE)</f>
        <v>12103.852348177348</v>
      </c>
      <c r="E19" s="4"/>
      <c r="F19" s="58">
        <f>VLOOKUP($A19,'Data - Total'!$A$3:$AA$54,21,FALSE)/VLOOKUP($A19,'Data - Total'!$A$3:$AA$54,18,FALSE)</f>
        <v>0.62390554282766586</v>
      </c>
      <c r="G19" s="4"/>
      <c r="H19" s="18">
        <f>VLOOKUP($A19,'Data - Total'!$A$3:$AA$54,22,FALSE)/VLOOKUP($A19,'Data - Total'!$A$3:$AA$54,21,FALSE)</f>
        <v>19400.135945771926</v>
      </c>
      <c r="I19" s="58">
        <f>VLOOKUP($A19,'Data - Total'!$A$3:$AA$54,21,FALSE)/VLOOKUP($A19,'Data - Total'!$A$3:$AA$54,18,FALSE)</f>
        <v>0.62390554282766586</v>
      </c>
      <c r="J19" s="4"/>
      <c r="K19" s="58">
        <f>VLOOKUP($A19,'Data - Total'!$A$3:$AA$54,19,FALSE)/VLOOKUP($A19,'Data - Total'!$A$3:$AA$54,18,FALSE)</f>
        <v>0.2604514938373913</v>
      </c>
      <c r="L19" s="4"/>
      <c r="M19" s="91">
        <f>VLOOKUP($A19,'Data - Total'!$A$3:$AA$54,20,FALSE)/VLOOKUP($A19,'Data - Total'!$A$3:$AA$54,19,FALSE)</f>
        <v>5.3458225955358882</v>
      </c>
      <c r="N19" s="4"/>
      <c r="O19" s="94">
        <f>VLOOKUP($A19,'Data - Total'!$A$3:$AA$54,21,FALSE)/VLOOKUP($A19,'Data - Total'!$A$3:$AA$54,20,FALSE)</f>
        <v>0.44810258465237429</v>
      </c>
    </row>
    <row r="20" spans="1:15" x14ac:dyDescent="0.25">
      <c r="A20" s="69" t="s">
        <v>94</v>
      </c>
      <c r="B20" s="70" t="s">
        <v>95</v>
      </c>
      <c r="C20" s="78">
        <f>VLOOKUP($A20,'Data - Total'!$A$3:$AA$54,18,FALSE)/VLOOKUP($A20,'Data - Total'!$A$2:$G$54,3,FALSE)</f>
        <v>4.6363080602646121E-2</v>
      </c>
      <c r="D20" s="38">
        <f>VLOOKUP($A20,'Data - Total'!$A$3:$AA$54,22,FALSE)/VLOOKUP($A20,'Data - Total'!$A$3:$AA$54,18,FALSE)</f>
        <v>8674.4222376574471</v>
      </c>
      <c r="E20" s="4"/>
      <c r="F20" s="58">
        <f>VLOOKUP($A20,'Data - Total'!$A$3:$AA$54,21,FALSE)/VLOOKUP($A20,'Data - Total'!$A$3:$AA$54,18,FALSE)</f>
        <v>0.38478103634703281</v>
      </c>
      <c r="G20" s="4"/>
      <c r="H20" s="18">
        <f>VLOOKUP($A20,'Data - Total'!$A$3:$AA$54,22,FALSE)/VLOOKUP($A20,'Data - Total'!$A$3:$AA$54,21,FALSE)</f>
        <v>22543.788332213993</v>
      </c>
      <c r="I20" s="58">
        <f>VLOOKUP($A20,'Data - Total'!$A$3:$AA$54,21,FALSE)/VLOOKUP($A20,'Data - Total'!$A$3:$AA$54,18,FALSE)</f>
        <v>0.38478103634703281</v>
      </c>
      <c r="J20" s="4"/>
      <c r="K20" s="58">
        <f>VLOOKUP($A20,'Data - Total'!$A$3:$AA$54,19,FALSE)/VLOOKUP($A20,'Data - Total'!$A$3:$AA$54,18,FALSE)</f>
        <v>0.22348633171276197</v>
      </c>
      <c r="L20" s="4"/>
      <c r="M20" s="91">
        <f>VLOOKUP($A20,'Data - Total'!$A$3:$AA$54,20,FALSE)/VLOOKUP($A20,'Data - Total'!$A$3:$AA$54,19,FALSE)</f>
        <v>3.6320574009718074</v>
      </c>
      <c r="N20" s="4"/>
      <c r="O20" s="94">
        <f>VLOOKUP($A20,'Data - Total'!$A$3:$AA$54,21,FALSE)/VLOOKUP($A20,'Data - Total'!$A$3:$AA$54,20,FALSE)</f>
        <v>0.47403454241562326</v>
      </c>
    </row>
    <row r="21" spans="1:15" x14ac:dyDescent="0.25">
      <c r="A21" s="69" t="s">
        <v>104</v>
      </c>
      <c r="B21" s="70" t="s">
        <v>105</v>
      </c>
      <c r="C21" s="78">
        <f>VLOOKUP($A21,'Data - Total'!$A$3:$AA$54,18,FALSE)/VLOOKUP($A21,'Data - Total'!$A$2:$G$54,3,FALSE)</f>
        <v>0.11681381798835803</v>
      </c>
      <c r="D21" s="38">
        <f>VLOOKUP($A21,'Data - Total'!$A$3:$AA$54,22,FALSE)/VLOOKUP($A21,'Data - Total'!$A$3:$AA$54,18,FALSE)</f>
        <v>6413.3021178799363</v>
      </c>
      <c r="E21" s="4"/>
      <c r="F21" s="58">
        <f>VLOOKUP($A21,'Data - Total'!$A$3:$AA$54,21,FALSE)/VLOOKUP($A21,'Data - Total'!$A$3:$AA$54,18,FALSE)</f>
        <v>0.40293401442239957</v>
      </c>
      <c r="G21" s="4"/>
      <c r="H21" s="18">
        <f>VLOOKUP($A21,'Data - Total'!$A$3:$AA$54,22,FALSE)/VLOOKUP($A21,'Data - Total'!$A$3:$AA$54,21,FALSE)</f>
        <v>15916.507140935515</v>
      </c>
      <c r="I21" s="58">
        <f>VLOOKUP($A21,'Data - Total'!$A$3:$AA$54,21,FALSE)/VLOOKUP($A21,'Data - Total'!$A$3:$AA$54,18,FALSE)</f>
        <v>0.40293401442239957</v>
      </c>
      <c r="J21" s="4"/>
      <c r="K21" s="58">
        <f>VLOOKUP($A21,'Data - Total'!$A$3:$AA$54,19,FALSE)/VLOOKUP($A21,'Data - Total'!$A$3:$AA$54,18,FALSE)</f>
        <v>0.23826585962132746</v>
      </c>
      <c r="L21" s="4"/>
      <c r="M21" s="91">
        <f>VLOOKUP($A21,'Data - Total'!$A$3:$AA$54,20,FALSE)/VLOOKUP($A21,'Data - Total'!$A$3:$AA$54,19,FALSE)</f>
        <v>4.6205726412200931</v>
      </c>
      <c r="N21" s="4"/>
      <c r="O21" s="94">
        <f>VLOOKUP($A21,'Data - Total'!$A$3:$AA$54,21,FALSE)/VLOOKUP($A21,'Data - Total'!$A$3:$AA$54,20,FALSE)</f>
        <v>0.36599597585513077</v>
      </c>
    </row>
    <row r="22" spans="1:15" x14ac:dyDescent="0.25">
      <c r="A22" s="69" t="s">
        <v>28</v>
      </c>
      <c r="B22" s="70" t="s">
        <v>29</v>
      </c>
      <c r="C22" s="78">
        <f>VLOOKUP($A22,'Data - Total'!$A$3:$AA$54,18,FALSE)/VLOOKUP($A22,'Data - Total'!$A$2:$G$54,3,FALSE)</f>
        <v>5.1562646670204014E-2</v>
      </c>
      <c r="D22" s="38">
        <f>VLOOKUP($A22,'Data - Total'!$A$3:$AA$54,22,FALSE)/VLOOKUP($A22,'Data - Total'!$A$3:$AA$54,18,FALSE)</f>
        <v>5504.5237173760606</v>
      </c>
      <c r="E22" s="4"/>
      <c r="F22" s="58">
        <f>VLOOKUP($A22,'Data - Total'!$A$3:$AA$54,21,FALSE)/VLOOKUP($A22,'Data - Total'!$A$3:$AA$54,18,FALSE)</f>
        <v>0.39769599703362241</v>
      </c>
      <c r="G22" s="4"/>
      <c r="H22" s="18">
        <f>VLOOKUP($A22,'Data - Total'!$A$3:$AA$54,22,FALSE)/VLOOKUP($A22,'Data - Total'!$A$3:$AA$54,21,FALSE)</f>
        <v>13841.03375048729</v>
      </c>
      <c r="I22" s="58">
        <f>VLOOKUP($A22,'Data - Total'!$A$3:$AA$54,21,FALSE)/VLOOKUP($A22,'Data - Total'!$A$3:$AA$54,18,FALSE)</f>
        <v>0.39769599703362241</v>
      </c>
      <c r="J22" s="4"/>
      <c r="K22" s="58">
        <f>VLOOKUP($A22,'Data - Total'!$A$3:$AA$54,19,FALSE)/VLOOKUP($A22,'Data - Total'!$A$3:$AA$54,18,FALSE)</f>
        <v>0.18963069367732219</v>
      </c>
      <c r="L22" s="4"/>
      <c r="M22" s="91">
        <f>VLOOKUP($A22,'Data - Total'!$A$3:$AA$54,20,FALSE)/VLOOKUP($A22,'Data - Total'!$A$3:$AA$54,19,FALSE)</f>
        <v>5.764752641070964</v>
      </c>
      <c r="N22" s="4"/>
      <c r="O22" s="94">
        <f>VLOOKUP($A22,'Data - Total'!$A$3:$AA$54,21,FALSE)/VLOOKUP($A22,'Data - Total'!$A$3:$AA$54,20,FALSE)</f>
        <v>0.36379934180621465</v>
      </c>
    </row>
    <row r="23" spans="1:15" x14ac:dyDescent="0.25">
      <c r="A23" s="69" t="s">
        <v>96</v>
      </c>
      <c r="B23" s="70" t="s">
        <v>97</v>
      </c>
      <c r="C23" s="78">
        <f>VLOOKUP($A23,'Data - Total'!$A$3:$AA$54,18,FALSE)/VLOOKUP($A23,'Data - Total'!$A$2:$G$54,3,FALSE)</f>
        <v>3.2067853874310569E-2</v>
      </c>
      <c r="D23" s="38">
        <f>VLOOKUP($A23,'Data - Total'!$A$3:$AA$54,22,FALSE)/VLOOKUP($A23,'Data - Total'!$A$3:$AA$54,18,FALSE)</f>
        <v>9408.0783545981594</v>
      </c>
      <c r="E23" s="4"/>
      <c r="F23" s="58">
        <f>VLOOKUP($A23,'Data - Total'!$A$3:$AA$54,21,FALSE)/VLOOKUP($A23,'Data - Total'!$A$3:$AA$54,18,FALSE)</f>
        <v>0.35558080353232535</v>
      </c>
      <c r="G23" s="4"/>
      <c r="H23" s="18">
        <f>VLOOKUP($A23,'Data - Total'!$A$3:$AA$54,22,FALSE)/VLOOKUP($A23,'Data - Total'!$A$3:$AA$54,21,FALSE)</f>
        <v>26458.341567201292</v>
      </c>
      <c r="I23" s="58">
        <f>VLOOKUP($A23,'Data - Total'!$A$3:$AA$54,21,FALSE)/VLOOKUP($A23,'Data - Total'!$A$3:$AA$54,18,FALSE)</f>
        <v>0.35558080353232535</v>
      </c>
      <c r="J23" s="4"/>
      <c r="K23" s="58">
        <f>VLOOKUP($A23,'Data - Total'!$A$3:$AA$54,19,FALSE)/VLOOKUP($A23,'Data - Total'!$A$3:$AA$54,18,FALSE)</f>
        <v>0.39913044406859155</v>
      </c>
      <c r="L23" s="4"/>
      <c r="M23" s="91">
        <f>VLOOKUP($A23,'Data - Total'!$A$3:$AA$54,20,FALSE)/VLOOKUP($A23,'Data - Total'!$A$3:$AA$54,19,FALSE)</f>
        <v>2.7118771737776672</v>
      </c>
      <c r="N23" s="4"/>
      <c r="O23" s="94">
        <f>VLOOKUP($A23,'Data - Total'!$A$3:$AA$54,21,FALSE)/VLOOKUP($A23,'Data - Total'!$A$3:$AA$54,20,FALSE)</f>
        <v>0.32851366254135522</v>
      </c>
    </row>
    <row r="24" spans="1:15" x14ac:dyDescent="0.25">
      <c r="A24" s="69" t="s">
        <v>36</v>
      </c>
      <c r="B24" s="70" t="s">
        <v>37</v>
      </c>
      <c r="C24" s="78">
        <f>VLOOKUP($A24,'Data - Total'!$A$3:$AA$54,18,FALSE)/VLOOKUP($A24,'Data - Total'!$A$2:$G$54,3,FALSE)</f>
        <v>5.2825307374461235E-2</v>
      </c>
      <c r="D24" s="38">
        <f>VLOOKUP($A24,'Data - Total'!$A$3:$AA$54,22,FALSE)/VLOOKUP($A24,'Data - Total'!$A$3:$AA$54,18,FALSE)</f>
        <v>8565.6532625282489</v>
      </c>
      <c r="E24" s="4"/>
      <c r="F24" s="58">
        <f>VLOOKUP($A24,'Data - Total'!$A$3:$AA$54,21,FALSE)/VLOOKUP($A24,'Data - Total'!$A$3:$AA$54,18,FALSE)</f>
        <v>0.34012952912599026</v>
      </c>
      <c r="G24" s="4"/>
      <c r="H24" s="18">
        <f>VLOOKUP($A24,'Data - Total'!$A$3:$AA$54,22,FALSE)/VLOOKUP($A24,'Data - Total'!$A$3:$AA$54,21,FALSE)</f>
        <v>25183.50372147598</v>
      </c>
      <c r="I24" s="58">
        <f>VLOOKUP($A24,'Data - Total'!$A$3:$AA$54,21,FALSE)/VLOOKUP($A24,'Data - Total'!$A$3:$AA$54,18,FALSE)</f>
        <v>0.34012952912599026</v>
      </c>
      <c r="J24" s="4"/>
      <c r="K24" s="58">
        <f>VLOOKUP($A24,'Data - Total'!$A$3:$AA$54,19,FALSE)/VLOOKUP($A24,'Data - Total'!$A$3:$AA$54,18,FALSE)</f>
        <v>0.26726377237800081</v>
      </c>
      <c r="L24" s="4"/>
      <c r="M24" s="91">
        <f>VLOOKUP($A24,'Data - Total'!$A$3:$AA$54,20,FALSE)/VLOOKUP($A24,'Data - Total'!$A$3:$AA$54,19,FALSE)</f>
        <v>2.8749705913178043</v>
      </c>
      <c r="N24" s="4"/>
      <c r="O24" s="94">
        <f>VLOOKUP($A24,'Data - Total'!$A$3:$AA$54,21,FALSE)/VLOOKUP($A24,'Data - Total'!$A$3:$AA$54,20,FALSE)</f>
        <v>0.44266056823907901</v>
      </c>
    </row>
    <row r="25" spans="1:15" x14ac:dyDescent="0.25">
      <c r="A25" s="69" t="s">
        <v>38</v>
      </c>
      <c r="B25" s="70" t="s">
        <v>39</v>
      </c>
      <c r="C25" s="78">
        <f>VLOOKUP($A25,'Data - Total'!$A$3:$AA$54,18,FALSE)/VLOOKUP($A25,'Data - Total'!$A$2:$G$54,3,FALSE)</f>
        <v>4.3208292071437886E-2</v>
      </c>
      <c r="D25" s="38">
        <f>VLOOKUP($A25,'Data - Total'!$A$3:$AA$54,22,FALSE)/VLOOKUP($A25,'Data - Total'!$A$3:$AA$54,18,FALSE)</f>
        <v>12397.305023470552</v>
      </c>
      <c r="E25" s="4"/>
      <c r="F25" s="58">
        <f>VLOOKUP($A25,'Data - Total'!$A$3:$AA$54,21,FALSE)/VLOOKUP($A25,'Data - Total'!$A$3:$AA$54,18,FALSE)</f>
        <v>0.49071923874809564</v>
      </c>
      <c r="G25" s="4"/>
      <c r="H25" s="18">
        <f>VLOOKUP($A25,'Data - Total'!$A$3:$AA$54,22,FALSE)/VLOOKUP($A25,'Data - Total'!$A$3:$AA$54,21,FALSE)</f>
        <v>25263.539809643673</v>
      </c>
      <c r="I25" s="58">
        <f>VLOOKUP($A25,'Data - Total'!$A$3:$AA$54,21,FALSE)/VLOOKUP($A25,'Data - Total'!$A$3:$AA$54,18,FALSE)</f>
        <v>0.49071923874809564</v>
      </c>
      <c r="J25" s="4"/>
      <c r="K25" s="58">
        <f>VLOOKUP($A25,'Data - Total'!$A$3:$AA$54,19,FALSE)/VLOOKUP($A25,'Data - Total'!$A$3:$AA$54,18,FALSE)</f>
        <v>0.22749694625838032</v>
      </c>
      <c r="L25" s="4"/>
      <c r="M25" s="91">
        <f>VLOOKUP($A25,'Data - Total'!$A$3:$AA$54,20,FALSE)/VLOOKUP($A25,'Data - Total'!$A$3:$AA$54,19,FALSE)</f>
        <v>5.6115528488323729</v>
      </c>
      <c r="N25" s="4"/>
      <c r="O25" s="94">
        <f>VLOOKUP($A25,'Data - Total'!$A$3:$AA$54,21,FALSE)/VLOOKUP($A25,'Data - Total'!$A$3:$AA$54,20,FALSE)</f>
        <v>0.38439210231911225</v>
      </c>
    </row>
    <row r="26" spans="1:15" x14ac:dyDescent="0.25">
      <c r="A26" s="69" t="s">
        <v>62</v>
      </c>
      <c r="B26" s="70" t="s">
        <v>63</v>
      </c>
      <c r="C26" s="78">
        <f>VLOOKUP($A26,'Data - Total'!$A$3:$AA$54,18,FALSE)/VLOOKUP($A26,'Data - Total'!$A$2:$G$54,3,FALSE)</f>
        <v>3.4045875334087185E-2</v>
      </c>
      <c r="D26" s="38">
        <f>VLOOKUP($A26,'Data - Total'!$A$3:$AA$54,22,FALSE)/VLOOKUP($A26,'Data - Total'!$A$3:$AA$54,18,FALSE)</f>
        <v>11437.705077840428</v>
      </c>
      <c r="E26" s="4"/>
      <c r="F26" s="58">
        <f>VLOOKUP($A26,'Data - Total'!$A$3:$AA$54,21,FALSE)/VLOOKUP($A26,'Data - Total'!$A$3:$AA$54,18,FALSE)</f>
        <v>0.50001454983790417</v>
      </c>
      <c r="G26" s="4"/>
      <c r="H26" s="18">
        <f>VLOOKUP($A26,'Data - Total'!$A$3:$AA$54,22,FALSE)/VLOOKUP($A26,'Data - Total'!$A$3:$AA$54,21,FALSE)</f>
        <v>22874.744508031476</v>
      </c>
      <c r="I26" s="58">
        <f>VLOOKUP($A26,'Data - Total'!$A$3:$AA$54,21,FALSE)/VLOOKUP($A26,'Data - Total'!$A$3:$AA$54,18,FALSE)</f>
        <v>0.50001454983790417</v>
      </c>
      <c r="J26" s="4"/>
      <c r="K26" s="58">
        <f>VLOOKUP($A26,'Data - Total'!$A$3:$AA$54,19,FALSE)/VLOOKUP($A26,'Data - Total'!$A$3:$AA$54,18,FALSE)</f>
        <v>0.33645098651847244</v>
      </c>
      <c r="L26" s="4"/>
      <c r="M26" s="91">
        <f>VLOOKUP($A26,'Data - Total'!$A$3:$AA$54,20,FALSE)/VLOOKUP($A26,'Data - Total'!$A$3:$AA$54,19,FALSE)</f>
        <v>3.9791580155566635</v>
      </c>
      <c r="N26" s="4"/>
      <c r="O26" s="94">
        <f>VLOOKUP($A26,'Data - Total'!$A$3:$AA$54,21,FALSE)/VLOOKUP($A26,'Data - Total'!$A$3:$AA$54,20,FALSE)</f>
        <v>0.37348197804333044</v>
      </c>
    </row>
    <row r="27" spans="1:15" x14ac:dyDescent="0.25">
      <c r="A27" s="69" t="s">
        <v>18</v>
      </c>
      <c r="B27" s="70" t="s">
        <v>19</v>
      </c>
      <c r="C27" s="78">
        <f>VLOOKUP($A27,'Data - Total'!$A$3:$AA$54,18,FALSE)/VLOOKUP($A27,'Data - Total'!$A$2:$G$54,3,FALSE)</f>
        <v>3.52792264248721E-2</v>
      </c>
      <c r="D27" s="38">
        <f>VLOOKUP($A27,'Data - Total'!$A$3:$AA$54,22,FALSE)/VLOOKUP($A27,'Data - Total'!$A$3:$AA$54,18,FALSE)</f>
        <v>10143.872051558012</v>
      </c>
      <c r="E27" s="4"/>
      <c r="F27" s="58">
        <f>VLOOKUP($A27,'Data - Total'!$A$3:$AA$54,21,FALSE)/VLOOKUP($A27,'Data - Total'!$A$3:$AA$54,18,FALSE)</f>
        <v>0.37632477478463838</v>
      </c>
      <c r="G27" s="4"/>
      <c r="H27" s="18">
        <f>VLOOKUP($A27,'Data - Total'!$A$3:$AA$54,22,FALSE)/VLOOKUP($A27,'Data - Total'!$A$3:$AA$54,21,FALSE)</f>
        <v>26955.100304950967</v>
      </c>
      <c r="I27" s="58">
        <f>VLOOKUP($A27,'Data - Total'!$A$3:$AA$54,21,FALSE)/VLOOKUP($A27,'Data - Total'!$A$3:$AA$54,18,FALSE)</f>
        <v>0.37632477478463838</v>
      </c>
      <c r="J27" s="4"/>
      <c r="K27" s="58">
        <f>VLOOKUP($A27,'Data - Total'!$A$3:$AA$54,19,FALSE)/VLOOKUP($A27,'Data - Total'!$A$3:$AA$54,18,FALSE)</f>
        <v>0.31097021391077512</v>
      </c>
      <c r="L27" s="4"/>
      <c r="M27" s="91">
        <f>VLOOKUP($A27,'Data - Total'!$A$3:$AA$54,20,FALSE)/VLOOKUP($A27,'Data - Total'!$A$3:$AA$54,19,FALSE)</f>
        <v>2.7199913296345293</v>
      </c>
      <c r="N27" s="4"/>
      <c r="O27" s="94">
        <f>VLOOKUP($A27,'Data - Total'!$A$3:$AA$54,21,FALSE)/VLOOKUP($A27,'Data - Total'!$A$3:$AA$54,20,FALSE)</f>
        <v>0.44491443697333677</v>
      </c>
    </row>
    <row r="28" spans="1:15" x14ac:dyDescent="0.25">
      <c r="A28" s="69" t="s">
        <v>60</v>
      </c>
      <c r="B28" s="70" t="s">
        <v>61</v>
      </c>
      <c r="C28" s="78">
        <f>VLOOKUP($A28,'Data - Total'!$A$3:$AA$54,18,FALSE)/VLOOKUP($A28,'Data - Total'!$A$2:$G$54,3,FALSE)</f>
        <v>4.704333651421707E-2</v>
      </c>
      <c r="D28" s="38">
        <f>VLOOKUP($A28,'Data - Total'!$A$3:$AA$54,22,FALSE)/VLOOKUP($A28,'Data - Total'!$A$3:$AA$54,18,FALSE)</f>
        <v>7885.4066611802245</v>
      </c>
      <c r="E28" s="4"/>
      <c r="F28" s="58">
        <f>VLOOKUP($A28,'Data - Total'!$A$3:$AA$54,21,FALSE)/VLOOKUP($A28,'Data - Total'!$A$3:$AA$54,18,FALSE)</f>
        <v>0.33726395276838478</v>
      </c>
      <c r="G28" s="4"/>
      <c r="H28" s="18">
        <f>VLOOKUP($A28,'Data - Total'!$A$3:$AA$54,22,FALSE)/VLOOKUP($A28,'Data - Total'!$A$3:$AA$54,21,FALSE)</f>
        <v>23380.520202215353</v>
      </c>
      <c r="I28" s="58">
        <f>VLOOKUP($A28,'Data - Total'!$A$3:$AA$54,21,FALSE)/VLOOKUP($A28,'Data - Total'!$A$3:$AA$54,18,FALSE)</f>
        <v>0.33726395276838478</v>
      </c>
      <c r="J28" s="4"/>
      <c r="K28" s="58">
        <f>VLOOKUP($A28,'Data - Total'!$A$3:$AA$54,19,FALSE)/VLOOKUP($A28,'Data - Total'!$A$3:$AA$54,18,FALSE)</f>
        <v>0.209047287674827</v>
      </c>
      <c r="L28" s="4"/>
      <c r="M28" s="91">
        <f>VLOOKUP($A28,'Data - Total'!$A$3:$AA$54,20,FALSE)/VLOOKUP($A28,'Data - Total'!$A$3:$AA$54,19,FALSE)</f>
        <v>5.3381043677129911</v>
      </c>
      <c r="N28" s="4"/>
      <c r="O28" s="94">
        <f>VLOOKUP($A28,'Data - Total'!$A$3:$AA$54,21,FALSE)/VLOOKUP($A28,'Data - Total'!$A$3:$AA$54,20,FALSE)</f>
        <v>0.30223052668457318</v>
      </c>
    </row>
    <row r="29" spans="1:15" x14ac:dyDescent="0.25">
      <c r="A29" s="69" t="s">
        <v>100</v>
      </c>
      <c r="B29" s="70" t="s">
        <v>101</v>
      </c>
      <c r="C29" s="78">
        <f>VLOOKUP($A29,'Data - Total'!$A$3:$AA$54,18,FALSE)/VLOOKUP($A29,'Data - Total'!$A$2:$G$54,3,FALSE)</f>
        <v>3.9486285836724366E-2</v>
      </c>
      <c r="D29" s="38">
        <f>VLOOKUP($A29,'Data - Total'!$A$3:$AA$54,22,FALSE)/VLOOKUP($A29,'Data - Total'!$A$3:$AA$54,18,FALSE)</f>
        <v>9617.175559513973</v>
      </c>
      <c r="E29" s="4"/>
      <c r="F29" s="58">
        <f>VLOOKUP($A29,'Data - Total'!$A$3:$AA$54,21,FALSE)/VLOOKUP($A29,'Data - Total'!$A$3:$AA$54,18,FALSE)</f>
        <v>0.4023020944074171</v>
      </c>
      <c r="G29" s="4"/>
      <c r="H29" s="18">
        <f>VLOOKUP($A29,'Data - Total'!$A$3:$AA$54,22,FALSE)/VLOOKUP($A29,'Data - Total'!$A$3:$AA$54,21,FALSE)</f>
        <v>23905.357921837021</v>
      </c>
      <c r="I29" s="58">
        <f>VLOOKUP($A29,'Data - Total'!$A$3:$AA$54,21,FALSE)/VLOOKUP($A29,'Data - Total'!$A$3:$AA$54,18,FALSE)</f>
        <v>0.4023020944074171</v>
      </c>
      <c r="J29" s="4"/>
      <c r="K29" s="58">
        <f>VLOOKUP($A29,'Data - Total'!$A$3:$AA$54,19,FALSE)/VLOOKUP($A29,'Data - Total'!$A$3:$AA$54,18,FALSE)</f>
        <v>0.29069970685019325</v>
      </c>
      <c r="L29" s="4"/>
      <c r="M29" s="91">
        <f>VLOOKUP($A29,'Data - Total'!$A$3:$AA$54,20,FALSE)/VLOOKUP($A29,'Data - Total'!$A$3:$AA$54,19,FALSE)</f>
        <v>3.4836850777270056</v>
      </c>
      <c r="N29" s="4"/>
      <c r="O29" s="94">
        <f>VLOOKUP($A29,'Data - Total'!$A$3:$AA$54,21,FALSE)/VLOOKUP($A29,'Data - Total'!$A$3:$AA$54,20,FALSE)</f>
        <v>0.39725448718559525</v>
      </c>
    </row>
    <row r="30" spans="1:15" x14ac:dyDescent="0.25">
      <c r="A30" s="69" t="s">
        <v>76</v>
      </c>
      <c r="B30" s="70" t="s">
        <v>77</v>
      </c>
      <c r="C30" s="78">
        <f>VLOOKUP($A30,'Data - Total'!$A$3:$AA$54,18,FALSE)/VLOOKUP($A30,'Data - Total'!$A$2:$G$54,3,FALSE)</f>
        <v>2.7475341339178429E-2</v>
      </c>
      <c r="D30" s="38">
        <f>VLOOKUP($A30,'Data - Total'!$A$3:$AA$54,22,FALSE)/VLOOKUP($A30,'Data - Total'!$A$3:$AA$54,18,FALSE)</f>
        <v>16972.488872312508</v>
      </c>
      <c r="E30" s="4"/>
      <c r="F30" s="58">
        <f>VLOOKUP($A30,'Data - Total'!$A$3:$AA$54,21,FALSE)/VLOOKUP($A30,'Data - Total'!$A$3:$AA$54,18,FALSE)</f>
        <v>0.44399865337130767</v>
      </c>
      <c r="G30" s="4"/>
      <c r="H30" s="18">
        <f>VLOOKUP($A30,'Data - Total'!$A$3:$AA$54,22,FALSE)/VLOOKUP($A30,'Data - Total'!$A$3:$AA$54,21,FALSE)</f>
        <v>38226.442227784726</v>
      </c>
      <c r="I30" s="58">
        <f>VLOOKUP($A30,'Data - Total'!$A$3:$AA$54,21,FALSE)/VLOOKUP($A30,'Data - Total'!$A$3:$AA$54,18,FALSE)</f>
        <v>0.44399865337130767</v>
      </c>
      <c r="J30" s="4"/>
      <c r="K30" s="58">
        <f>VLOOKUP($A30,'Data - Total'!$A$3:$AA$54,19,FALSE)/VLOOKUP($A30,'Data - Total'!$A$3:$AA$54,18,FALSE)</f>
        <v>0.27488295804711715</v>
      </c>
      <c r="L30" s="4"/>
      <c r="M30" s="91">
        <f>VLOOKUP($A30,'Data - Total'!$A$3:$AA$54,20,FALSE)/VLOOKUP($A30,'Data - Total'!$A$3:$AA$54,19,FALSE)</f>
        <v>4.0269514347546034</v>
      </c>
      <c r="N30" s="4"/>
      <c r="O30" s="94">
        <f>VLOOKUP($A30,'Data - Total'!$A$3:$AA$54,21,FALSE)/VLOOKUP($A30,'Data - Total'!$A$3:$AA$54,20,FALSE)</f>
        <v>0.40110441767068272</v>
      </c>
    </row>
    <row r="31" spans="1:15" x14ac:dyDescent="0.25">
      <c r="A31" s="69" t="s">
        <v>98</v>
      </c>
      <c r="B31" s="70" t="s">
        <v>99</v>
      </c>
      <c r="C31" s="78">
        <f>VLOOKUP($A31,'Data - Total'!$A$3:$AA$54,18,FALSE)/VLOOKUP($A31,'Data - Total'!$A$2:$G$54,3,FALSE)</f>
        <v>5.4195329009322016E-2</v>
      </c>
      <c r="D31" s="38">
        <f>VLOOKUP($A31,'Data - Total'!$A$3:$AA$54,22,FALSE)/VLOOKUP($A31,'Data - Total'!$A$3:$AA$54,18,FALSE)</f>
        <v>11568.616551850148</v>
      </c>
      <c r="E31" s="4"/>
      <c r="F31" s="58">
        <f>VLOOKUP($A31,'Data - Total'!$A$3:$AA$54,21,FALSE)/VLOOKUP($A31,'Data - Total'!$A$3:$AA$54,18,FALSE)</f>
        <v>0.55305865621622297</v>
      </c>
      <c r="G31" s="4"/>
      <c r="H31" s="18">
        <f>VLOOKUP($A31,'Data - Total'!$A$3:$AA$54,22,FALSE)/VLOOKUP($A31,'Data - Total'!$A$3:$AA$54,21,FALSE)</f>
        <v>20917.521897220427</v>
      </c>
      <c r="I31" s="58">
        <f>VLOOKUP($A31,'Data - Total'!$A$3:$AA$54,21,FALSE)/VLOOKUP($A31,'Data - Total'!$A$3:$AA$54,18,FALSE)</f>
        <v>0.55305865621622297</v>
      </c>
      <c r="J31" s="4"/>
      <c r="K31" s="58">
        <f>VLOOKUP($A31,'Data - Total'!$A$3:$AA$54,19,FALSE)/VLOOKUP($A31,'Data - Total'!$A$3:$AA$54,18,FALSE)</f>
        <v>0.2352337459440994</v>
      </c>
      <c r="L31" s="4"/>
      <c r="M31" s="91">
        <f>VLOOKUP($A31,'Data - Total'!$A$3:$AA$54,20,FALSE)/VLOOKUP($A31,'Data - Total'!$A$3:$AA$54,19,FALSE)</f>
        <v>5.9943995930702316</v>
      </c>
      <c r="N31" s="4"/>
      <c r="O31" s="94">
        <f>VLOOKUP($A31,'Data - Total'!$A$3:$AA$54,21,FALSE)/VLOOKUP($A31,'Data - Total'!$A$3:$AA$54,20,FALSE)</f>
        <v>0.39221651771566202</v>
      </c>
    </row>
    <row r="32" spans="1:15" x14ac:dyDescent="0.25">
      <c r="A32" s="69" t="s">
        <v>66</v>
      </c>
      <c r="B32" s="70" t="s">
        <v>67</v>
      </c>
      <c r="C32" s="78">
        <f>VLOOKUP($A32,'Data - Total'!$A$3:$AA$54,18,FALSE)/VLOOKUP($A32,'Data - Total'!$A$2:$G$54,3,FALSE)</f>
        <v>4.1445357328103165E-2</v>
      </c>
      <c r="D32" s="38">
        <f>VLOOKUP($A32,'Data - Total'!$A$3:$AA$54,22,FALSE)/VLOOKUP($A32,'Data - Total'!$A$3:$AA$54,18,FALSE)</f>
        <v>9933.4289314849848</v>
      </c>
      <c r="E32" s="4"/>
      <c r="F32" s="58">
        <f>VLOOKUP($A32,'Data - Total'!$A$3:$AA$54,21,FALSE)/VLOOKUP($A32,'Data - Total'!$A$3:$AA$54,18,FALSE)</f>
        <v>0.35738911660032685</v>
      </c>
      <c r="G32" s="4"/>
      <c r="H32" s="18">
        <f>VLOOKUP($A32,'Data - Total'!$A$3:$AA$54,22,FALSE)/VLOOKUP($A32,'Data - Total'!$A$3:$AA$54,21,FALSE)</f>
        <v>27794.43600850799</v>
      </c>
      <c r="I32" s="58">
        <f>VLOOKUP($A32,'Data - Total'!$A$3:$AA$54,21,FALSE)/VLOOKUP($A32,'Data - Total'!$A$3:$AA$54,18,FALSE)</f>
        <v>0.35738911660032685</v>
      </c>
      <c r="J32" s="4"/>
      <c r="K32" s="58">
        <f>VLOOKUP($A32,'Data - Total'!$A$3:$AA$54,19,FALSE)/VLOOKUP($A32,'Data - Total'!$A$3:$AA$54,18,FALSE)</f>
        <v>0.37762917716290278</v>
      </c>
      <c r="L32" s="4"/>
      <c r="M32" s="91">
        <f>VLOOKUP($A32,'Data - Total'!$A$3:$AA$54,20,FALSE)/VLOOKUP($A32,'Data - Total'!$A$3:$AA$54,19,FALSE)</f>
        <v>3.0951027247165284</v>
      </c>
      <c r="N32" s="4"/>
      <c r="O32" s="94">
        <f>VLOOKUP($A32,'Data - Total'!$A$3:$AA$54,21,FALSE)/VLOOKUP($A32,'Data - Total'!$A$3:$AA$54,20,FALSE)</f>
        <v>0.30577411167512691</v>
      </c>
    </row>
    <row r="33" spans="1:15" x14ac:dyDescent="0.25">
      <c r="A33" s="69" t="s">
        <v>108</v>
      </c>
      <c r="B33" s="70" t="s">
        <v>109</v>
      </c>
      <c r="C33" s="78">
        <f>VLOOKUP($A33,'Data - Total'!$A$3:$AA$54,18,FALSE)/VLOOKUP($A33,'Data - Total'!$A$2:$G$54,3,FALSE)</f>
        <v>3.7336414611151288E-2</v>
      </c>
      <c r="D33" s="38">
        <f>VLOOKUP($A33,'Data - Total'!$A$3:$AA$54,22,FALSE)/VLOOKUP($A33,'Data - Total'!$A$3:$AA$54,18,FALSE)</f>
        <v>12392.169330908422</v>
      </c>
      <c r="E33" s="4"/>
      <c r="F33" s="58">
        <f>VLOOKUP($A33,'Data - Total'!$A$3:$AA$54,21,FALSE)/VLOOKUP($A33,'Data - Total'!$A$3:$AA$54,18,FALSE)</f>
        <v>0.38172967868903018</v>
      </c>
      <c r="G33" s="4"/>
      <c r="H33" s="18">
        <f>VLOOKUP($A33,'Data - Total'!$A$3:$AA$54,22,FALSE)/VLOOKUP($A33,'Data - Total'!$A$3:$AA$54,21,FALSE)</f>
        <v>32463.206354472371</v>
      </c>
      <c r="I33" s="58">
        <f>VLOOKUP($A33,'Data - Total'!$A$3:$AA$54,21,FALSE)/VLOOKUP($A33,'Data - Total'!$A$3:$AA$54,18,FALSE)</f>
        <v>0.38172967868903018</v>
      </c>
      <c r="J33" s="4"/>
      <c r="K33" s="58">
        <f>VLOOKUP($A33,'Data - Total'!$A$3:$AA$54,19,FALSE)/VLOOKUP($A33,'Data - Total'!$A$3:$AA$54,18,FALSE)</f>
        <v>0.344755672762318</v>
      </c>
      <c r="L33" s="4"/>
      <c r="M33" s="91">
        <f>VLOOKUP($A33,'Data - Total'!$A$3:$AA$54,20,FALSE)/VLOOKUP($A33,'Data - Total'!$A$3:$AA$54,19,FALSE)</f>
        <v>1.9656918821698917</v>
      </c>
      <c r="N33" s="4"/>
      <c r="O33" s="94">
        <f>VLOOKUP($A33,'Data - Total'!$A$3:$AA$54,21,FALSE)/VLOOKUP($A33,'Data - Total'!$A$3:$AA$54,20,FALSE)</f>
        <v>0.56328613526917271</v>
      </c>
    </row>
    <row r="34" spans="1:15" x14ac:dyDescent="0.25">
      <c r="A34" s="69" t="s">
        <v>82</v>
      </c>
      <c r="B34" s="70" t="s">
        <v>83</v>
      </c>
      <c r="C34" s="78">
        <f>VLOOKUP($A34,'Data - Total'!$A$3:$AA$54,18,FALSE)/VLOOKUP($A34,'Data - Total'!$A$2:$G$54,3,FALSE)</f>
        <v>4.684473685838908E-2</v>
      </c>
      <c r="D34" s="38">
        <f>VLOOKUP($A34,'Data - Total'!$A$3:$AA$54,22,FALSE)/VLOOKUP($A34,'Data - Total'!$A$3:$AA$54,18,FALSE)</f>
        <v>8629.8846473923386</v>
      </c>
      <c r="E34" s="4"/>
      <c r="F34" s="58">
        <f>VLOOKUP($A34,'Data - Total'!$A$3:$AA$54,21,FALSE)/VLOOKUP($A34,'Data - Total'!$A$3:$AA$54,18,FALSE)</f>
        <v>0.39668705320843356</v>
      </c>
      <c r="G34" s="4"/>
      <c r="H34" s="18">
        <f>VLOOKUP($A34,'Data - Total'!$A$3:$AA$54,22,FALSE)/VLOOKUP($A34,'Data - Total'!$A$3:$AA$54,21,FALSE)</f>
        <v>21754.893631121075</v>
      </c>
      <c r="I34" s="58">
        <f>VLOOKUP($A34,'Data - Total'!$A$3:$AA$54,21,FALSE)/VLOOKUP($A34,'Data - Total'!$A$3:$AA$54,18,FALSE)</f>
        <v>0.39668705320843356</v>
      </c>
      <c r="J34" s="4"/>
      <c r="K34" s="58">
        <f>VLOOKUP($A34,'Data - Total'!$A$3:$AA$54,19,FALSE)/VLOOKUP($A34,'Data - Total'!$A$3:$AA$54,18,FALSE)</f>
        <v>0.3166218538921915</v>
      </c>
      <c r="L34" s="4"/>
      <c r="M34" s="91">
        <f>VLOOKUP($A34,'Data - Total'!$A$3:$AA$54,20,FALSE)/VLOOKUP($A34,'Data - Total'!$A$3:$AA$54,19,FALSE)</f>
        <v>2.4324533482675497</v>
      </c>
      <c r="N34" s="4"/>
      <c r="O34" s="94">
        <f>VLOOKUP($A34,'Data - Total'!$A$3:$AA$54,21,FALSE)/VLOOKUP($A34,'Data - Total'!$A$3:$AA$54,20,FALSE)</f>
        <v>0.51506568770561445</v>
      </c>
    </row>
    <row r="35" spans="1:15" x14ac:dyDescent="0.25">
      <c r="A35" s="69" t="s">
        <v>30</v>
      </c>
      <c r="B35" s="70" t="s">
        <v>31</v>
      </c>
      <c r="C35" s="78">
        <f>VLOOKUP($A35,'Data - Total'!$A$3:$AA$54,18,FALSE)/VLOOKUP($A35,'Data - Total'!$A$2:$G$54,3,FALSE)</f>
        <v>3.6243146563328839E-2</v>
      </c>
      <c r="D35" s="38">
        <f>VLOOKUP($A35,'Data - Total'!$A$3:$AA$54,22,FALSE)/VLOOKUP($A35,'Data - Total'!$A$3:$AA$54,18,FALSE)</f>
        <v>9764.7323330544132</v>
      </c>
      <c r="E35" s="4"/>
      <c r="F35" s="58">
        <f>VLOOKUP($A35,'Data - Total'!$A$3:$AA$54,21,FALSE)/VLOOKUP($A35,'Data - Total'!$A$3:$AA$54,18,FALSE)</f>
        <v>0.4809564122118179</v>
      </c>
      <c r="G35" s="4"/>
      <c r="H35" s="18">
        <f>VLOOKUP($A35,'Data - Total'!$A$3:$AA$54,22,FALSE)/VLOOKUP($A35,'Data - Total'!$A$3:$AA$54,21,FALSE)</f>
        <v>20302.738637267466</v>
      </c>
      <c r="I35" s="58">
        <f>VLOOKUP($A35,'Data - Total'!$A$3:$AA$54,21,FALSE)/VLOOKUP($A35,'Data - Total'!$A$3:$AA$54,18,FALSE)</f>
        <v>0.4809564122118179</v>
      </c>
      <c r="J35" s="4"/>
      <c r="K35" s="58">
        <f>VLOOKUP($A35,'Data - Total'!$A$3:$AA$54,19,FALSE)/VLOOKUP($A35,'Data - Total'!$A$3:$AA$54,18,FALSE)</f>
        <v>0.33324322424298963</v>
      </c>
      <c r="L35" s="4"/>
      <c r="M35" s="91">
        <f>VLOOKUP($A35,'Data - Total'!$A$3:$AA$54,20,FALSE)/VLOOKUP($A35,'Data - Total'!$A$3:$AA$54,19,FALSE)</f>
        <v>3.1161035864824003</v>
      </c>
      <c r="N35" s="4"/>
      <c r="O35" s="94">
        <f>VLOOKUP($A35,'Data - Total'!$A$3:$AA$54,21,FALSE)/VLOOKUP($A35,'Data - Total'!$A$3:$AA$54,20,FALSE)</f>
        <v>0.46316155703818918</v>
      </c>
    </row>
    <row r="36" spans="1:15" x14ac:dyDescent="0.25">
      <c r="A36" s="69" t="s">
        <v>78</v>
      </c>
      <c r="B36" s="70" t="s">
        <v>79</v>
      </c>
      <c r="C36" s="78">
        <f>VLOOKUP($A36,'Data - Total'!$A$3:$AA$54,18,FALSE)/VLOOKUP($A36,'Data - Total'!$A$2:$G$54,3,FALSE)</f>
        <v>5.7230060894724322E-2</v>
      </c>
      <c r="D36" s="38">
        <f>VLOOKUP($A36,'Data - Total'!$A$3:$AA$54,22,FALSE)/VLOOKUP($A36,'Data - Total'!$A$3:$AA$54,18,FALSE)</f>
        <v>10961.50515986543</v>
      </c>
      <c r="E36" s="4"/>
      <c r="F36" s="58">
        <f>VLOOKUP($A36,'Data - Total'!$A$3:$AA$54,21,FALSE)/VLOOKUP($A36,'Data - Total'!$A$3:$AA$54,18,FALSE)</f>
        <v>0.41590671849517385</v>
      </c>
      <c r="G36" s="4"/>
      <c r="H36" s="18">
        <f>VLOOKUP($A36,'Data - Total'!$A$3:$AA$54,22,FALSE)/VLOOKUP($A36,'Data - Total'!$A$3:$AA$54,21,FALSE)</f>
        <v>26355.681869064651</v>
      </c>
      <c r="I36" s="58">
        <f>VLOOKUP($A36,'Data - Total'!$A$3:$AA$54,21,FALSE)/VLOOKUP($A36,'Data - Total'!$A$3:$AA$54,18,FALSE)</f>
        <v>0.41590671849517385</v>
      </c>
      <c r="J36" s="4"/>
      <c r="K36" s="58">
        <f>VLOOKUP($A36,'Data - Total'!$A$3:$AA$54,19,FALSE)/VLOOKUP($A36,'Data - Total'!$A$3:$AA$54,18,FALSE)</f>
        <v>0.2413043114970011</v>
      </c>
      <c r="L36" s="4"/>
      <c r="M36" s="91">
        <f>VLOOKUP($A36,'Data - Total'!$A$3:$AA$54,20,FALSE)/VLOOKUP($A36,'Data - Total'!$A$3:$AA$54,19,FALSE)</f>
        <v>3.3829161272529129</v>
      </c>
      <c r="N36" s="4"/>
      <c r="O36" s="94">
        <f>VLOOKUP($A36,'Data - Total'!$A$3:$AA$54,21,FALSE)/VLOOKUP($A36,'Data - Total'!$A$3:$AA$54,20,FALSE)</f>
        <v>0.50949464503908337</v>
      </c>
    </row>
    <row r="37" spans="1:15" x14ac:dyDescent="0.25">
      <c r="A37" s="69" t="s">
        <v>6</v>
      </c>
      <c r="B37" s="70" t="s">
        <v>7</v>
      </c>
      <c r="C37" s="78">
        <f>VLOOKUP($A37,'Data - Total'!$A$3:$AA$54,18,FALSE)/VLOOKUP($A37,'Data - Total'!$A$2:$G$54,3,FALSE)</f>
        <v>5.1879309346867887E-2</v>
      </c>
      <c r="D37" s="38">
        <f>VLOOKUP($A37,'Data - Total'!$A$3:$AA$54,22,FALSE)/VLOOKUP($A37,'Data - Total'!$A$3:$AA$54,18,FALSE)</f>
        <v>10583.286303920609</v>
      </c>
      <c r="E37" s="4"/>
      <c r="F37" s="58">
        <f>VLOOKUP($A37,'Data - Total'!$A$3:$AA$54,21,FALSE)/VLOOKUP($A37,'Data - Total'!$A$3:$AA$54,18,FALSE)</f>
        <v>0.45885616149094333</v>
      </c>
      <c r="G37" s="4"/>
      <c r="H37" s="18">
        <f>VLOOKUP($A37,'Data - Total'!$A$3:$AA$54,22,FALSE)/VLOOKUP($A37,'Data - Total'!$A$3:$AA$54,21,FALSE)</f>
        <v>23064.496441614192</v>
      </c>
      <c r="I37" s="58">
        <f>VLOOKUP($A37,'Data - Total'!$A$3:$AA$54,21,FALSE)/VLOOKUP($A37,'Data - Total'!$A$3:$AA$54,18,FALSE)</f>
        <v>0.45885616149094333</v>
      </c>
      <c r="J37" s="4"/>
      <c r="K37" s="58">
        <f>VLOOKUP($A37,'Data - Total'!$A$3:$AA$54,19,FALSE)/VLOOKUP($A37,'Data - Total'!$A$3:$AA$54,18,FALSE)</f>
        <v>0.25986204160555371</v>
      </c>
      <c r="L37" s="4"/>
      <c r="M37" s="91">
        <f>VLOOKUP($A37,'Data - Total'!$A$3:$AA$54,20,FALSE)/VLOOKUP($A37,'Data - Total'!$A$3:$AA$54,19,FALSE)</f>
        <v>4.2210864585575454</v>
      </c>
      <c r="N37" s="4"/>
      <c r="O37" s="94">
        <f>VLOOKUP($A37,'Data - Total'!$A$3:$AA$54,21,FALSE)/VLOOKUP($A37,'Data - Total'!$A$3:$AA$54,20,FALSE)</f>
        <v>0.41832081399422644</v>
      </c>
    </row>
    <row r="38" spans="1:15" x14ac:dyDescent="0.25">
      <c r="A38" s="69" t="s">
        <v>106</v>
      </c>
      <c r="B38" s="70" t="s">
        <v>107</v>
      </c>
      <c r="C38" s="78">
        <f>VLOOKUP($A38,'Data - Total'!$A$3:$AA$54,18,FALSE)/VLOOKUP($A38,'Data - Total'!$A$2:$G$54,3,FALSE)</f>
        <v>4.0943201571167299E-2</v>
      </c>
      <c r="D38" s="38">
        <f>VLOOKUP($A38,'Data - Total'!$A$3:$AA$54,22,FALSE)/VLOOKUP($A38,'Data - Total'!$A$3:$AA$54,18,FALSE)</f>
        <v>11936.343001303072</v>
      </c>
      <c r="E38" s="4"/>
      <c r="F38" s="58">
        <f>VLOOKUP($A38,'Data - Total'!$A$3:$AA$54,21,FALSE)/VLOOKUP($A38,'Data - Total'!$A$3:$AA$54,18,FALSE)</f>
        <v>0.582101238794833</v>
      </c>
      <c r="G38" s="4"/>
      <c r="H38" s="18">
        <f>VLOOKUP($A38,'Data - Total'!$A$3:$AA$54,22,FALSE)/VLOOKUP($A38,'Data - Total'!$A$3:$AA$54,21,FALSE)</f>
        <v>20505.613466852879</v>
      </c>
      <c r="I38" s="58">
        <f>VLOOKUP($A38,'Data - Total'!$A$3:$AA$54,21,FALSE)/VLOOKUP($A38,'Data - Total'!$A$3:$AA$54,18,FALSE)</f>
        <v>0.582101238794833</v>
      </c>
      <c r="J38" s="4"/>
      <c r="K38" s="58">
        <f>VLOOKUP($A38,'Data - Total'!$A$3:$AA$54,19,FALSE)/VLOOKUP($A38,'Data - Total'!$A$3:$AA$54,18,FALSE)</f>
        <v>0.28181093096338755</v>
      </c>
      <c r="L38" s="4"/>
      <c r="M38" s="91">
        <f>VLOOKUP($A38,'Data - Total'!$A$3:$AA$54,20,FALSE)/VLOOKUP($A38,'Data - Total'!$A$3:$AA$54,19,FALSE)</f>
        <v>4.4359073802297733</v>
      </c>
      <c r="N38" s="4"/>
      <c r="O38" s="94">
        <f>VLOOKUP($A38,'Data - Total'!$A$3:$AA$54,21,FALSE)/VLOOKUP($A38,'Data - Total'!$A$3:$AA$54,20,FALSE)</f>
        <v>0.46564851168341492</v>
      </c>
    </row>
    <row r="39" spans="1:15" x14ac:dyDescent="0.25">
      <c r="A39" s="69" t="s">
        <v>52</v>
      </c>
      <c r="B39" s="70" t="s">
        <v>53</v>
      </c>
      <c r="C39" s="78">
        <f>VLOOKUP($A39,'Data - Total'!$A$3:$AA$54,18,FALSE)/VLOOKUP($A39,'Data - Total'!$A$2:$G$54,3,FALSE)</f>
        <v>6.3286821768785667E-2</v>
      </c>
      <c r="D39" s="38">
        <f>VLOOKUP($A39,'Data - Total'!$A$3:$AA$54,22,FALSE)/VLOOKUP($A39,'Data - Total'!$A$3:$AA$54,18,FALSE)</f>
        <v>8777.7739071286942</v>
      </c>
      <c r="E39" s="4"/>
      <c r="F39" s="58">
        <f>VLOOKUP($A39,'Data - Total'!$A$3:$AA$54,21,FALSE)/VLOOKUP($A39,'Data - Total'!$A$3:$AA$54,18,FALSE)</f>
        <v>0.4768212626957764</v>
      </c>
      <c r="G39" s="4"/>
      <c r="H39" s="18">
        <f>VLOOKUP($A39,'Data - Total'!$A$3:$AA$54,22,FALSE)/VLOOKUP($A39,'Data - Total'!$A$3:$AA$54,21,FALSE)</f>
        <v>18408.939772321202</v>
      </c>
      <c r="I39" s="58">
        <f>VLOOKUP($A39,'Data - Total'!$A$3:$AA$54,21,FALSE)/VLOOKUP($A39,'Data - Total'!$A$3:$AA$54,18,FALSE)</f>
        <v>0.4768212626957764</v>
      </c>
      <c r="J39" s="4"/>
      <c r="K39" s="58">
        <f>VLOOKUP($A39,'Data - Total'!$A$3:$AA$54,19,FALSE)/VLOOKUP($A39,'Data - Total'!$A$3:$AA$54,18,FALSE)</f>
        <v>0.25763229639776264</v>
      </c>
      <c r="L39" s="4"/>
      <c r="M39" s="91">
        <f>VLOOKUP($A39,'Data - Total'!$A$3:$AA$54,20,FALSE)/VLOOKUP($A39,'Data - Total'!$A$3:$AA$54,19,FALSE)</f>
        <v>4.6670687957978725</v>
      </c>
      <c r="N39" s="4"/>
      <c r="O39" s="94">
        <f>VLOOKUP($A39,'Data - Total'!$A$3:$AA$54,21,FALSE)/VLOOKUP($A39,'Data - Total'!$A$3:$AA$54,20,FALSE)</f>
        <v>0.39656200908016132</v>
      </c>
    </row>
    <row r="40" spans="1:15" x14ac:dyDescent="0.25">
      <c r="A40" s="69" t="s">
        <v>84</v>
      </c>
      <c r="B40" s="70" t="s">
        <v>85</v>
      </c>
      <c r="C40" s="78">
        <f>VLOOKUP($A40,'Data - Total'!$A$3:$AA$54,18,FALSE)/VLOOKUP($A40,'Data - Total'!$A$2:$G$54,3,FALSE)</f>
        <v>5.8577078188061169E-2</v>
      </c>
      <c r="D40" s="38">
        <f>VLOOKUP($A40,'Data - Total'!$A$3:$AA$54,22,FALSE)/VLOOKUP($A40,'Data - Total'!$A$3:$AA$54,18,FALSE)</f>
        <v>13497.261605068792</v>
      </c>
      <c r="E40" s="4"/>
      <c r="F40" s="58">
        <f>VLOOKUP($A40,'Data - Total'!$A$3:$AA$54,21,FALSE)/VLOOKUP($A40,'Data - Total'!$A$3:$AA$54,18,FALSE)</f>
        <v>0.67614412521444267</v>
      </c>
      <c r="G40" s="4"/>
      <c r="H40" s="18">
        <f>VLOOKUP($A40,'Data - Total'!$A$3:$AA$54,22,FALSE)/VLOOKUP($A40,'Data - Total'!$A$3:$AA$54,21,FALSE)</f>
        <v>19962.107340336741</v>
      </c>
      <c r="I40" s="58">
        <f>VLOOKUP($A40,'Data - Total'!$A$3:$AA$54,21,FALSE)/VLOOKUP($A40,'Data - Total'!$A$3:$AA$54,18,FALSE)</f>
        <v>0.67614412521444267</v>
      </c>
      <c r="J40" s="4"/>
      <c r="K40" s="58">
        <f>VLOOKUP($A40,'Data - Total'!$A$3:$AA$54,19,FALSE)/VLOOKUP($A40,'Data - Total'!$A$3:$AA$54,18,FALSE)</f>
        <v>0.21710594979966311</v>
      </c>
      <c r="L40" s="4"/>
      <c r="M40" s="91">
        <f>VLOOKUP($A40,'Data - Total'!$A$3:$AA$54,20,FALSE)/VLOOKUP($A40,'Data - Total'!$A$3:$AA$54,19,FALSE)</f>
        <v>6.4466272769221238</v>
      </c>
      <c r="N40" s="4"/>
      <c r="O40" s="94">
        <f>VLOOKUP($A40,'Data - Total'!$A$3:$AA$54,21,FALSE)/VLOOKUP($A40,'Data - Total'!$A$3:$AA$54,20,FALSE)</f>
        <v>0.48309772468438777</v>
      </c>
    </row>
    <row r="41" spans="1:15" x14ac:dyDescent="0.25">
      <c r="A41" s="69" t="s">
        <v>34</v>
      </c>
      <c r="B41" s="70" t="s">
        <v>35</v>
      </c>
      <c r="C41" s="78">
        <f>VLOOKUP($A41,'Data - Total'!$A$3:$AA$54,18,FALSE)/VLOOKUP($A41,'Data - Total'!$A$2:$G$54,3,FALSE)</f>
        <v>4.4416995678732869E-2</v>
      </c>
      <c r="D41" s="38">
        <f>VLOOKUP($A41,'Data - Total'!$A$3:$AA$54,22,FALSE)/VLOOKUP($A41,'Data - Total'!$A$3:$AA$54,18,FALSE)</f>
        <v>9189.9075374128315</v>
      </c>
      <c r="E41" s="4"/>
      <c r="F41" s="58">
        <f>VLOOKUP($A41,'Data - Total'!$A$3:$AA$54,21,FALSE)/VLOOKUP($A41,'Data - Total'!$A$3:$AA$54,18,FALSE)</f>
        <v>0.41761002333795544</v>
      </c>
      <c r="G41" s="4"/>
      <c r="H41" s="18">
        <f>VLOOKUP($A41,'Data - Total'!$A$3:$AA$54,22,FALSE)/VLOOKUP($A41,'Data - Total'!$A$3:$AA$54,21,FALSE)</f>
        <v>22005.955374245888</v>
      </c>
      <c r="I41" s="58">
        <f>VLOOKUP($A41,'Data - Total'!$A$3:$AA$54,21,FALSE)/VLOOKUP($A41,'Data - Total'!$A$3:$AA$54,18,FALSE)</f>
        <v>0.41761002333795544</v>
      </c>
      <c r="J41" s="4"/>
      <c r="K41" s="58">
        <f>VLOOKUP($A41,'Data - Total'!$A$3:$AA$54,19,FALSE)/VLOOKUP($A41,'Data - Total'!$A$3:$AA$54,18,FALSE)</f>
        <v>0.30760280540134133</v>
      </c>
      <c r="L41" s="4"/>
      <c r="M41" s="91">
        <f>VLOOKUP($A41,'Data - Total'!$A$3:$AA$54,20,FALSE)/VLOOKUP($A41,'Data - Total'!$A$3:$AA$54,19,FALSE)</f>
        <v>3.8803245598561138</v>
      </c>
      <c r="N41" s="4"/>
      <c r="O41" s="94">
        <f>VLOOKUP($A41,'Data - Total'!$A$3:$AA$54,21,FALSE)/VLOOKUP($A41,'Data - Total'!$A$3:$AA$54,20,FALSE)</f>
        <v>0.34987472437152289</v>
      </c>
    </row>
    <row r="42" spans="1:15" x14ac:dyDescent="0.25">
      <c r="A42" s="69" t="s">
        <v>22</v>
      </c>
      <c r="B42" s="70" t="s">
        <v>23</v>
      </c>
      <c r="C42" s="78">
        <f>VLOOKUP($A42,'Data - Total'!$A$3:$AA$54,18,FALSE)/VLOOKUP($A42,'Data - Total'!$A$2:$G$54,3,FALSE)</f>
        <v>5.4194461281307726E-2</v>
      </c>
      <c r="D42" s="38">
        <f>VLOOKUP($A42,'Data - Total'!$A$3:$AA$54,22,FALSE)/VLOOKUP($A42,'Data - Total'!$A$3:$AA$54,18,FALSE)</f>
        <v>9415.9834638953926</v>
      </c>
      <c r="E42" s="4"/>
      <c r="F42" s="58">
        <f>VLOOKUP($A42,'Data - Total'!$A$3:$AA$54,21,FALSE)/VLOOKUP($A42,'Data - Total'!$A$3:$AA$54,18,FALSE)</f>
        <v>0.32935222060544761</v>
      </c>
      <c r="G42" s="4"/>
      <c r="H42" s="18">
        <f>VLOOKUP($A42,'Data - Total'!$A$3:$AA$54,22,FALSE)/VLOOKUP($A42,'Data - Total'!$A$3:$AA$54,21,FALSE)</f>
        <v>28589.403303812574</v>
      </c>
      <c r="I42" s="58">
        <f>VLOOKUP($A42,'Data - Total'!$A$3:$AA$54,21,FALSE)/VLOOKUP($A42,'Data - Total'!$A$3:$AA$54,18,FALSE)</f>
        <v>0.32935222060544761</v>
      </c>
      <c r="J42" s="4"/>
      <c r="K42" s="58">
        <f>VLOOKUP($A42,'Data - Total'!$A$3:$AA$54,19,FALSE)/VLOOKUP($A42,'Data - Total'!$A$3:$AA$54,18,FALSE)</f>
        <v>0.33225207665752576</v>
      </c>
      <c r="L42" s="4"/>
      <c r="M42" s="91">
        <f>VLOOKUP($A42,'Data - Total'!$A$3:$AA$54,20,FALSE)/VLOOKUP($A42,'Data - Total'!$A$3:$AA$54,19,FALSE)</f>
        <v>2.1515231078327997</v>
      </c>
      <c r="N42" s="4"/>
      <c r="O42" s="94">
        <f>VLOOKUP($A42,'Data - Total'!$A$3:$AA$54,21,FALSE)/VLOOKUP($A42,'Data - Total'!$A$3:$AA$54,20,FALSE)</f>
        <v>0.4607304086121079</v>
      </c>
    </row>
    <row r="43" spans="1:15" x14ac:dyDescent="0.25">
      <c r="A43" s="69" t="s">
        <v>10</v>
      </c>
      <c r="B43" s="70" t="s">
        <v>11</v>
      </c>
      <c r="C43" s="78">
        <f>VLOOKUP($A43,'Data - Total'!$A$3:$AA$54,18,FALSE)/VLOOKUP($A43,'Data - Total'!$A$2:$G$54,3,FALSE)</f>
        <v>4.3454918151491655E-2</v>
      </c>
      <c r="D43" s="38">
        <f>VLOOKUP($A43,'Data - Total'!$A$3:$AA$54,22,FALSE)/VLOOKUP($A43,'Data - Total'!$A$3:$AA$54,18,FALSE)</f>
        <v>16799.892119457356</v>
      </c>
      <c r="E43" s="4"/>
      <c r="F43" s="58">
        <f>VLOOKUP($A43,'Data - Total'!$A$3:$AA$54,21,FALSE)/VLOOKUP($A43,'Data - Total'!$A$3:$AA$54,18,FALSE)</f>
        <v>0.46577421947449366</v>
      </c>
      <c r="G43" s="4"/>
      <c r="H43" s="18">
        <f>VLOOKUP($A43,'Data - Total'!$A$3:$AA$54,22,FALSE)/VLOOKUP($A43,'Data - Total'!$A$3:$AA$54,21,FALSE)</f>
        <v>36068.746223034221</v>
      </c>
      <c r="I43" s="58">
        <f>VLOOKUP($A43,'Data - Total'!$A$3:$AA$54,21,FALSE)/VLOOKUP($A43,'Data - Total'!$A$3:$AA$54,18,FALSE)</f>
        <v>0.46577421947449366</v>
      </c>
      <c r="J43" s="4"/>
      <c r="K43" s="58">
        <f>VLOOKUP($A43,'Data - Total'!$A$3:$AA$54,19,FALSE)/VLOOKUP($A43,'Data - Total'!$A$3:$AA$54,18,FALSE)</f>
        <v>0.28523884326098936</v>
      </c>
      <c r="L43" s="4"/>
      <c r="M43" s="91">
        <f>VLOOKUP($A43,'Data - Total'!$A$3:$AA$54,20,FALSE)/VLOOKUP($A43,'Data - Total'!$A$3:$AA$54,19,FALSE)</f>
        <v>3.6455431752631218</v>
      </c>
      <c r="N43" s="4"/>
      <c r="O43" s="94">
        <f>VLOOKUP($A43,'Data - Total'!$A$3:$AA$54,21,FALSE)/VLOOKUP($A43,'Data - Total'!$A$3:$AA$54,20,FALSE)</f>
        <v>0.44792420761071416</v>
      </c>
    </row>
    <row r="44" spans="1:15" x14ac:dyDescent="0.25">
      <c r="A44" s="69" t="s">
        <v>50</v>
      </c>
      <c r="B44" s="70" t="s">
        <v>51</v>
      </c>
      <c r="C44" s="78">
        <f>VLOOKUP($A44,'Data - Total'!$A$3:$AA$54,18,FALSE)/VLOOKUP($A44,'Data - Total'!$A$2:$G$54,3,FALSE)</f>
        <v>5.375830096089549E-2</v>
      </c>
      <c r="D44" s="38">
        <f>VLOOKUP($A44,'Data - Total'!$A$3:$AA$54,22,FALSE)/VLOOKUP($A44,'Data - Total'!$A$3:$AA$54,18,FALSE)</f>
        <v>16416.764257665218</v>
      </c>
      <c r="E44" s="4"/>
      <c r="F44" s="58">
        <f>VLOOKUP($A44,'Data - Total'!$A$3:$AA$54,21,FALSE)/VLOOKUP($A44,'Data - Total'!$A$3:$AA$54,18,FALSE)</f>
        <v>0.66663438087192595</v>
      </c>
      <c r="G44" s="4"/>
      <c r="H44" s="18">
        <f>VLOOKUP($A44,'Data - Total'!$A$3:$AA$54,22,FALSE)/VLOOKUP($A44,'Data - Total'!$A$3:$AA$54,21,FALSE)</f>
        <v>24626.339007887462</v>
      </c>
      <c r="I44" s="58">
        <f>VLOOKUP($A44,'Data - Total'!$A$3:$AA$54,21,FALSE)/VLOOKUP($A44,'Data - Total'!$A$3:$AA$54,18,FALSE)</f>
        <v>0.66663438087192595</v>
      </c>
      <c r="J44" s="4"/>
      <c r="K44" s="58">
        <f>VLOOKUP($A44,'Data - Total'!$A$3:$AA$54,19,FALSE)/VLOOKUP($A44,'Data - Total'!$A$3:$AA$54,18,FALSE)</f>
        <v>0.17417646158704544</v>
      </c>
      <c r="L44" s="4"/>
      <c r="M44" s="91">
        <f>VLOOKUP($A44,'Data - Total'!$A$3:$AA$54,20,FALSE)/VLOOKUP($A44,'Data - Total'!$A$3:$AA$54,19,FALSE)</f>
        <v>9.2051197668788483</v>
      </c>
      <c r="N44" s="4"/>
      <c r="O44" s="94">
        <f>VLOOKUP($A44,'Data - Total'!$A$3:$AA$54,21,FALSE)/VLOOKUP($A44,'Data - Total'!$A$3:$AA$54,20,FALSE)</f>
        <v>0.4157849842913075</v>
      </c>
    </row>
    <row r="45" spans="1:15" x14ac:dyDescent="0.25">
      <c r="A45" s="69" t="s">
        <v>102</v>
      </c>
      <c r="B45" s="70" t="s">
        <v>103</v>
      </c>
      <c r="C45" s="78">
        <f>VLOOKUP($A45,'Data - Total'!$A$3:$AA$54,18,FALSE)/VLOOKUP($A45,'Data - Total'!$A$2:$G$54,3,FALSE)</f>
        <v>4.0004419963794217E-2</v>
      </c>
      <c r="D45" s="38">
        <f>VLOOKUP($A45,'Data - Total'!$A$3:$AA$54,22,FALSE)/VLOOKUP($A45,'Data - Total'!$A$3:$AA$54,18,FALSE)</f>
        <v>11158.976868793745</v>
      </c>
      <c r="E45" s="4"/>
      <c r="F45" s="58">
        <f>VLOOKUP($A45,'Data - Total'!$A$3:$AA$54,21,FALSE)/VLOOKUP($A45,'Data - Total'!$A$3:$AA$54,18,FALSE)</f>
        <v>0.56137326744635907</v>
      </c>
      <c r="G45" s="4"/>
      <c r="H45" s="18">
        <f>VLOOKUP($A45,'Data - Total'!$A$3:$AA$54,22,FALSE)/VLOOKUP($A45,'Data - Total'!$A$3:$AA$54,21,FALSE)</f>
        <v>19877.998322853909</v>
      </c>
      <c r="I45" s="58">
        <f>VLOOKUP($A45,'Data - Total'!$A$3:$AA$54,21,FALSE)/VLOOKUP($A45,'Data - Total'!$A$3:$AA$54,18,FALSE)</f>
        <v>0.56137326744635907</v>
      </c>
      <c r="J45" s="4"/>
      <c r="K45" s="58">
        <f>VLOOKUP($A45,'Data - Total'!$A$3:$AA$54,19,FALSE)/VLOOKUP($A45,'Data - Total'!$A$3:$AA$54,18,FALSE)</f>
        <v>0.34025275479046596</v>
      </c>
      <c r="L45" s="4"/>
      <c r="M45" s="91">
        <f>VLOOKUP($A45,'Data - Total'!$A$3:$AA$54,20,FALSE)/VLOOKUP($A45,'Data - Total'!$A$3:$AA$54,19,FALSE)</f>
        <v>3.6634123220665855</v>
      </c>
      <c r="N45" s="4"/>
      <c r="O45" s="94">
        <f>VLOOKUP($A45,'Data - Total'!$A$3:$AA$54,21,FALSE)/VLOOKUP($A45,'Data - Total'!$A$3:$AA$54,20,FALSE)</f>
        <v>0.45036463054128828</v>
      </c>
    </row>
    <row r="46" spans="1:15" x14ac:dyDescent="0.25">
      <c r="A46" s="69" t="s">
        <v>64</v>
      </c>
      <c r="B46" s="70" t="s">
        <v>65</v>
      </c>
      <c r="C46" s="78">
        <f>VLOOKUP($A46,'Data - Total'!$A$3:$AA$54,18,FALSE)/VLOOKUP($A46,'Data - Total'!$A$2:$G$54,3,FALSE)</f>
        <v>3.6136200367340623E-2</v>
      </c>
      <c r="D46" s="38">
        <f>VLOOKUP($A46,'Data - Total'!$A$3:$AA$54,22,FALSE)/VLOOKUP($A46,'Data - Total'!$A$3:$AA$54,18,FALSE)</f>
        <v>6192.8124777944522</v>
      </c>
      <c r="E46" s="4"/>
      <c r="F46" s="58">
        <f>VLOOKUP($A46,'Data - Total'!$A$3:$AA$54,21,FALSE)/VLOOKUP($A46,'Data - Total'!$A$3:$AA$54,18,FALSE)</f>
        <v>0.28416885231386213</v>
      </c>
      <c r="G46" s="4"/>
      <c r="H46" s="18">
        <f>VLOOKUP($A46,'Data - Total'!$A$3:$AA$54,22,FALSE)/VLOOKUP($A46,'Data - Total'!$A$3:$AA$54,21,FALSE)</f>
        <v>21792.720867783715</v>
      </c>
      <c r="I46" s="58">
        <f>VLOOKUP($A46,'Data - Total'!$A$3:$AA$54,21,FALSE)/VLOOKUP($A46,'Data - Total'!$A$3:$AA$54,18,FALSE)</f>
        <v>0.28416885231386213</v>
      </c>
      <c r="J46" s="4"/>
      <c r="K46" s="58">
        <f>VLOOKUP($A46,'Data - Total'!$A$3:$AA$54,19,FALSE)/VLOOKUP($A46,'Data - Total'!$A$3:$AA$54,18,FALSE)</f>
        <v>0.30228500557240379</v>
      </c>
      <c r="L46" s="4"/>
      <c r="M46" s="91">
        <f>VLOOKUP($A46,'Data - Total'!$A$3:$AA$54,20,FALSE)/VLOOKUP($A46,'Data - Total'!$A$3:$AA$54,19,FALSE)</f>
        <v>2.5319346438669705</v>
      </c>
      <c r="N46" s="4"/>
      <c r="O46" s="94">
        <f>VLOOKUP($A46,'Data - Total'!$A$3:$AA$54,21,FALSE)/VLOOKUP($A46,'Data - Total'!$A$3:$AA$54,20,FALSE)</f>
        <v>0.3712849769084488</v>
      </c>
    </row>
    <row r="47" spans="1:15" x14ac:dyDescent="0.25">
      <c r="A47" s="69" t="s">
        <v>16</v>
      </c>
      <c r="B47" s="70" t="s">
        <v>17</v>
      </c>
      <c r="C47" s="78">
        <f>VLOOKUP($A47,'Data - Total'!$A$3:$AA$54,18,FALSE)/VLOOKUP($A47,'Data - Total'!$A$2:$G$54,3,FALSE)</f>
        <v>4.4380121006669083E-2</v>
      </c>
      <c r="D47" s="38">
        <f>VLOOKUP($A47,'Data - Total'!$A$3:$AA$54,22,FALSE)/VLOOKUP($A47,'Data - Total'!$A$3:$AA$54,18,FALSE)</f>
        <v>12873.793829983782</v>
      </c>
      <c r="E47" s="4"/>
      <c r="F47" s="58">
        <f>VLOOKUP($A47,'Data - Total'!$A$3:$AA$54,21,FALSE)/VLOOKUP($A47,'Data - Total'!$A$3:$AA$54,18,FALSE)</f>
        <v>0.53836061435447791</v>
      </c>
      <c r="G47" s="4"/>
      <c r="H47" s="18">
        <f>VLOOKUP($A47,'Data - Total'!$A$3:$AA$54,22,FALSE)/VLOOKUP($A47,'Data - Total'!$A$3:$AA$54,21,FALSE)</f>
        <v>23912.95627266516</v>
      </c>
      <c r="I47" s="58">
        <f>VLOOKUP($A47,'Data - Total'!$A$3:$AA$54,21,FALSE)/VLOOKUP($A47,'Data - Total'!$A$3:$AA$54,18,FALSE)</f>
        <v>0.53836061435447791</v>
      </c>
      <c r="J47" s="4"/>
      <c r="K47" s="58">
        <f>VLOOKUP($A47,'Data - Total'!$A$3:$AA$54,19,FALSE)/VLOOKUP($A47,'Data - Total'!$A$3:$AA$54,18,FALSE)</f>
        <v>0.28538192048988403</v>
      </c>
      <c r="L47" s="4"/>
      <c r="M47" s="91">
        <f>VLOOKUP($A47,'Data - Total'!$A$3:$AA$54,20,FALSE)/VLOOKUP($A47,'Data - Total'!$A$3:$AA$54,19,FALSE)</f>
        <v>4.4460976308562197</v>
      </c>
      <c r="N47" s="4"/>
      <c r="O47" s="94">
        <f>VLOOKUP($A47,'Data - Total'!$A$3:$AA$54,21,FALSE)/VLOOKUP($A47,'Data - Total'!$A$3:$AA$54,20,FALSE)</f>
        <v>0.4242949167773345</v>
      </c>
    </row>
    <row r="48" spans="1:15" x14ac:dyDescent="0.25">
      <c r="A48" s="69" t="s">
        <v>20</v>
      </c>
      <c r="B48" s="70" t="s">
        <v>21</v>
      </c>
      <c r="C48" s="78">
        <f>VLOOKUP($A48,'Data - Total'!$A$3:$AA$54,18,FALSE)/VLOOKUP($A48,'Data - Total'!$A$2:$G$54,3,FALSE)</f>
        <v>3.9082645586512116E-2</v>
      </c>
      <c r="D48" s="38">
        <f>VLOOKUP($A48,'Data - Total'!$A$3:$AA$54,22,FALSE)/VLOOKUP($A48,'Data - Total'!$A$3:$AA$54,18,FALSE)</f>
        <v>14702.331496199819</v>
      </c>
      <c r="E48" s="4"/>
      <c r="F48" s="58">
        <f>VLOOKUP($A48,'Data - Total'!$A$3:$AA$54,21,FALSE)/VLOOKUP($A48,'Data - Total'!$A$3:$AA$54,18,FALSE)</f>
        <v>0.35446617664058411</v>
      </c>
      <c r="G48" s="4"/>
      <c r="H48" s="18">
        <f>VLOOKUP($A48,'Data - Total'!$A$3:$AA$54,22,FALSE)/VLOOKUP($A48,'Data - Total'!$A$3:$AA$54,21,FALSE)</f>
        <v>41477.389000946772</v>
      </c>
      <c r="I48" s="58">
        <f>VLOOKUP($A48,'Data - Total'!$A$3:$AA$54,21,FALSE)/VLOOKUP($A48,'Data - Total'!$A$3:$AA$54,18,FALSE)</f>
        <v>0.35446617664058411</v>
      </c>
      <c r="J48" s="4"/>
      <c r="K48" s="58">
        <f>VLOOKUP($A48,'Data - Total'!$A$3:$AA$54,19,FALSE)/VLOOKUP($A48,'Data - Total'!$A$3:$AA$54,18,FALSE)</f>
        <v>0.29122753059065926</v>
      </c>
      <c r="L48" s="4"/>
      <c r="M48" s="91">
        <f>VLOOKUP($A48,'Data - Total'!$A$3:$AA$54,20,FALSE)/VLOOKUP($A48,'Data - Total'!$A$3:$AA$54,19,FALSE)</f>
        <v>3.6763615509964853</v>
      </c>
      <c r="N48" s="4"/>
      <c r="O48" s="94">
        <f>VLOOKUP($A48,'Data - Total'!$A$3:$AA$54,21,FALSE)/VLOOKUP($A48,'Data - Total'!$A$3:$AA$54,20,FALSE)</f>
        <v>0.33107330003475227</v>
      </c>
    </row>
    <row r="49" spans="1:15" x14ac:dyDescent="0.25">
      <c r="A49" s="69" t="s">
        <v>72</v>
      </c>
      <c r="B49" s="70" t="s">
        <v>73</v>
      </c>
      <c r="C49" s="78">
        <f>VLOOKUP($A49,'Data - Total'!$A$3:$AA$54,18,FALSE)/VLOOKUP($A49,'Data - Total'!$A$2:$G$54,3,FALSE)</f>
        <v>5.6656325352116219E-2</v>
      </c>
      <c r="D49" s="38">
        <f>VLOOKUP($A49,'Data - Total'!$A$3:$AA$54,22,FALSE)/VLOOKUP($A49,'Data - Total'!$A$3:$AA$54,18,FALSE)</f>
        <v>19706.462773329564</v>
      </c>
      <c r="E49" s="4"/>
      <c r="F49" s="58">
        <f>VLOOKUP($A49,'Data - Total'!$A$3:$AA$54,21,FALSE)/VLOOKUP($A49,'Data - Total'!$A$3:$AA$54,18,FALSE)</f>
        <v>0.52043921237363677</v>
      </c>
      <c r="G49" s="4"/>
      <c r="H49" s="18">
        <f>VLOOKUP($A49,'Data - Total'!$A$3:$AA$54,22,FALSE)/VLOOKUP($A49,'Data - Total'!$A$3:$AA$54,21,FALSE)</f>
        <v>37865.061480382428</v>
      </c>
      <c r="I49" s="58">
        <f>VLOOKUP($A49,'Data - Total'!$A$3:$AA$54,21,FALSE)/VLOOKUP($A49,'Data - Total'!$A$3:$AA$54,18,FALSE)</f>
        <v>0.52043921237363677</v>
      </c>
      <c r="J49" s="4"/>
      <c r="K49" s="58">
        <f>VLOOKUP($A49,'Data - Total'!$A$3:$AA$54,19,FALSE)/VLOOKUP($A49,'Data - Total'!$A$3:$AA$54,18,FALSE)</f>
        <v>0.2704466971481877</v>
      </c>
      <c r="L49" s="4"/>
      <c r="M49" s="91">
        <f>VLOOKUP($A49,'Data - Total'!$A$3:$AA$54,20,FALSE)/VLOOKUP($A49,'Data - Total'!$A$3:$AA$54,19,FALSE)</f>
        <v>4.9958105344463863</v>
      </c>
      <c r="N49" s="4"/>
      <c r="O49" s="94">
        <f>VLOOKUP($A49,'Data - Total'!$A$3:$AA$54,21,FALSE)/VLOOKUP($A49,'Data - Total'!$A$3:$AA$54,20,FALSE)</f>
        <v>0.38519653298433215</v>
      </c>
    </row>
    <row r="50" spans="1:15" x14ac:dyDescent="0.25">
      <c r="A50" s="69" t="s">
        <v>86</v>
      </c>
      <c r="B50" s="70" t="s">
        <v>87</v>
      </c>
      <c r="C50" s="78">
        <f>VLOOKUP($A50,'Data - Total'!$A$3:$AA$54,18,FALSE)/VLOOKUP($A50,'Data - Total'!$A$2:$G$54,3,FALSE)</f>
        <v>5.9113883088884878E-2</v>
      </c>
      <c r="D50" s="38">
        <f>VLOOKUP($A50,'Data - Total'!$A$3:$AA$54,22,FALSE)/VLOOKUP($A50,'Data - Total'!$A$3:$AA$54,18,FALSE)</f>
        <v>14364.102006158913</v>
      </c>
      <c r="E50" s="4"/>
      <c r="F50" s="58">
        <f>VLOOKUP($A50,'Data - Total'!$A$3:$AA$54,21,FALSE)/VLOOKUP($A50,'Data - Total'!$A$3:$AA$54,18,FALSE)</f>
        <v>0.55474826080001916</v>
      </c>
      <c r="G50" s="4"/>
      <c r="H50" s="18">
        <f>VLOOKUP($A50,'Data - Total'!$A$3:$AA$54,22,FALSE)/VLOOKUP($A50,'Data - Total'!$A$3:$AA$54,21,FALSE)</f>
        <v>25893.009534530145</v>
      </c>
      <c r="I50" s="58">
        <f>VLOOKUP($A50,'Data - Total'!$A$3:$AA$54,21,FALSE)/VLOOKUP($A50,'Data - Total'!$A$3:$AA$54,18,FALSE)</f>
        <v>0.55474826080001916</v>
      </c>
      <c r="J50" s="4"/>
      <c r="K50" s="58">
        <f>VLOOKUP($A50,'Data - Total'!$A$3:$AA$54,19,FALSE)/VLOOKUP($A50,'Data - Total'!$A$3:$AA$54,18,FALSE)</f>
        <v>0.23917748627897945</v>
      </c>
      <c r="L50" s="4"/>
      <c r="M50" s="91">
        <f>VLOOKUP($A50,'Data - Total'!$A$3:$AA$54,20,FALSE)/VLOOKUP($A50,'Data - Total'!$A$3:$AA$54,19,FALSE)</f>
        <v>5.595462636629156</v>
      </c>
      <c r="N50" s="4"/>
      <c r="O50" s="94">
        <f>VLOOKUP($A50,'Data - Total'!$A$3:$AA$54,21,FALSE)/VLOOKUP($A50,'Data - Total'!$A$3:$AA$54,20,FALSE)</f>
        <v>0.4145144283792464</v>
      </c>
    </row>
    <row r="51" spans="1:15" x14ac:dyDescent="0.25">
      <c r="A51" s="69" t="s">
        <v>48</v>
      </c>
      <c r="B51" s="70" t="s">
        <v>49</v>
      </c>
      <c r="C51" s="78">
        <f>VLOOKUP($A51,'Data - Total'!$A$3:$AA$54,18,FALSE)/VLOOKUP($A51,'Data - Total'!$A$2:$G$54,3,FALSE)</f>
        <v>3.613230676194952E-2</v>
      </c>
      <c r="D51" s="38">
        <f>VLOOKUP($A51,'Data - Total'!$A$3:$AA$54,22,FALSE)/VLOOKUP($A51,'Data - Total'!$A$3:$AA$54,18,FALSE)</f>
        <v>16113.249398533753</v>
      </c>
      <c r="E51" s="4"/>
      <c r="F51" s="58">
        <f>VLOOKUP($A51,'Data - Total'!$A$3:$AA$54,21,FALSE)/VLOOKUP($A51,'Data - Total'!$A$3:$AA$54,18,FALSE)</f>
        <v>0.52636859703166816</v>
      </c>
      <c r="G51" s="4"/>
      <c r="H51" s="18">
        <f>VLOOKUP($A51,'Data - Total'!$A$3:$AA$54,22,FALSE)/VLOOKUP($A51,'Data - Total'!$A$3:$AA$54,21,FALSE)</f>
        <v>30612.102411505231</v>
      </c>
      <c r="I51" s="58">
        <f>VLOOKUP($A51,'Data - Total'!$A$3:$AA$54,21,FALSE)/VLOOKUP($A51,'Data - Total'!$A$3:$AA$54,18,FALSE)</f>
        <v>0.52636859703166816</v>
      </c>
      <c r="J51" s="4"/>
      <c r="K51" s="58">
        <f>VLOOKUP($A51,'Data - Total'!$A$3:$AA$54,19,FALSE)/VLOOKUP($A51,'Data - Total'!$A$3:$AA$54,18,FALSE)</f>
        <v>0.31042737161389022</v>
      </c>
      <c r="L51" s="4"/>
      <c r="M51" s="91">
        <f>VLOOKUP($A51,'Data - Total'!$A$3:$AA$54,20,FALSE)/VLOOKUP($A51,'Data - Total'!$A$3:$AA$54,19,FALSE)</f>
        <v>4.2983901782968612</v>
      </c>
      <c r="N51" s="4"/>
      <c r="O51" s="94">
        <f>VLOOKUP($A51,'Data - Total'!$A$3:$AA$54,21,FALSE)/VLOOKUP($A51,'Data - Total'!$A$3:$AA$54,20,FALSE)</f>
        <v>0.39447921797310076</v>
      </c>
    </row>
    <row r="52" spans="1:15" x14ac:dyDescent="0.25">
      <c r="A52" s="69" t="s">
        <v>54</v>
      </c>
      <c r="B52" s="70" t="s">
        <v>55</v>
      </c>
      <c r="C52" s="78">
        <f>VLOOKUP($A52,'Data - Total'!$A$3:$AA$54,18,FALSE)/VLOOKUP($A52,'Data - Total'!$A$2:$G$54,3,FALSE)</f>
        <v>3.6003824988963783E-2</v>
      </c>
      <c r="D52" s="38">
        <f>VLOOKUP($A52,'Data - Total'!$A$3:$AA$54,22,FALSE)/VLOOKUP($A52,'Data - Total'!$A$3:$AA$54,18,FALSE)</f>
        <v>18995.853180166625</v>
      </c>
      <c r="E52" s="4"/>
      <c r="F52" s="58">
        <f>VLOOKUP($A52,'Data - Total'!$A$3:$AA$54,21,FALSE)/VLOOKUP($A52,'Data - Total'!$A$3:$AA$54,18,FALSE)</f>
        <v>0.56660330213580579</v>
      </c>
      <c r="G52" s="4"/>
      <c r="H52" s="18">
        <f>VLOOKUP($A52,'Data - Total'!$A$3:$AA$54,22,FALSE)/VLOOKUP($A52,'Data - Total'!$A$3:$AA$54,21,FALSE)</f>
        <v>33525.842699048757</v>
      </c>
      <c r="I52" s="58">
        <f>VLOOKUP($A52,'Data - Total'!$A$3:$AA$54,21,FALSE)/VLOOKUP($A52,'Data - Total'!$A$3:$AA$54,18,FALSE)</f>
        <v>0.56660330213580579</v>
      </c>
      <c r="J52" s="4"/>
      <c r="K52" s="58">
        <f>VLOOKUP($A52,'Data - Total'!$A$3:$AA$54,19,FALSE)/VLOOKUP($A52,'Data - Total'!$A$3:$AA$54,18,FALSE)</f>
        <v>0.26522363822704181</v>
      </c>
      <c r="L52" s="4"/>
      <c r="M52" s="91">
        <f>VLOOKUP($A52,'Data - Total'!$A$3:$AA$54,20,FALSE)/VLOOKUP($A52,'Data - Total'!$A$3:$AA$54,19,FALSE)</f>
        <v>4.9509772638480287</v>
      </c>
      <c r="N52" s="4"/>
      <c r="O52" s="94">
        <f>VLOOKUP($A52,'Data - Total'!$A$3:$AA$54,21,FALSE)/VLOOKUP($A52,'Data - Total'!$A$3:$AA$54,20,FALSE)</f>
        <v>0.43149517230234719</v>
      </c>
    </row>
    <row r="53" spans="1:15" x14ac:dyDescent="0.25">
      <c r="A53" s="69" t="s">
        <v>68</v>
      </c>
      <c r="B53" s="70" t="s">
        <v>69</v>
      </c>
      <c r="C53" s="78">
        <f>VLOOKUP($A53,'Data - Total'!$A$3:$AA$54,18,FALSE)/VLOOKUP($A53,'Data - Total'!$A$2:$G$54,3,FALSE)</f>
        <v>4.436540811751602E-2</v>
      </c>
      <c r="D53" s="38">
        <f>VLOOKUP($A53,'Data - Total'!$A$3:$AA$54,22,FALSE)/VLOOKUP($A53,'Data - Total'!$A$3:$AA$54,18,FALSE)</f>
        <v>10556.321014164036</v>
      </c>
      <c r="E53" s="4"/>
      <c r="F53" s="58">
        <f>VLOOKUP($A53,'Data - Total'!$A$3:$AA$54,21,FALSE)/VLOOKUP($A53,'Data - Total'!$A$3:$AA$54,18,FALSE)</f>
        <v>0.34466781729933882</v>
      </c>
      <c r="G53" s="4"/>
      <c r="H53" s="18">
        <f>VLOOKUP($A53,'Data - Total'!$A$3:$AA$54,22,FALSE)/VLOOKUP($A53,'Data - Total'!$A$3:$AA$54,21,FALSE)</f>
        <v>30627.521585503964</v>
      </c>
      <c r="I53" s="58">
        <f>VLOOKUP($A53,'Data - Total'!$A$3:$AA$54,21,FALSE)/VLOOKUP($A53,'Data - Total'!$A$3:$AA$54,18,FALSE)</f>
        <v>0.34466781729933882</v>
      </c>
      <c r="J53" s="4"/>
      <c r="K53" s="58">
        <f>VLOOKUP($A53,'Data - Total'!$A$3:$AA$54,19,FALSE)/VLOOKUP($A53,'Data - Total'!$A$3:$AA$54,18,FALSE)</f>
        <v>0.36185223351032414</v>
      </c>
      <c r="L53" s="4"/>
      <c r="M53" s="91">
        <f>VLOOKUP($A53,'Data - Total'!$A$3:$AA$54,20,FALSE)/VLOOKUP($A53,'Data - Total'!$A$3:$AA$54,19,FALSE)</f>
        <v>2.8575511296770628</v>
      </c>
      <c r="N53" s="4"/>
      <c r="O53" s="94">
        <f>VLOOKUP($A53,'Data - Total'!$A$3:$AA$54,21,FALSE)/VLOOKUP($A53,'Data - Total'!$A$3:$AA$54,20,FALSE)</f>
        <v>0.33333081667937575</v>
      </c>
    </row>
    <row r="54" spans="1:15" x14ac:dyDescent="0.25">
      <c r="A54" s="71" t="s">
        <v>24</v>
      </c>
      <c r="B54" s="72" t="s">
        <v>25</v>
      </c>
      <c r="C54" s="102">
        <f>VLOOKUP($A54,'Data - Total'!$A$3:$AA$54,18,FALSE)/VLOOKUP($A54,'Data - Total'!$A$2:$G$54,3,FALSE)</f>
        <v>4.9986909814512856E-2</v>
      </c>
      <c r="D54" s="88">
        <f>VLOOKUP($A54,'Data - Total'!$A$3:$AA$54,22,FALSE)/VLOOKUP($A54,'Data - Total'!$A$3:$AA$54,18,FALSE)</f>
        <v>33735.624705310656</v>
      </c>
      <c r="E54" s="5"/>
      <c r="F54" s="86">
        <f>VLOOKUP($A54,'Data - Total'!$A$3:$AA$54,21,FALSE)/VLOOKUP($A54,'Data - Total'!$A$3:$AA$54,18,FALSE)</f>
        <v>0.97777143452741555</v>
      </c>
      <c r="G54" s="5"/>
      <c r="H54" s="49">
        <f>VLOOKUP($A54,'Data - Total'!$A$3:$AA$54,22,FALSE)/VLOOKUP($A54,'Data - Total'!$A$3:$AA$54,21,FALSE)</f>
        <v>34502.567281090633</v>
      </c>
      <c r="I54" s="86">
        <f>VLOOKUP($A54,'Data - Total'!$A$3:$AA$54,21,FALSE)/VLOOKUP($A54,'Data - Total'!$A$3:$AA$54,18,FALSE)</f>
        <v>0.97777143452741555</v>
      </c>
      <c r="J54" s="5"/>
      <c r="K54" s="86">
        <f>VLOOKUP($A54,'Data - Total'!$A$3:$AA$54,19,FALSE)/VLOOKUP($A54,'Data - Total'!$A$3:$AA$54,18,FALSE)</f>
        <v>0.12418146951511652</v>
      </c>
      <c r="L54" s="5"/>
      <c r="M54" s="103">
        <f>VLOOKUP($A54,'Data - Total'!$A$3:$AA$54,20,FALSE)/VLOOKUP($A54,'Data - Total'!$A$3:$AA$54,19,FALSE)</f>
        <v>14.224207533387814</v>
      </c>
      <c r="N54" s="5"/>
      <c r="O54" s="97">
        <f>VLOOKUP($A54,'Data - Total'!$A$3:$AA$54,21,FALSE)/VLOOKUP($A54,'Data - Total'!$A$3:$AA$54,20,FALSE)</f>
        <v>0.55354441123288678</v>
      </c>
    </row>
  </sheetData>
  <mergeCells count="2">
    <mergeCell ref="D1:H1"/>
    <mergeCell ref="I1:O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topLeftCell="A7" workbookViewId="0">
      <selection activeCell="O13" sqref="O13"/>
    </sheetView>
  </sheetViews>
  <sheetFormatPr defaultRowHeight="15" x14ac:dyDescent="0.25"/>
  <cols>
    <col min="2" max="2" width="19.140625" bestFit="1" customWidth="1"/>
    <col min="3" max="3" width="19.140625" style="50" customWidth="1"/>
    <col min="4" max="4" width="16.28515625" style="7" customWidth="1"/>
    <col min="5" max="5" width="2.5703125" bestFit="1" customWidth="1"/>
    <col min="6" max="6" width="15.85546875" style="15" customWidth="1"/>
    <col min="7" max="7" width="2.28515625" bestFit="1" customWidth="1"/>
    <col min="8" max="8" width="17.5703125" style="53" customWidth="1"/>
    <col min="9" max="9" width="19.42578125" customWidth="1"/>
    <col min="10" max="10" width="4.28515625" bestFit="1" customWidth="1"/>
    <col min="11" max="11" width="45.140625" bestFit="1" customWidth="1"/>
    <col min="12" max="12" width="4" bestFit="1" customWidth="1"/>
    <col min="13" max="13" width="29.5703125" customWidth="1"/>
    <col min="14" max="14" width="2" bestFit="1" customWidth="1"/>
    <col min="15" max="15" width="18.5703125" style="50" bestFit="1" customWidth="1"/>
  </cols>
  <sheetData>
    <row r="1" spans="1:18" x14ac:dyDescent="0.25">
      <c r="A1" s="1"/>
      <c r="B1" s="1"/>
      <c r="C1" s="56"/>
      <c r="D1" s="133" t="s">
        <v>111</v>
      </c>
      <c r="E1" s="134"/>
      <c r="F1" s="134"/>
      <c r="G1" s="134"/>
      <c r="H1" s="135"/>
      <c r="I1" s="133" t="s">
        <v>112</v>
      </c>
      <c r="J1" s="134"/>
      <c r="K1" s="134"/>
      <c r="L1" s="134"/>
      <c r="M1" s="134"/>
      <c r="N1" s="134"/>
      <c r="O1" s="135"/>
    </row>
    <row r="2" spans="1:18" s="11" customFormat="1" ht="45.75" customHeight="1" x14ac:dyDescent="0.25">
      <c r="A2" s="82" t="s">
        <v>0</v>
      </c>
      <c r="B2" s="82" t="s">
        <v>1</v>
      </c>
      <c r="C2" s="104" t="s">
        <v>160</v>
      </c>
      <c r="D2" s="82" t="s">
        <v>113</v>
      </c>
      <c r="E2" s="82" t="s">
        <v>114</v>
      </c>
      <c r="F2" s="83" t="s">
        <v>115</v>
      </c>
      <c r="G2" s="82" t="s">
        <v>116</v>
      </c>
      <c r="H2" s="90" t="s">
        <v>117</v>
      </c>
      <c r="I2" s="92" t="s">
        <v>118</v>
      </c>
      <c r="J2" s="90" t="s">
        <v>114</v>
      </c>
      <c r="K2" s="90" t="s">
        <v>119</v>
      </c>
      <c r="L2" s="90" t="s">
        <v>116</v>
      </c>
      <c r="M2" s="90" t="s">
        <v>120</v>
      </c>
      <c r="N2" s="90" t="s">
        <v>116</v>
      </c>
      <c r="O2" s="84" t="s">
        <v>121</v>
      </c>
    </row>
    <row r="3" spans="1:18" x14ac:dyDescent="0.25">
      <c r="A3" s="65" t="s">
        <v>56</v>
      </c>
      <c r="B3" s="66" t="s">
        <v>57</v>
      </c>
      <c r="C3" s="89">
        <f>VLOOKUP($A3,'Data - Total'!$A$3:$AA$54,23,FALSE)/VLOOKUP($A3,'Data - Total'!$A$2:$G$54,3,FALSE)</f>
        <v>0.13083212806649619</v>
      </c>
      <c r="D3" s="87">
        <f>VLOOKUP($A3,'Data - Total'!$A$3:$AA$54,27,FALSE)/VLOOKUP($A3,'Data - Total'!$A$3:$AA$54,23,FALSE)</f>
        <v>2428.3038946923311</v>
      </c>
      <c r="E3" s="68"/>
      <c r="F3" s="85">
        <f>VLOOKUP($A3,'Data - Total'!$A$3:$AA$54,26,FALSE)/VLOOKUP($A3,'Data - Total'!$A$3:$AA$54,23,FALSE)</f>
        <v>7.9883163619806435E-2</v>
      </c>
      <c r="G3" s="68"/>
      <c r="H3" s="12">
        <f>VLOOKUP($A3,'Data - Total'!$A$3:$AA$54,27,FALSE)/VLOOKUP($A3,'Data - Total'!$A$3:$AA$54,26,FALSE)</f>
        <v>30398.19387035707</v>
      </c>
      <c r="I3" s="85">
        <f>VLOOKUP($A3,'Data - Total'!$A$3:$AA$54,26,FALSE)/VLOOKUP($A3,'Data - Total'!$A$3:$AA$54,23,FALSE)</f>
        <v>7.9883163619806435E-2</v>
      </c>
      <c r="J3" s="68"/>
      <c r="K3" s="85">
        <f>VLOOKUP($A3,'Data - Total'!$A$3:$AA$54,24,FALSE)/VLOOKUP($A3,'Data - Total'!$A$3:$AA$54,23,FALSE)</f>
        <v>0.4785639790377833</v>
      </c>
      <c r="L3" s="68"/>
      <c r="M3" s="85">
        <f>VLOOKUP($A3,'Data - Total'!$A$3:$AA$54,25,FALSE)/VLOOKUP($A3,'Data - Total'!$A$3:$AA$54,24,FALSE)</f>
        <v>0.12572863121938832</v>
      </c>
      <c r="N3" s="68"/>
      <c r="O3" s="105">
        <f>VLOOKUP($A3,'Data - Total'!$A$3:$AA$54,26,FALSE)/VLOOKUP($A3,'Data - Total'!$A$3:$AA$54,25,FALSE)</f>
        <v>1.3276422411925293</v>
      </c>
      <c r="R3" s="15"/>
    </row>
    <row r="4" spans="1:18" x14ac:dyDescent="0.25">
      <c r="A4" s="69" t="s">
        <v>32</v>
      </c>
      <c r="B4" s="70" t="s">
        <v>33</v>
      </c>
      <c r="C4" s="78">
        <f>VLOOKUP($A4,'Data - Total'!$A$3:$AA$54,23,FALSE)/VLOOKUP($A4,'Data - Total'!$A$2:$G$54,3,FALSE)</f>
        <v>0.13117472413191747</v>
      </c>
      <c r="D4" s="38">
        <f>VLOOKUP($A4,'Data - Total'!$A$3:$AA$54,27,FALSE)/VLOOKUP($A4,'Data - Total'!$A$3:$AA$54,23,FALSE)</f>
        <v>972.74616352480757</v>
      </c>
      <c r="E4" s="4"/>
      <c r="F4" s="58">
        <f>VLOOKUP($A4,'Data - Total'!$A$3:$AA$54,26,FALSE)/VLOOKUP($A4,'Data - Total'!$A$3:$AA$54,23,FALSE)</f>
        <v>3.5377955898255861E-2</v>
      </c>
      <c r="G4" s="4"/>
      <c r="H4" s="18">
        <f>VLOOKUP($A4,'Data - Total'!$A$3:$AA$54,27,FALSE)/VLOOKUP($A4,'Data - Total'!$A$3:$AA$54,26,FALSE)</f>
        <v>27495.827241187897</v>
      </c>
      <c r="I4" s="58">
        <f>VLOOKUP($A4,'Data - Total'!$A$3:$AA$54,26,FALSE)/VLOOKUP($A4,'Data - Total'!$A$3:$AA$54,23,FALSE)</f>
        <v>3.5377955898255861E-2</v>
      </c>
      <c r="J4" s="4"/>
      <c r="K4" s="58">
        <f>VLOOKUP($A4,'Data - Total'!$A$3:$AA$54,24,FALSE)/VLOOKUP($A4,'Data - Total'!$A$3:$AA$54,23,FALSE)</f>
        <v>0.56986635782620743</v>
      </c>
      <c r="L4" s="4"/>
      <c r="M4" s="58">
        <f>VLOOKUP($A4,'Data - Total'!$A$3:$AA$54,25,FALSE)/VLOOKUP($A4,'Data - Total'!$A$3:$AA$54,24,FALSE)</f>
        <v>8.1129356221927296E-2</v>
      </c>
      <c r="N4" s="4"/>
      <c r="O4" s="94">
        <f>VLOOKUP($A4,'Data - Total'!$A$3:$AA$54,26,FALSE)/VLOOKUP($A4,'Data - Total'!$A$3:$AA$54,25,FALSE)</f>
        <v>0.76521185090793242</v>
      </c>
    </row>
    <row r="5" spans="1:18" x14ac:dyDescent="0.25">
      <c r="A5" s="69" t="s">
        <v>80</v>
      </c>
      <c r="B5" s="70" t="s">
        <v>81</v>
      </c>
      <c r="C5" s="78">
        <f>VLOOKUP($A5,'Data - Total'!$A$3:$AA$54,23,FALSE)/VLOOKUP($A5,'Data - Total'!$A$2:$G$54,3,FALSE)</f>
        <v>0.14048371991274777</v>
      </c>
      <c r="D5" s="38">
        <f>VLOOKUP($A5,'Data - Total'!$A$3:$AA$54,27,FALSE)/VLOOKUP($A5,'Data - Total'!$A$3:$AA$54,23,FALSE)</f>
        <v>1263.917413669021</v>
      </c>
      <c r="E5" s="4"/>
      <c r="F5" s="58">
        <f>VLOOKUP($A5,'Data - Total'!$A$3:$AA$54,26,FALSE)/VLOOKUP($A5,'Data - Total'!$A$3:$AA$54,23,FALSE)</f>
        <v>6.70915521946127E-2</v>
      </c>
      <c r="G5" s="4"/>
      <c r="H5" s="18">
        <f>VLOOKUP($A5,'Data - Total'!$A$3:$AA$54,27,FALSE)/VLOOKUP($A5,'Data - Total'!$A$3:$AA$54,26,FALSE)</f>
        <v>18838.696860116925</v>
      </c>
      <c r="I5" s="58">
        <f>VLOOKUP($A5,'Data - Total'!$A$3:$AA$54,26,FALSE)/VLOOKUP($A5,'Data - Total'!$A$3:$AA$54,23,FALSE)</f>
        <v>6.70915521946127E-2</v>
      </c>
      <c r="J5" s="4"/>
      <c r="K5" s="58">
        <f>VLOOKUP($A5,'Data - Total'!$A$3:$AA$54,24,FALSE)/VLOOKUP($A5,'Data - Total'!$A$3:$AA$54,23,FALSE)</f>
        <v>0.55654038407574713</v>
      </c>
      <c r="L5" s="4"/>
      <c r="M5" s="58">
        <f>VLOOKUP($A5,'Data - Total'!$A$3:$AA$54,25,FALSE)/VLOOKUP($A5,'Data - Total'!$A$3:$AA$54,24,FALSE)</f>
        <v>0.15829959008883535</v>
      </c>
      <c r="N5" s="4"/>
      <c r="O5" s="94">
        <f>VLOOKUP($A5,'Data - Total'!$A$3:$AA$54,26,FALSE)/VLOOKUP($A5,'Data - Total'!$A$3:$AA$54,25,FALSE)</f>
        <v>0.76153762623520471</v>
      </c>
    </row>
    <row r="6" spans="1:18" x14ac:dyDescent="0.25">
      <c r="A6" s="69" t="s">
        <v>92</v>
      </c>
      <c r="B6" s="70" t="s">
        <v>93</v>
      </c>
      <c r="C6" s="78">
        <f>VLOOKUP($A6,'Data - Total'!$A$3:$AA$54,23,FALSE)/VLOOKUP($A6,'Data - Total'!$A$2:$G$54,3,FALSE)</f>
        <v>0.12932416585046663</v>
      </c>
      <c r="D6" s="38">
        <f>VLOOKUP($A6,'Data - Total'!$A$3:$AA$54,27,FALSE)/VLOOKUP($A6,'Data - Total'!$A$3:$AA$54,23,FALSE)</f>
        <v>1536.6283174630053</v>
      </c>
      <c r="E6" s="4"/>
      <c r="F6" s="58">
        <f>VLOOKUP($A6,'Data - Total'!$A$3:$AA$54,26,FALSE)/VLOOKUP($A6,'Data - Total'!$A$3:$AA$54,23,FALSE)</f>
        <v>5.999480888652111E-2</v>
      </c>
      <c r="G6" s="4"/>
      <c r="H6" s="18">
        <f>VLOOKUP($A6,'Data - Total'!$A$3:$AA$54,27,FALSE)/VLOOKUP($A6,'Data - Total'!$A$3:$AA$54,26,FALSE)</f>
        <v>25612.687930542535</v>
      </c>
      <c r="I6" s="58">
        <f>VLOOKUP($A6,'Data - Total'!$A$3:$AA$54,26,FALSE)/VLOOKUP($A6,'Data - Total'!$A$3:$AA$54,23,FALSE)</f>
        <v>5.999480888652111E-2</v>
      </c>
      <c r="J6" s="4"/>
      <c r="K6" s="58">
        <f>VLOOKUP($A6,'Data - Total'!$A$3:$AA$54,24,FALSE)/VLOOKUP($A6,'Data - Total'!$A$3:$AA$54,23,FALSE)</f>
        <v>0.43430764959301721</v>
      </c>
      <c r="L6" s="4"/>
      <c r="M6" s="58">
        <f>VLOOKUP($A6,'Data - Total'!$A$3:$AA$54,25,FALSE)/VLOOKUP($A6,'Data - Total'!$A$3:$AA$54,24,FALSE)</f>
        <v>0.23827887417858623</v>
      </c>
      <c r="N6" s="4"/>
      <c r="O6" s="94">
        <f>VLOOKUP($A6,'Data - Total'!$A$3:$AA$54,26,FALSE)/VLOOKUP($A6,'Data - Total'!$A$3:$AA$54,25,FALSE)</f>
        <v>0.5797365156259231</v>
      </c>
    </row>
    <row r="7" spans="1:18" x14ac:dyDescent="0.25">
      <c r="A7" s="69" t="s">
        <v>42</v>
      </c>
      <c r="B7" s="70" t="s">
        <v>43</v>
      </c>
      <c r="C7" s="78">
        <f>VLOOKUP($A7,'Data - Total'!$A$3:$AA$54,23,FALSE)/VLOOKUP($A7,'Data - Total'!$A$2:$G$54,3,FALSE)</f>
        <v>0.13039222313529086</v>
      </c>
      <c r="D7" s="38">
        <f>VLOOKUP($A7,'Data - Total'!$A$3:$AA$54,27,FALSE)/VLOOKUP($A7,'Data - Total'!$A$3:$AA$54,23,FALSE)</f>
        <v>1683.4570565193358</v>
      </c>
      <c r="E7" s="4"/>
      <c r="F7" s="58">
        <f>VLOOKUP($A7,'Data - Total'!$A$3:$AA$54,26,FALSE)/VLOOKUP($A7,'Data - Total'!$A$3:$AA$54,23,FALSE)</f>
        <v>6.3239761481777235E-2</v>
      </c>
      <c r="G7" s="4"/>
      <c r="H7" s="18">
        <f>VLOOKUP($A7,'Data - Total'!$A$3:$AA$54,27,FALSE)/VLOOKUP($A7,'Data - Total'!$A$3:$AA$54,26,FALSE)</f>
        <v>26620.230960302244</v>
      </c>
      <c r="I7" s="58">
        <f>VLOOKUP($A7,'Data - Total'!$A$3:$AA$54,26,FALSE)/VLOOKUP($A7,'Data - Total'!$A$3:$AA$54,23,FALSE)</f>
        <v>6.3239761481777235E-2</v>
      </c>
      <c r="J7" s="4"/>
      <c r="K7" s="58">
        <f>VLOOKUP($A7,'Data - Total'!$A$3:$AA$54,24,FALSE)/VLOOKUP($A7,'Data - Total'!$A$3:$AA$54,23,FALSE)</f>
        <v>0.43762617550220595</v>
      </c>
      <c r="L7" s="4"/>
      <c r="M7" s="58">
        <f>VLOOKUP($A7,'Data - Total'!$A$3:$AA$54,25,FALSE)/VLOOKUP($A7,'Data - Total'!$A$3:$AA$54,24,FALSE)</f>
        <v>0.31298980341905569</v>
      </c>
      <c r="N7" s="4"/>
      <c r="O7" s="94">
        <f>VLOOKUP($A7,'Data - Total'!$A$3:$AA$54,26,FALSE)/VLOOKUP($A7,'Data - Total'!$A$3:$AA$54,25,FALSE)</f>
        <v>0.46169667148305804</v>
      </c>
    </row>
    <row r="8" spans="1:18" x14ac:dyDescent="0.25">
      <c r="A8" s="69" t="s">
        <v>90</v>
      </c>
      <c r="B8" s="70" t="s">
        <v>91</v>
      </c>
      <c r="C8" s="78">
        <f>VLOOKUP($A8,'Data - Total'!$A$3:$AA$54,23,FALSE)/VLOOKUP($A8,'Data - Total'!$A$2:$G$54,3,FALSE)</f>
        <v>0.138249631606331</v>
      </c>
      <c r="D8" s="38">
        <f>VLOOKUP($A8,'Data - Total'!$A$3:$AA$54,27,FALSE)/VLOOKUP($A8,'Data - Total'!$A$3:$AA$54,23,FALSE)</f>
        <v>1265.5934136967958</v>
      </c>
      <c r="E8" s="4"/>
      <c r="F8" s="58">
        <f>VLOOKUP($A8,'Data - Total'!$A$3:$AA$54,26,FALSE)/VLOOKUP($A8,'Data - Total'!$A$3:$AA$54,23,FALSE)</f>
        <v>3.0998666725419642E-2</v>
      </c>
      <c r="G8" s="4"/>
      <c r="H8" s="18">
        <f>VLOOKUP($A8,'Data - Total'!$A$3:$AA$54,27,FALSE)/VLOOKUP($A8,'Data - Total'!$A$3:$AA$54,26,FALSE)</f>
        <v>40827.349927891548</v>
      </c>
      <c r="I8" s="58">
        <f>VLOOKUP($A8,'Data - Total'!$A$3:$AA$54,26,FALSE)/VLOOKUP($A8,'Data - Total'!$A$3:$AA$54,23,FALSE)</f>
        <v>3.0998666725419642E-2</v>
      </c>
      <c r="J8" s="4"/>
      <c r="K8" s="58">
        <f>VLOOKUP($A8,'Data - Total'!$A$3:$AA$54,24,FALSE)/VLOOKUP($A8,'Data - Total'!$A$3:$AA$54,23,FALSE)</f>
        <v>0.56796325797157943</v>
      </c>
      <c r="L8" s="4"/>
      <c r="M8" s="58">
        <f>VLOOKUP($A8,'Data - Total'!$A$3:$AA$54,25,FALSE)/VLOOKUP($A8,'Data - Total'!$A$3:$AA$54,24,FALSE)</f>
        <v>5.6294561636995158E-2</v>
      </c>
      <c r="N8" s="4"/>
      <c r="O8" s="94">
        <f>VLOOKUP($A8,'Data - Total'!$A$3:$AA$54,26,FALSE)/VLOOKUP($A8,'Data - Total'!$A$3:$AA$54,25,FALSE)</f>
        <v>0.96951901565995524</v>
      </c>
    </row>
    <row r="9" spans="1:18" x14ac:dyDescent="0.25">
      <c r="A9" s="69" t="s">
        <v>14</v>
      </c>
      <c r="B9" s="70" t="s">
        <v>15</v>
      </c>
      <c r="C9" s="78">
        <f>VLOOKUP($A9,'Data - Total'!$A$3:$AA$54,23,FALSE)/VLOOKUP($A9,'Data - Total'!$A$2:$G$54,3,FALSE)</f>
        <v>0.15363151203976258</v>
      </c>
      <c r="D9" s="38">
        <f>VLOOKUP($A9,'Data - Total'!$A$3:$AA$54,27,FALSE)/VLOOKUP($A9,'Data - Total'!$A$3:$AA$54,23,FALSE)</f>
        <v>2063.3010325452788</v>
      </c>
      <c r="E9" s="4"/>
      <c r="F9" s="58">
        <f>VLOOKUP($A9,'Data - Total'!$A$3:$AA$54,26,FALSE)/VLOOKUP($A9,'Data - Total'!$A$3:$AA$54,23,FALSE)</f>
        <v>5.7241987414747217E-2</v>
      </c>
      <c r="G9" s="4"/>
      <c r="H9" s="18">
        <f>VLOOKUP($A9,'Data - Total'!$A$3:$AA$54,27,FALSE)/VLOOKUP($A9,'Data - Total'!$A$3:$AA$54,26,FALSE)</f>
        <v>36045.237521115698</v>
      </c>
      <c r="I9" s="58">
        <f>VLOOKUP($A9,'Data - Total'!$A$3:$AA$54,26,FALSE)/VLOOKUP($A9,'Data - Total'!$A$3:$AA$54,23,FALSE)</f>
        <v>5.7241987414747217E-2</v>
      </c>
      <c r="J9" s="4"/>
      <c r="K9" s="58">
        <f>VLOOKUP($A9,'Data - Total'!$A$3:$AA$54,24,FALSE)/VLOOKUP($A9,'Data - Total'!$A$3:$AA$54,23,FALSE)</f>
        <v>0.47399213628060427</v>
      </c>
      <c r="L9" s="4"/>
      <c r="M9" s="58">
        <f>VLOOKUP($A9,'Data - Total'!$A$3:$AA$54,25,FALSE)/VLOOKUP($A9,'Data - Total'!$A$3:$AA$54,24,FALSE)</f>
        <v>0.28925410946656749</v>
      </c>
      <c r="N9" s="4"/>
      <c r="O9" s="94">
        <f>VLOOKUP($A9,'Data - Total'!$A$3:$AA$54,26,FALSE)/VLOOKUP($A9,'Data - Total'!$A$3:$AA$54,25,FALSE)</f>
        <v>0.41750725778674408</v>
      </c>
    </row>
    <row r="10" spans="1:18" x14ac:dyDescent="0.25">
      <c r="A10" s="69" t="s">
        <v>44</v>
      </c>
      <c r="B10" s="70" t="s">
        <v>45</v>
      </c>
      <c r="C10" s="78">
        <f>VLOOKUP($A10,'Data - Total'!$A$3:$AA$54,23,FALSE)/VLOOKUP($A10,'Data - Total'!$A$2:$G$54,3,FALSE)</f>
        <v>0.12903515441684901</v>
      </c>
      <c r="D10" s="38">
        <f>VLOOKUP($A10,'Data - Total'!$A$3:$AA$54,27,FALSE)/VLOOKUP($A10,'Data - Total'!$A$3:$AA$54,23,FALSE)</f>
        <v>1750.4193954541033</v>
      </c>
      <c r="E10" s="4"/>
      <c r="F10" s="58">
        <f>VLOOKUP($A10,'Data - Total'!$A$3:$AA$54,26,FALSE)/VLOOKUP($A10,'Data - Total'!$A$3:$AA$54,23,FALSE)</f>
        <v>6.5929849694319725E-2</v>
      </c>
      <c r="G10" s="4"/>
      <c r="H10" s="18">
        <f>VLOOKUP($A10,'Data - Total'!$A$3:$AA$54,27,FALSE)/VLOOKUP($A10,'Data - Total'!$A$3:$AA$54,26,FALSE)</f>
        <v>26549.725254491412</v>
      </c>
      <c r="I10" s="58">
        <f>VLOOKUP($A10,'Data - Total'!$A$3:$AA$54,26,FALSE)/VLOOKUP($A10,'Data - Total'!$A$3:$AA$54,23,FALSE)</f>
        <v>6.5929849694319725E-2</v>
      </c>
      <c r="J10" s="4"/>
      <c r="K10" s="58">
        <f>VLOOKUP($A10,'Data - Total'!$A$3:$AA$54,24,FALSE)/VLOOKUP($A10,'Data - Total'!$A$3:$AA$54,23,FALSE)</f>
        <v>0.43499010088823842</v>
      </c>
      <c r="L10" s="4"/>
      <c r="M10" s="58">
        <f>VLOOKUP($A10,'Data - Total'!$A$3:$AA$54,25,FALSE)/VLOOKUP($A10,'Data - Total'!$A$3:$AA$54,24,FALSE)</f>
        <v>0.4134355461197694</v>
      </c>
      <c r="N10" s="4"/>
      <c r="O10" s="94">
        <f>VLOOKUP($A10,'Data - Total'!$A$3:$AA$54,26,FALSE)/VLOOKUP($A10,'Data - Total'!$A$3:$AA$54,25,FALSE)</f>
        <v>0.36660205783936511</v>
      </c>
    </row>
    <row r="11" spans="1:18" x14ac:dyDescent="0.25">
      <c r="A11" s="69" t="s">
        <v>40</v>
      </c>
      <c r="B11" s="70" t="s">
        <v>41</v>
      </c>
      <c r="C11" s="78">
        <f>VLOOKUP($A11,'Data - Total'!$A$3:$AA$54,23,FALSE)/VLOOKUP($A11,'Data - Total'!$A$2:$G$54,3,FALSE)</f>
        <v>0.13938024577413219</v>
      </c>
      <c r="D11" s="38">
        <f>VLOOKUP($A11,'Data - Total'!$A$3:$AA$54,27,FALSE)/VLOOKUP($A11,'Data - Total'!$A$3:$AA$54,23,FALSE)</f>
        <v>1475.4350404297629</v>
      </c>
      <c r="E11" s="4"/>
      <c r="F11" s="58">
        <f>VLOOKUP($A11,'Data - Total'!$A$3:$AA$54,26,FALSE)/VLOOKUP($A11,'Data - Total'!$A$3:$AA$54,23,FALSE)</f>
        <v>3.4936358956556238E-2</v>
      </c>
      <c r="G11" s="4"/>
      <c r="H11" s="18">
        <f>VLOOKUP($A11,'Data - Total'!$A$3:$AA$54,27,FALSE)/VLOOKUP($A11,'Data - Total'!$A$3:$AA$54,26,FALSE)</f>
        <v>42232.078112790274</v>
      </c>
      <c r="I11" s="58">
        <f>VLOOKUP($A11,'Data - Total'!$A$3:$AA$54,26,FALSE)/VLOOKUP($A11,'Data - Total'!$A$3:$AA$54,23,FALSE)</f>
        <v>3.4936358956556238E-2</v>
      </c>
      <c r="J11" s="4"/>
      <c r="K11" s="58">
        <f>VLOOKUP($A11,'Data - Total'!$A$3:$AA$54,24,FALSE)/VLOOKUP($A11,'Data - Total'!$A$3:$AA$54,23,FALSE)</f>
        <v>0.58272155867064312</v>
      </c>
      <c r="L11" s="4"/>
      <c r="M11" s="58">
        <f>VLOOKUP($A11,'Data - Total'!$A$3:$AA$54,25,FALSE)/VLOOKUP($A11,'Data - Total'!$A$3:$AA$54,24,FALSE)</f>
        <v>0.30019318500767711</v>
      </c>
      <c r="N11" s="4"/>
      <c r="O11" s="94">
        <f>VLOOKUP($A11,'Data - Total'!$A$3:$AA$54,26,FALSE)/VLOOKUP($A11,'Data - Total'!$A$3:$AA$54,25,FALSE)</f>
        <v>0.19971731864960762</v>
      </c>
    </row>
    <row r="12" spans="1:18" x14ac:dyDescent="0.25">
      <c r="A12" s="69" t="s">
        <v>26</v>
      </c>
      <c r="B12" s="70" t="s">
        <v>27</v>
      </c>
      <c r="C12" s="78">
        <f>VLOOKUP($A12,'Data - Total'!$A$3:$AA$54,23,FALSE)/VLOOKUP($A12,'Data - Total'!$A$2:$G$54,3,FALSE)</f>
        <v>0.1750110348967773</v>
      </c>
      <c r="D12" s="38">
        <f>VLOOKUP($A12,'Data - Total'!$A$3:$AA$54,27,FALSE)/VLOOKUP($A12,'Data - Total'!$A$3:$AA$54,23,FALSE)</f>
        <v>1259.0196266322707</v>
      </c>
      <c r="E12" s="4"/>
      <c r="F12" s="58">
        <f>VLOOKUP($A12,'Data - Total'!$A$3:$AA$54,26,FALSE)/VLOOKUP($A12,'Data - Total'!$A$3:$AA$54,23,FALSE)</f>
        <v>6.0994279373208067E-2</v>
      </c>
      <c r="G12" s="4"/>
      <c r="H12" s="18">
        <f>VLOOKUP($A12,'Data - Total'!$A$3:$AA$54,27,FALSE)/VLOOKUP($A12,'Data - Total'!$A$3:$AA$54,26,FALSE)</f>
        <v>20641.601795615265</v>
      </c>
      <c r="I12" s="58">
        <f>VLOOKUP($A12,'Data - Total'!$A$3:$AA$54,26,FALSE)/VLOOKUP($A12,'Data - Total'!$A$3:$AA$54,23,FALSE)</f>
        <v>6.0994279373208067E-2</v>
      </c>
      <c r="J12" s="4"/>
      <c r="K12" s="58">
        <f>VLOOKUP($A12,'Data - Total'!$A$3:$AA$54,24,FALSE)/VLOOKUP($A12,'Data - Total'!$A$3:$AA$54,23,FALSE)</f>
        <v>0.53350311912021398</v>
      </c>
      <c r="L12" s="4"/>
      <c r="M12" s="58">
        <f>VLOOKUP($A12,'Data - Total'!$A$3:$AA$54,25,FALSE)/VLOOKUP($A12,'Data - Total'!$A$3:$AA$54,24,FALSE)</f>
        <v>0.21171229061235089</v>
      </c>
      <c r="N12" s="4"/>
      <c r="O12" s="94">
        <f>VLOOKUP($A12,'Data - Total'!$A$3:$AA$54,26,FALSE)/VLOOKUP($A12,'Data - Total'!$A$3:$AA$54,25,FALSE)</f>
        <v>0.54001530757994709</v>
      </c>
    </row>
    <row r="13" spans="1:18" x14ac:dyDescent="0.25">
      <c r="A13" s="69" t="s">
        <v>8</v>
      </c>
      <c r="B13" s="70" t="s">
        <v>9</v>
      </c>
      <c r="C13" s="78">
        <f>VLOOKUP($A13,'Data - Total'!$A$3:$AA$54,23,FALSE)/VLOOKUP($A13,'Data - Total'!$A$2:$G$54,3,FALSE)</f>
        <v>0.13407400652280219</v>
      </c>
      <c r="D13" s="38">
        <f>VLOOKUP($A13,'Data - Total'!$A$3:$AA$54,27,FALSE)/VLOOKUP($A13,'Data - Total'!$A$3:$AA$54,23,FALSE)</f>
        <v>1559.5666168624214</v>
      </c>
      <c r="E13" s="4"/>
      <c r="F13" s="58">
        <f>VLOOKUP($A13,'Data - Total'!$A$3:$AA$54,26,FALSE)/VLOOKUP($A13,'Data - Total'!$A$3:$AA$54,23,FALSE)</f>
        <v>4.9077763180205715E-2</v>
      </c>
      <c r="G13" s="4"/>
      <c r="H13" s="18">
        <f>VLOOKUP($A13,'Data - Total'!$A$3:$AA$54,27,FALSE)/VLOOKUP($A13,'Data - Total'!$A$3:$AA$54,26,FALSE)</f>
        <v>31777.459195439322</v>
      </c>
      <c r="I13" s="58">
        <f>VLOOKUP($A13,'Data - Total'!$A$3:$AA$54,26,FALSE)/VLOOKUP($A13,'Data - Total'!$A$3:$AA$54,23,FALSE)</f>
        <v>4.9077763180205715E-2</v>
      </c>
      <c r="J13" s="4"/>
      <c r="K13" s="58">
        <f>VLOOKUP($A13,'Data - Total'!$A$3:$AA$54,24,FALSE)/VLOOKUP($A13,'Data - Total'!$A$3:$AA$54,23,FALSE)</f>
        <v>0.48970204653578248</v>
      </c>
      <c r="L13" s="4"/>
      <c r="M13" s="58">
        <f>VLOOKUP($A13,'Data - Total'!$A$3:$AA$54,25,FALSE)/VLOOKUP($A13,'Data - Total'!$A$3:$AA$54,24,FALSE)</f>
        <v>6.8305456647471147E-2</v>
      </c>
      <c r="N13" s="4"/>
      <c r="O13" s="95">
        <f>VLOOKUP($A13,'Data - Total'!$A$3:$AA$54,26,FALSE)/VLOOKUP($A13,'Data - Total'!$A$3:$AA$54,25,FALSE)</f>
        <v>1.4672274467180191</v>
      </c>
    </row>
    <row r="14" spans="1:18" x14ac:dyDescent="0.25">
      <c r="A14" s="69" t="s">
        <v>74</v>
      </c>
      <c r="B14" s="70" t="s">
        <v>75</v>
      </c>
      <c r="C14" s="78">
        <f>VLOOKUP($A14,'Data - Total'!$A$3:$AA$54,23,FALSE)/VLOOKUP($A14,'Data - Total'!$A$2:$G$54,3,FALSE)</f>
        <v>0.13105100401986175</v>
      </c>
      <c r="D14" s="38">
        <f>VLOOKUP($A14,'Data - Total'!$A$3:$AA$54,27,FALSE)/VLOOKUP($A14,'Data - Total'!$A$3:$AA$54,23,FALSE)</f>
        <v>1395.3509797439267</v>
      </c>
      <c r="E14" s="4"/>
      <c r="F14" s="58">
        <f>VLOOKUP($A14,'Data - Total'!$A$3:$AA$54,26,FALSE)/VLOOKUP($A14,'Data - Total'!$A$3:$AA$54,23,FALSE)</f>
        <v>8.0439288857292846E-2</v>
      </c>
      <c r="G14" s="4"/>
      <c r="H14" s="18">
        <f>VLOOKUP($A14,'Data - Total'!$A$3:$AA$54,27,FALSE)/VLOOKUP($A14,'Data - Total'!$A$3:$AA$54,26,FALSE)</f>
        <v>17346.634953715413</v>
      </c>
      <c r="I14" s="58">
        <f>VLOOKUP($A14,'Data - Total'!$A$3:$AA$54,26,FALSE)/VLOOKUP($A14,'Data - Total'!$A$3:$AA$54,23,FALSE)</f>
        <v>8.0439288857292846E-2</v>
      </c>
      <c r="J14" s="4"/>
      <c r="K14" s="58">
        <f>VLOOKUP($A14,'Data - Total'!$A$3:$AA$54,24,FALSE)/VLOOKUP($A14,'Data - Total'!$A$3:$AA$54,23,FALSE)</f>
        <v>0.51530435912336081</v>
      </c>
      <c r="L14" s="4"/>
      <c r="M14" s="58">
        <f>VLOOKUP($A14,'Data - Total'!$A$3:$AA$54,25,FALSE)/VLOOKUP($A14,'Data - Total'!$A$3:$AA$54,24,FALSE)</f>
        <v>0.28683365699563595</v>
      </c>
      <c r="N14" s="4"/>
      <c r="O14" s="94">
        <f>VLOOKUP($A14,'Data - Total'!$A$3:$AA$54,26,FALSE)/VLOOKUP($A14,'Data - Total'!$A$3:$AA$54,25,FALSE)</f>
        <v>0.54421974706403786</v>
      </c>
    </row>
    <row r="15" spans="1:18" x14ac:dyDescent="0.25">
      <c r="A15" s="69" t="s">
        <v>70</v>
      </c>
      <c r="B15" s="70" t="s">
        <v>71</v>
      </c>
      <c r="C15" s="78">
        <f>VLOOKUP($A15,'Data - Total'!$A$3:$AA$54,23,FALSE)/VLOOKUP($A15,'Data - Total'!$A$2:$G$54,3,FALSE)</f>
        <v>0.14748696490504162</v>
      </c>
      <c r="D15" s="38" t="e">
        <f>VLOOKUP($A15,'Data - Total'!$A$3:$AA$54,27,FALSE)/VLOOKUP($A15,'Data - Total'!$A$3:$AA$54,23,FALSE)</f>
        <v>#VALUE!</v>
      </c>
      <c r="E15" s="4"/>
      <c r="F15" s="58">
        <f>VLOOKUP($A15,'Data - Total'!$A$3:$AA$54,26,FALSE)/VLOOKUP($A15,'Data - Total'!$A$3:$AA$54,23,FALSE)</f>
        <v>7.2687554917223937E-2</v>
      </c>
      <c r="G15" s="4"/>
      <c r="H15" s="18" t="e">
        <f>VLOOKUP($A15,'Data - Total'!$A$3:$AA$54,27,FALSE)/VLOOKUP($A15,'Data - Total'!$A$3:$AA$54,26,FALSE)</f>
        <v>#VALUE!</v>
      </c>
      <c r="I15" s="58">
        <f>VLOOKUP($A15,'Data - Total'!$A$3:$AA$54,26,FALSE)/VLOOKUP($A15,'Data - Total'!$A$3:$AA$54,23,FALSE)</f>
        <v>7.2687554917223937E-2</v>
      </c>
      <c r="J15" s="4"/>
      <c r="K15" s="58">
        <f>VLOOKUP($A15,'Data - Total'!$A$3:$AA$54,24,FALSE)/VLOOKUP($A15,'Data - Total'!$A$3:$AA$54,23,FALSE)</f>
        <v>0.52796396752176922</v>
      </c>
      <c r="L15" s="4"/>
      <c r="M15" s="58">
        <f>VLOOKUP($A15,'Data - Total'!$A$3:$AA$54,25,FALSE)/VLOOKUP($A15,'Data - Total'!$A$3:$AA$54,24,FALSE)</f>
        <v>9.3654887404022072E-2</v>
      </c>
      <c r="N15" s="4"/>
      <c r="O15" s="95">
        <f>VLOOKUP($A15,'Data - Total'!$A$3:$AA$54,26,FALSE)/VLOOKUP($A15,'Data - Total'!$A$3:$AA$54,25,FALSE)</f>
        <v>1.4700270635994588</v>
      </c>
    </row>
    <row r="16" spans="1:18" x14ac:dyDescent="0.25">
      <c r="A16" s="69" t="s">
        <v>88</v>
      </c>
      <c r="B16" s="70" t="s">
        <v>89</v>
      </c>
      <c r="C16" s="78">
        <f>VLOOKUP($A16,'Data - Total'!$A$3:$AA$54,23,FALSE)/VLOOKUP($A16,'Data - Total'!$A$2:$G$54,3,FALSE)</f>
        <v>0.14108593502184771</v>
      </c>
      <c r="D16" s="38">
        <f>VLOOKUP($A16,'Data - Total'!$A$3:$AA$54,27,FALSE)/VLOOKUP($A16,'Data - Total'!$A$3:$AA$54,23,FALSE)</f>
        <v>1373.2874463501155</v>
      </c>
      <c r="E16" s="4"/>
      <c r="F16" s="58">
        <f>VLOOKUP($A16,'Data - Total'!$A$3:$AA$54,26,FALSE)/VLOOKUP($A16,'Data - Total'!$A$3:$AA$54,23,FALSE)</f>
        <v>8.1337156434307625E-2</v>
      </c>
      <c r="G16" s="4"/>
      <c r="H16" s="18">
        <f>VLOOKUP($A16,'Data - Total'!$A$3:$AA$54,27,FALSE)/VLOOKUP($A16,'Data - Total'!$A$3:$AA$54,26,FALSE)</f>
        <v>16883.888084522085</v>
      </c>
      <c r="I16" s="58">
        <f>VLOOKUP($A16,'Data - Total'!$A$3:$AA$54,26,FALSE)/VLOOKUP($A16,'Data - Total'!$A$3:$AA$54,23,FALSE)</f>
        <v>8.1337156434307625E-2</v>
      </c>
      <c r="J16" s="4"/>
      <c r="K16" s="58">
        <f>VLOOKUP($A16,'Data - Total'!$A$3:$AA$54,24,FALSE)/VLOOKUP($A16,'Data - Total'!$A$3:$AA$54,23,FALSE)</f>
        <v>0.46093127587785659</v>
      </c>
      <c r="L16" s="4"/>
      <c r="M16" s="58">
        <f>VLOOKUP($A16,'Data - Total'!$A$3:$AA$54,25,FALSE)/VLOOKUP($A16,'Data - Total'!$A$3:$AA$54,24,FALSE)</f>
        <v>0.25555047270321474</v>
      </c>
      <c r="N16" s="4"/>
      <c r="O16" s="94">
        <f>VLOOKUP($A16,'Data - Total'!$A$3:$AA$54,26,FALSE)/VLOOKUP($A16,'Data - Total'!$A$3:$AA$54,25,FALSE)</f>
        <v>0.69051977296969858</v>
      </c>
    </row>
    <row r="17" spans="1:15" x14ac:dyDescent="0.25">
      <c r="A17" s="69" t="s">
        <v>12</v>
      </c>
      <c r="B17" s="70" t="s">
        <v>13</v>
      </c>
      <c r="C17" s="78">
        <f>VLOOKUP($A17,'Data - Total'!$A$3:$AA$54,23,FALSE)/VLOOKUP($A17,'Data - Total'!$A$2:$G$54,3,FALSE)</f>
        <v>0.12376894918976487</v>
      </c>
      <c r="D17" s="38">
        <f>VLOOKUP($A17,'Data - Total'!$A$3:$AA$54,27,FALSE)/VLOOKUP($A17,'Data - Total'!$A$3:$AA$54,23,FALSE)</f>
        <v>1384.1843312407213</v>
      </c>
      <c r="E17" s="4"/>
      <c r="F17" s="58">
        <f>VLOOKUP($A17,'Data - Total'!$A$3:$AA$54,26,FALSE)/VLOOKUP($A17,'Data - Total'!$A$3:$AA$54,23,FALSE)</f>
        <v>7.574774742804663E-2</v>
      </c>
      <c r="G17" s="4"/>
      <c r="H17" s="18">
        <f>VLOOKUP($A17,'Data - Total'!$A$3:$AA$54,27,FALSE)/VLOOKUP($A17,'Data - Total'!$A$3:$AA$54,26,FALSE)</f>
        <v>18273.603879185564</v>
      </c>
      <c r="I17" s="58">
        <f>VLOOKUP($A17,'Data - Total'!$A$3:$AA$54,26,FALSE)/VLOOKUP($A17,'Data - Total'!$A$3:$AA$54,23,FALSE)</f>
        <v>7.574774742804663E-2</v>
      </c>
      <c r="J17" s="4"/>
      <c r="K17" s="58">
        <f>VLOOKUP($A17,'Data - Total'!$A$3:$AA$54,24,FALSE)/VLOOKUP($A17,'Data - Total'!$A$3:$AA$54,23,FALSE)</f>
        <v>0.57828219495964461</v>
      </c>
      <c r="L17" s="4"/>
      <c r="M17" s="58">
        <f>VLOOKUP($A17,'Data - Total'!$A$3:$AA$54,25,FALSE)/VLOOKUP($A17,'Data - Total'!$A$3:$AA$54,24,FALSE)</f>
        <v>0.17359879920139204</v>
      </c>
      <c r="N17" s="4"/>
      <c r="O17" s="94">
        <f>VLOOKUP($A17,'Data - Total'!$A$3:$AA$54,26,FALSE)/VLOOKUP($A17,'Data - Total'!$A$3:$AA$54,25,FALSE)</f>
        <v>0.7545415933499181</v>
      </c>
    </row>
    <row r="18" spans="1:15" x14ac:dyDescent="0.25">
      <c r="A18" s="69" t="s">
        <v>58</v>
      </c>
      <c r="B18" s="70" t="s">
        <v>59</v>
      </c>
      <c r="C18" s="78">
        <f>VLOOKUP($A18,'Data - Total'!$A$3:$AA$54,23,FALSE)/VLOOKUP($A18,'Data - Total'!$A$2:$G$54,3,FALSE)</f>
        <v>0.13833147193375347</v>
      </c>
      <c r="D18" s="38">
        <f>VLOOKUP($A18,'Data - Total'!$A$3:$AA$54,27,FALSE)/VLOOKUP($A18,'Data - Total'!$A$3:$AA$54,23,FALSE)</f>
        <v>1723.8572483085977</v>
      </c>
      <c r="E18" s="4"/>
      <c r="F18" s="58">
        <f>VLOOKUP($A18,'Data - Total'!$A$3:$AA$54,26,FALSE)/VLOOKUP($A18,'Data - Total'!$A$3:$AA$54,23,FALSE)</f>
        <v>5.6255683164830712E-2</v>
      </c>
      <c r="G18" s="4"/>
      <c r="H18" s="18">
        <f>VLOOKUP($A18,'Data - Total'!$A$3:$AA$54,27,FALSE)/VLOOKUP($A18,'Data - Total'!$A$3:$AA$54,26,FALSE)</f>
        <v>30643.255069139381</v>
      </c>
      <c r="I18" s="58">
        <f>VLOOKUP($A18,'Data - Total'!$A$3:$AA$54,26,FALSE)/VLOOKUP($A18,'Data - Total'!$A$3:$AA$54,23,FALSE)</f>
        <v>5.6255683164830712E-2</v>
      </c>
      <c r="J18" s="4"/>
      <c r="K18" s="58">
        <f>VLOOKUP($A18,'Data - Total'!$A$3:$AA$54,24,FALSE)/VLOOKUP($A18,'Data - Total'!$A$3:$AA$54,23,FALSE)</f>
        <v>0.56174455110963928</v>
      </c>
      <c r="L18" s="4"/>
      <c r="M18" s="58">
        <f>VLOOKUP($A18,'Data - Total'!$A$3:$AA$54,25,FALSE)/VLOOKUP($A18,'Data - Total'!$A$3:$AA$54,24,FALSE)</f>
        <v>8.110431804391928E-2</v>
      </c>
      <c r="N18" s="4"/>
      <c r="O18" s="95">
        <f>VLOOKUP($A18,'Data - Total'!$A$3:$AA$54,26,FALSE)/VLOOKUP($A18,'Data - Total'!$A$3:$AA$54,25,FALSE)</f>
        <v>1.2347628590514361</v>
      </c>
    </row>
    <row r="19" spans="1:15" x14ac:dyDescent="0.25">
      <c r="A19" s="69" t="s">
        <v>46</v>
      </c>
      <c r="B19" s="70" t="s">
        <v>47</v>
      </c>
      <c r="C19" s="78">
        <f>VLOOKUP($A19,'Data - Total'!$A$3:$AA$54,23,FALSE)/VLOOKUP($A19,'Data - Total'!$A$2:$G$54,3,FALSE)</f>
        <v>0.15887106151997782</v>
      </c>
      <c r="D19" s="38">
        <f>VLOOKUP($A19,'Data - Total'!$A$3:$AA$54,27,FALSE)/VLOOKUP($A19,'Data - Total'!$A$3:$AA$54,23,FALSE)</f>
        <v>2802.4807039328284</v>
      </c>
      <c r="E19" s="4"/>
      <c r="F19" s="58">
        <f>VLOOKUP($A19,'Data - Total'!$A$3:$AA$54,26,FALSE)/VLOOKUP($A19,'Data - Total'!$A$3:$AA$54,23,FALSE)</f>
        <v>9.0642814795924578E-2</v>
      </c>
      <c r="G19" s="4"/>
      <c r="H19" s="18">
        <f>VLOOKUP($A19,'Data - Total'!$A$3:$AA$54,27,FALSE)/VLOOKUP($A19,'Data - Total'!$A$3:$AA$54,26,FALSE)</f>
        <v>30917.847269443264</v>
      </c>
      <c r="I19" s="58">
        <f>VLOOKUP($A19,'Data - Total'!$A$3:$AA$54,26,FALSE)/VLOOKUP($A19,'Data - Total'!$A$3:$AA$54,23,FALSE)</f>
        <v>9.0642814795924578E-2</v>
      </c>
      <c r="J19" s="4"/>
      <c r="K19" s="58">
        <f>VLOOKUP($A19,'Data - Total'!$A$3:$AA$54,24,FALSE)/VLOOKUP($A19,'Data - Total'!$A$3:$AA$54,23,FALSE)</f>
        <v>0.52014245633649525</v>
      </c>
      <c r="L19" s="4"/>
      <c r="M19" s="58">
        <f>VLOOKUP($A19,'Data - Total'!$A$3:$AA$54,25,FALSE)/VLOOKUP($A19,'Data - Total'!$A$3:$AA$54,24,FALSE)</f>
        <v>0.7813242797103872</v>
      </c>
      <c r="N19" s="4"/>
      <c r="O19" s="94">
        <f>VLOOKUP($A19,'Data - Total'!$A$3:$AA$54,26,FALSE)/VLOOKUP($A19,'Data - Total'!$A$3:$AA$54,25,FALSE)</f>
        <v>0.22303846062702909</v>
      </c>
    </row>
    <row r="20" spans="1:15" x14ac:dyDescent="0.25">
      <c r="A20" s="69" t="s">
        <v>94</v>
      </c>
      <c r="B20" s="70" t="s">
        <v>95</v>
      </c>
      <c r="C20" s="78">
        <f>VLOOKUP($A20,'Data - Total'!$A$3:$AA$54,23,FALSE)/VLOOKUP($A20,'Data - Total'!$A$2:$G$54,3,FALSE)</f>
        <v>0.1032527157320198</v>
      </c>
      <c r="D20" s="38">
        <f>VLOOKUP($A20,'Data - Total'!$A$3:$AA$54,27,FALSE)/VLOOKUP($A20,'Data - Total'!$A$3:$AA$54,23,FALSE)</f>
        <v>1714.646564261938</v>
      </c>
      <c r="E20" s="4"/>
      <c r="F20" s="58">
        <f>VLOOKUP($A20,'Data - Total'!$A$3:$AA$54,26,FALSE)/VLOOKUP($A20,'Data - Total'!$A$3:$AA$54,23,FALSE)</f>
        <v>6.990710121051448E-2</v>
      </c>
      <c r="G20" s="4"/>
      <c r="H20" s="18">
        <f>VLOOKUP($A20,'Data - Total'!$A$3:$AA$54,27,FALSE)/VLOOKUP($A20,'Data - Total'!$A$3:$AA$54,26,FALSE)</f>
        <v>24527.501992945519</v>
      </c>
      <c r="I20" s="58">
        <f>VLOOKUP($A20,'Data - Total'!$A$3:$AA$54,26,FALSE)/VLOOKUP($A20,'Data - Total'!$A$3:$AA$54,23,FALSE)</f>
        <v>6.990710121051448E-2</v>
      </c>
      <c r="J20" s="4"/>
      <c r="K20" s="58">
        <f>VLOOKUP($A20,'Data - Total'!$A$3:$AA$54,24,FALSE)/VLOOKUP($A20,'Data - Total'!$A$3:$AA$54,23,FALSE)</f>
        <v>0.55281263521921897</v>
      </c>
      <c r="L20" s="4"/>
      <c r="M20" s="58">
        <f>VLOOKUP($A20,'Data - Total'!$A$3:$AA$54,25,FALSE)/VLOOKUP($A20,'Data - Total'!$A$3:$AA$54,24,FALSE)</f>
        <v>0.11026557167980888</v>
      </c>
      <c r="N20" s="4"/>
      <c r="O20" s="95">
        <f>VLOOKUP($A20,'Data - Total'!$A$3:$AA$54,26,FALSE)/VLOOKUP($A20,'Data - Total'!$A$3:$AA$54,25,FALSE)</f>
        <v>1.1468414988478108</v>
      </c>
    </row>
    <row r="21" spans="1:15" x14ac:dyDescent="0.25">
      <c r="A21" s="69" t="s">
        <v>104</v>
      </c>
      <c r="B21" s="70" t="s">
        <v>105</v>
      </c>
      <c r="C21" s="78">
        <f>VLOOKUP($A21,'Data - Total'!$A$3:$AA$54,23,FALSE)/VLOOKUP($A21,'Data - Total'!$A$2:$G$54,3,FALSE)</f>
        <v>0.13542535576023282</v>
      </c>
      <c r="D21" s="38">
        <f>VLOOKUP($A21,'Data - Total'!$A$3:$AA$54,27,FALSE)/VLOOKUP($A21,'Data - Total'!$A$3:$AA$54,23,FALSE)</f>
        <v>2495.213139435944</v>
      </c>
      <c r="E21" s="4"/>
      <c r="F21" s="58">
        <f>VLOOKUP($A21,'Data - Total'!$A$3:$AA$54,26,FALSE)/VLOOKUP($A21,'Data - Total'!$A$3:$AA$54,23,FALSE)</f>
        <v>6.1663181367167391E-2</v>
      </c>
      <c r="G21" s="4"/>
      <c r="H21" s="18">
        <f>VLOOKUP($A21,'Data - Total'!$A$3:$AA$54,27,FALSE)/VLOOKUP($A21,'Data - Total'!$A$3:$AA$54,26,FALSE)</f>
        <v>40465.202801951476</v>
      </c>
      <c r="I21" s="58">
        <f>VLOOKUP($A21,'Data - Total'!$A$3:$AA$54,26,FALSE)/VLOOKUP($A21,'Data - Total'!$A$3:$AA$54,23,FALSE)</f>
        <v>6.1663181367167391E-2</v>
      </c>
      <c r="J21" s="4"/>
      <c r="K21" s="58">
        <f>VLOOKUP($A21,'Data - Total'!$A$3:$AA$54,24,FALSE)/VLOOKUP($A21,'Data - Total'!$A$3:$AA$54,23,FALSE)</f>
        <v>0.50697469138616591</v>
      </c>
      <c r="L21" s="4"/>
      <c r="M21" s="91">
        <f>VLOOKUP($A21,'Data - Total'!$A$3:$AA$54,25,FALSE)/VLOOKUP($A21,'Data - Total'!$A$3:$AA$54,24,FALSE)</f>
        <v>1.1315780328039906</v>
      </c>
      <c r="N21" s="4"/>
      <c r="O21" s="94">
        <f>VLOOKUP($A21,'Data - Total'!$A$3:$AA$54,26,FALSE)/VLOOKUP($A21,'Data - Total'!$A$3:$AA$54,25,FALSE)</f>
        <v>0.10748680154483932</v>
      </c>
    </row>
    <row r="22" spans="1:15" x14ac:dyDescent="0.25">
      <c r="A22" s="69" t="s">
        <v>28</v>
      </c>
      <c r="B22" s="70" t="s">
        <v>29</v>
      </c>
      <c r="C22" s="78">
        <f>VLOOKUP($A22,'Data - Total'!$A$3:$AA$54,23,FALSE)/VLOOKUP($A22,'Data - Total'!$A$2:$G$54,3,FALSE)</f>
        <v>9.8486239089304595E-2</v>
      </c>
      <c r="D22" s="38">
        <f>VLOOKUP($A22,'Data - Total'!$A$3:$AA$54,27,FALSE)/VLOOKUP($A22,'Data - Total'!$A$3:$AA$54,23,FALSE)</f>
        <v>1440.2477221435329</v>
      </c>
      <c r="E22" s="4"/>
      <c r="F22" s="58">
        <f>VLOOKUP($A22,'Data - Total'!$A$3:$AA$54,26,FALSE)/VLOOKUP($A22,'Data - Total'!$A$3:$AA$54,23,FALSE)</f>
        <v>6.0160600072202121E-2</v>
      </c>
      <c r="G22" s="4"/>
      <c r="H22" s="18">
        <f>VLOOKUP($A22,'Data - Total'!$A$3:$AA$54,27,FALSE)/VLOOKUP($A22,'Data - Total'!$A$3:$AA$54,26,FALSE)</f>
        <v>23940.049142046635</v>
      </c>
      <c r="I22" s="58">
        <f>VLOOKUP($A22,'Data - Total'!$A$3:$AA$54,26,FALSE)/VLOOKUP($A22,'Data - Total'!$A$3:$AA$54,23,FALSE)</f>
        <v>6.0160600072202121E-2</v>
      </c>
      <c r="J22" s="4"/>
      <c r="K22" s="58">
        <f>VLOOKUP($A22,'Data - Total'!$A$3:$AA$54,24,FALSE)/VLOOKUP($A22,'Data - Total'!$A$3:$AA$54,23,FALSE)</f>
        <v>0.48782003410406599</v>
      </c>
      <c r="L22" s="4"/>
      <c r="M22" s="58">
        <f>VLOOKUP($A22,'Data - Total'!$A$3:$AA$54,25,FALSE)/VLOOKUP($A22,'Data - Total'!$A$3:$AA$54,24,FALSE)</f>
        <v>0.1995280878979013</v>
      </c>
      <c r="N22" s="4"/>
      <c r="O22" s="94">
        <f>VLOOKUP($A22,'Data - Total'!$A$3:$AA$54,26,FALSE)/VLOOKUP($A22,'Data - Total'!$A$3:$AA$54,25,FALSE)</f>
        <v>0.61808540209977125</v>
      </c>
    </row>
    <row r="23" spans="1:15" x14ac:dyDescent="0.25">
      <c r="A23" s="69" t="s">
        <v>96</v>
      </c>
      <c r="B23" s="70" t="s">
        <v>97</v>
      </c>
      <c r="C23" s="78">
        <f>VLOOKUP($A23,'Data - Total'!$A$3:$AA$54,23,FALSE)/VLOOKUP($A23,'Data - Total'!$A$2:$G$54,3,FALSE)</f>
        <v>0.10080746731893102</v>
      </c>
      <c r="D23" s="38">
        <f>VLOOKUP($A23,'Data - Total'!$A$3:$AA$54,27,FALSE)/VLOOKUP($A23,'Data - Total'!$A$3:$AA$54,23,FALSE)</f>
        <v>627.23925021917069</v>
      </c>
      <c r="E23" s="4"/>
      <c r="F23" s="58">
        <f>VLOOKUP($A23,'Data - Total'!$A$3:$AA$54,26,FALSE)/VLOOKUP($A23,'Data - Total'!$A$3:$AA$54,23,FALSE)</f>
        <v>3.1924439992689381E-2</v>
      </c>
      <c r="G23" s="4"/>
      <c r="H23" s="18">
        <f>VLOOKUP($A23,'Data - Total'!$A$3:$AA$54,27,FALSE)/VLOOKUP($A23,'Data - Total'!$A$3:$AA$54,26,FALSE)</f>
        <v>19647.619515418501</v>
      </c>
      <c r="I23" s="58">
        <f>VLOOKUP($A23,'Data - Total'!$A$3:$AA$54,26,FALSE)/VLOOKUP($A23,'Data - Total'!$A$3:$AA$54,23,FALSE)</f>
        <v>3.1924439992689381E-2</v>
      </c>
      <c r="J23" s="4"/>
      <c r="K23" s="58">
        <f>VLOOKUP($A23,'Data - Total'!$A$3:$AA$54,24,FALSE)/VLOOKUP($A23,'Data - Total'!$A$3:$AA$54,23,FALSE)</f>
        <v>0.54980321701949442</v>
      </c>
      <c r="L23" s="4"/>
      <c r="M23" s="58">
        <f>VLOOKUP($A23,'Data - Total'!$A$3:$AA$54,25,FALSE)/VLOOKUP($A23,'Data - Total'!$A$3:$AA$54,24,FALSE)</f>
        <v>0.30463772443888537</v>
      </c>
      <c r="N23" s="4"/>
      <c r="O23" s="94">
        <f>VLOOKUP($A23,'Data - Total'!$A$3:$AA$54,26,FALSE)/VLOOKUP($A23,'Data - Total'!$A$3:$AA$54,25,FALSE)</f>
        <v>0.19060413955245811</v>
      </c>
    </row>
    <row r="24" spans="1:15" x14ac:dyDescent="0.25">
      <c r="A24" s="69" t="s">
        <v>36</v>
      </c>
      <c r="B24" s="70" t="s">
        <v>37</v>
      </c>
      <c r="C24" s="78">
        <f>VLOOKUP($A24,'Data - Total'!$A$3:$AA$54,23,FALSE)/VLOOKUP($A24,'Data - Total'!$A$2:$G$54,3,FALSE)</f>
        <v>0.13849668382606745</v>
      </c>
      <c r="D24" s="38">
        <f>VLOOKUP($A24,'Data - Total'!$A$3:$AA$54,27,FALSE)/VLOOKUP($A24,'Data - Total'!$A$3:$AA$54,23,FALSE)</f>
        <v>1583.2543817639992</v>
      </c>
      <c r="E24" s="4"/>
      <c r="F24" s="58">
        <f>VLOOKUP($A24,'Data - Total'!$A$3:$AA$54,26,FALSE)/VLOOKUP($A24,'Data - Total'!$A$3:$AA$54,23,FALSE)</f>
        <v>3.2774355256302214E-2</v>
      </c>
      <c r="G24" s="4"/>
      <c r="H24" s="18">
        <f>VLOOKUP($A24,'Data - Total'!$A$3:$AA$54,27,FALSE)/VLOOKUP($A24,'Data - Total'!$A$3:$AA$54,26,FALSE)</f>
        <v>48307.72014834841</v>
      </c>
      <c r="I24" s="58">
        <f>VLOOKUP($A24,'Data - Total'!$A$3:$AA$54,26,FALSE)/VLOOKUP($A24,'Data - Total'!$A$3:$AA$54,23,FALSE)</f>
        <v>3.2774355256302214E-2</v>
      </c>
      <c r="J24" s="4"/>
      <c r="K24" s="58">
        <f>VLOOKUP($A24,'Data - Total'!$A$3:$AA$54,24,FALSE)/VLOOKUP($A24,'Data - Total'!$A$3:$AA$54,23,FALSE)</f>
        <v>0.52890223256936464</v>
      </c>
      <c r="L24" s="4"/>
      <c r="M24" s="58">
        <f>VLOOKUP($A24,'Data - Total'!$A$3:$AA$54,25,FALSE)/VLOOKUP($A24,'Data - Total'!$A$3:$AA$54,24,FALSE)</f>
        <v>0.12010394763145986</v>
      </c>
      <c r="N24" s="4"/>
      <c r="O24" s="94">
        <f>VLOOKUP($A24,'Data - Total'!$A$3:$AA$54,26,FALSE)/VLOOKUP($A24,'Data - Total'!$A$3:$AA$54,25,FALSE)</f>
        <v>0.51594270283803356</v>
      </c>
    </row>
    <row r="25" spans="1:15" x14ac:dyDescent="0.25">
      <c r="A25" s="69" t="s">
        <v>38</v>
      </c>
      <c r="B25" s="70" t="s">
        <v>39</v>
      </c>
      <c r="C25" s="78">
        <f>VLOOKUP($A25,'Data - Total'!$A$3:$AA$54,23,FALSE)/VLOOKUP($A25,'Data - Total'!$A$2:$G$54,3,FALSE)</f>
        <v>0.1266532347536363</v>
      </c>
      <c r="D25" s="38">
        <f>VLOOKUP($A25,'Data - Total'!$A$3:$AA$54,27,FALSE)/VLOOKUP($A25,'Data - Total'!$A$3:$AA$54,23,FALSE)</f>
        <v>1850.1433760856835</v>
      </c>
      <c r="E25" s="4"/>
      <c r="F25" s="58">
        <f>VLOOKUP($A25,'Data - Total'!$A$3:$AA$54,26,FALSE)/VLOOKUP($A25,'Data - Total'!$A$3:$AA$54,23,FALSE)</f>
        <v>4.1143618156662586E-2</v>
      </c>
      <c r="G25" s="4"/>
      <c r="H25" s="18">
        <f>VLOOKUP($A25,'Data - Total'!$A$3:$AA$54,27,FALSE)/VLOOKUP($A25,'Data - Total'!$A$3:$AA$54,26,FALSE)</f>
        <v>44967.93084752273</v>
      </c>
      <c r="I25" s="58">
        <f>VLOOKUP($A25,'Data - Total'!$A$3:$AA$54,26,FALSE)/VLOOKUP($A25,'Data - Total'!$A$3:$AA$54,23,FALSE)</f>
        <v>4.1143618156662586E-2</v>
      </c>
      <c r="J25" s="4"/>
      <c r="K25" s="58">
        <f>VLOOKUP($A25,'Data - Total'!$A$3:$AA$54,24,FALSE)/VLOOKUP($A25,'Data - Total'!$A$3:$AA$54,23,FALSE)</f>
        <v>0.53377870094303104</v>
      </c>
      <c r="L25" s="4"/>
      <c r="M25" s="58">
        <f>VLOOKUP($A25,'Data - Total'!$A$3:$AA$54,25,FALSE)/VLOOKUP($A25,'Data - Total'!$A$3:$AA$54,24,FALSE)</f>
        <v>0.32556421630369659</v>
      </c>
      <c r="N25" s="4"/>
      <c r="O25" s="94">
        <f>VLOOKUP($A25,'Data - Total'!$A$3:$AA$54,26,FALSE)/VLOOKUP($A25,'Data - Total'!$A$3:$AA$54,25,FALSE)</f>
        <v>0.2367579528060258</v>
      </c>
    </row>
    <row r="26" spans="1:15" x14ac:dyDescent="0.25">
      <c r="A26" s="69" t="s">
        <v>62</v>
      </c>
      <c r="B26" s="70" t="s">
        <v>63</v>
      </c>
      <c r="C26" s="78">
        <f>VLOOKUP($A26,'Data - Total'!$A$3:$AA$54,23,FALSE)/VLOOKUP($A26,'Data - Total'!$A$2:$G$54,3,FALSE)</f>
        <v>0.1266425522470396</v>
      </c>
      <c r="D26" s="38">
        <f>VLOOKUP($A26,'Data - Total'!$A$3:$AA$54,27,FALSE)/VLOOKUP($A26,'Data - Total'!$A$3:$AA$54,23,FALSE)</f>
        <v>1594.145049717901</v>
      </c>
      <c r="E26" s="4"/>
      <c r="F26" s="58">
        <f>VLOOKUP($A26,'Data - Total'!$A$3:$AA$54,26,FALSE)/VLOOKUP($A26,'Data - Total'!$A$3:$AA$54,23,FALSE)</f>
        <v>3.3738589569099281E-2</v>
      </c>
      <c r="G26" s="4"/>
      <c r="H26" s="18">
        <f>VLOOKUP($A26,'Data - Total'!$A$3:$AA$54,27,FALSE)/VLOOKUP($A26,'Data - Total'!$A$3:$AA$54,26,FALSE)</f>
        <v>47249.901969166989</v>
      </c>
      <c r="I26" s="58">
        <f>VLOOKUP($A26,'Data - Total'!$A$3:$AA$54,26,FALSE)/VLOOKUP($A26,'Data - Total'!$A$3:$AA$54,23,FALSE)</f>
        <v>3.3738589569099281E-2</v>
      </c>
      <c r="J26" s="4"/>
      <c r="K26" s="58">
        <f>VLOOKUP($A26,'Data - Total'!$A$3:$AA$54,24,FALSE)/VLOOKUP($A26,'Data - Total'!$A$3:$AA$54,23,FALSE)</f>
        <v>0.59405220755753718</v>
      </c>
      <c r="L26" s="4"/>
      <c r="M26" s="58">
        <f>VLOOKUP($A26,'Data - Total'!$A$3:$AA$54,25,FALSE)/VLOOKUP($A26,'Data - Total'!$A$3:$AA$54,24,FALSE)</f>
        <v>0.48341470596419683</v>
      </c>
      <c r="N26" s="4"/>
      <c r="O26" s="94">
        <f>VLOOKUP($A26,'Data - Total'!$A$3:$AA$54,26,FALSE)/VLOOKUP($A26,'Data - Total'!$A$3:$AA$54,25,FALSE)</f>
        <v>0.11748500806672552</v>
      </c>
    </row>
    <row r="27" spans="1:15" x14ac:dyDescent="0.25">
      <c r="A27" s="69" t="s">
        <v>18</v>
      </c>
      <c r="B27" s="70" t="s">
        <v>19</v>
      </c>
      <c r="C27" s="78">
        <f>VLOOKUP($A27,'Data - Total'!$A$3:$AA$54,23,FALSE)/VLOOKUP($A27,'Data - Total'!$A$2:$G$54,3,FALSE)</f>
        <v>0.11463223667303585</v>
      </c>
      <c r="D27" s="38">
        <f>VLOOKUP($A27,'Data - Total'!$A$3:$AA$54,27,FALSE)/VLOOKUP($A27,'Data - Total'!$A$3:$AA$54,23,FALSE)</f>
        <v>1512.1271225287373</v>
      </c>
      <c r="E27" s="4"/>
      <c r="F27" s="58">
        <f>VLOOKUP($A27,'Data - Total'!$A$3:$AA$54,26,FALSE)/VLOOKUP($A27,'Data - Total'!$A$3:$AA$54,23,FALSE)</f>
        <v>5.1714242804382748E-2</v>
      </c>
      <c r="G27" s="4"/>
      <c r="H27" s="18">
        <f>VLOOKUP($A27,'Data - Total'!$A$3:$AA$54,27,FALSE)/VLOOKUP($A27,'Data - Total'!$A$3:$AA$54,26,FALSE)</f>
        <v>29240.051493136929</v>
      </c>
      <c r="I27" s="58">
        <f>VLOOKUP($A27,'Data - Total'!$A$3:$AA$54,26,FALSE)/VLOOKUP($A27,'Data - Total'!$A$3:$AA$54,23,FALSE)</f>
        <v>5.1714242804382748E-2</v>
      </c>
      <c r="J27" s="4"/>
      <c r="K27" s="58">
        <f>VLOOKUP($A27,'Data - Total'!$A$3:$AA$54,24,FALSE)/VLOOKUP($A27,'Data - Total'!$A$3:$AA$54,23,FALSE)</f>
        <v>0.60966909275274594</v>
      </c>
      <c r="L27" s="4"/>
      <c r="M27" s="58">
        <f>VLOOKUP($A27,'Data - Total'!$A$3:$AA$54,25,FALSE)/VLOOKUP($A27,'Data - Total'!$A$3:$AA$54,24,FALSE)</f>
        <v>0.13849765784462584</v>
      </c>
      <c r="N27" s="4"/>
      <c r="O27" s="94">
        <f>VLOOKUP($A27,'Data - Total'!$A$3:$AA$54,26,FALSE)/VLOOKUP($A27,'Data - Total'!$A$3:$AA$54,25,FALSE)</f>
        <v>0.61245412232679253</v>
      </c>
    </row>
    <row r="28" spans="1:15" x14ac:dyDescent="0.25">
      <c r="A28" s="69" t="s">
        <v>60</v>
      </c>
      <c r="B28" s="70" t="s">
        <v>61</v>
      </c>
      <c r="C28" s="78">
        <f>VLOOKUP($A28,'Data - Total'!$A$3:$AA$54,23,FALSE)/VLOOKUP($A28,'Data - Total'!$A$2:$G$54,3,FALSE)</f>
        <v>0.1715584808201317</v>
      </c>
      <c r="D28" s="38">
        <f>VLOOKUP($A28,'Data - Total'!$A$3:$AA$54,27,FALSE)/VLOOKUP($A28,'Data - Total'!$A$3:$AA$54,23,FALSE)</f>
        <v>1522.7881376120145</v>
      </c>
      <c r="E28" s="4"/>
      <c r="F28" s="58">
        <f>VLOOKUP($A28,'Data - Total'!$A$3:$AA$54,26,FALSE)/VLOOKUP($A28,'Data - Total'!$A$3:$AA$54,23,FALSE)</f>
        <v>2.3680272917927844E-2</v>
      </c>
      <c r="G28" s="4"/>
      <c r="H28" s="18">
        <f>VLOOKUP($A28,'Data - Total'!$A$3:$AA$54,27,FALSE)/VLOOKUP($A28,'Data - Total'!$A$3:$AA$54,26,FALSE)</f>
        <v>64306.190342052316</v>
      </c>
      <c r="I28" s="58">
        <f>VLOOKUP($A28,'Data - Total'!$A$3:$AA$54,26,FALSE)/VLOOKUP($A28,'Data - Total'!$A$3:$AA$54,23,FALSE)</f>
        <v>2.3680272917927844E-2</v>
      </c>
      <c r="J28" s="4"/>
      <c r="K28" s="58">
        <f>VLOOKUP($A28,'Data - Total'!$A$3:$AA$54,24,FALSE)/VLOOKUP($A28,'Data - Total'!$A$3:$AA$54,23,FALSE)</f>
        <v>0.51541719135141295</v>
      </c>
      <c r="L28" s="4"/>
      <c r="M28" s="58">
        <f>VLOOKUP($A28,'Data - Total'!$A$3:$AA$54,25,FALSE)/VLOOKUP($A28,'Data - Total'!$A$3:$AA$54,24,FALSE)</f>
        <v>0.62736064007028569</v>
      </c>
      <c r="N28" s="4"/>
      <c r="O28" s="94">
        <f>VLOOKUP($A28,'Data - Total'!$A$3:$AA$54,26,FALSE)/VLOOKUP($A28,'Data - Total'!$A$3:$AA$54,25,FALSE)</f>
        <v>7.3233625580195971E-2</v>
      </c>
    </row>
    <row r="29" spans="1:15" x14ac:dyDescent="0.25">
      <c r="A29" s="69" t="s">
        <v>100</v>
      </c>
      <c r="B29" s="70" t="s">
        <v>101</v>
      </c>
      <c r="C29" s="78">
        <f>VLOOKUP($A29,'Data - Total'!$A$3:$AA$54,23,FALSE)/VLOOKUP($A29,'Data - Total'!$A$2:$G$54,3,FALSE)</f>
        <v>0.12376708365460613</v>
      </c>
      <c r="D29" s="38">
        <f>VLOOKUP($A29,'Data - Total'!$A$3:$AA$54,27,FALSE)/VLOOKUP($A29,'Data - Total'!$A$3:$AA$54,23,FALSE)</f>
        <v>1325.882081691497</v>
      </c>
      <c r="E29" s="4"/>
      <c r="F29" s="58">
        <f>VLOOKUP($A29,'Data - Total'!$A$3:$AA$54,26,FALSE)/VLOOKUP($A29,'Data - Total'!$A$3:$AA$54,23,FALSE)</f>
        <v>5.1679588587952505E-2</v>
      </c>
      <c r="G29" s="4"/>
      <c r="H29" s="18">
        <f>VLOOKUP($A29,'Data - Total'!$A$3:$AA$54,27,FALSE)/VLOOKUP($A29,'Data - Total'!$A$3:$AA$54,26,FALSE)</f>
        <v>25655.817275615569</v>
      </c>
      <c r="I29" s="58">
        <f>VLOOKUP($A29,'Data - Total'!$A$3:$AA$54,26,FALSE)/VLOOKUP($A29,'Data - Total'!$A$3:$AA$54,23,FALSE)</f>
        <v>5.1679588587952505E-2</v>
      </c>
      <c r="J29" s="4"/>
      <c r="K29" s="58">
        <f>VLOOKUP($A29,'Data - Total'!$A$3:$AA$54,24,FALSE)/VLOOKUP($A29,'Data - Total'!$A$3:$AA$54,23,FALSE)</f>
        <v>0.60044492520263293</v>
      </c>
      <c r="L29" s="4"/>
      <c r="M29" s="58">
        <f>VLOOKUP($A29,'Data - Total'!$A$3:$AA$54,25,FALSE)/VLOOKUP($A29,'Data - Total'!$A$3:$AA$54,24,FALSE)</f>
        <v>0.20764189243154155</v>
      </c>
      <c r="N29" s="4"/>
      <c r="O29" s="94">
        <f>VLOOKUP($A29,'Data - Total'!$A$3:$AA$54,26,FALSE)/VLOOKUP($A29,'Data - Total'!$A$3:$AA$54,25,FALSE)</f>
        <v>0.41450606614318403</v>
      </c>
    </row>
    <row r="30" spans="1:15" x14ac:dyDescent="0.25">
      <c r="A30" s="69" t="s">
        <v>76</v>
      </c>
      <c r="B30" s="70" t="s">
        <v>77</v>
      </c>
      <c r="C30" s="78">
        <f>VLOOKUP($A30,'Data - Total'!$A$3:$AA$54,23,FALSE)/VLOOKUP($A30,'Data - Total'!$A$2:$G$54,3,FALSE)</f>
        <v>0.13289419421358922</v>
      </c>
      <c r="D30" s="38">
        <f>VLOOKUP($A30,'Data - Total'!$A$3:$AA$54,27,FALSE)/VLOOKUP($A30,'Data - Total'!$A$3:$AA$54,23,FALSE)</f>
        <v>2596.1805294167148</v>
      </c>
      <c r="E30" s="4"/>
      <c r="F30" s="58">
        <f>VLOOKUP($A30,'Data - Total'!$A$3:$AA$54,26,FALSE)/VLOOKUP($A30,'Data - Total'!$A$3:$AA$54,23,FALSE)</f>
        <v>3.0468107673068706E-2</v>
      </c>
      <c r="G30" s="4"/>
      <c r="H30" s="18">
        <f>VLOOKUP($A30,'Data - Total'!$A$3:$AA$54,27,FALSE)/VLOOKUP($A30,'Data - Total'!$A$3:$AA$54,26,FALSE)</f>
        <v>85209.772699849171</v>
      </c>
      <c r="I30" s="58">
        <f>VLOOKUP($A30,'Data - Total'!$A$3:$AA$54,26,FALSE)/VLOOKUP($A30,'Data - Total'!$A$3:$AA$54,23,FALSE)</f>
        <v>3.0468107673068706E-2</v>
      </c>
      <c r="J30" s="4"/>
      <c r="K30" s="58">
        <f>VLOOKUP($A30,'Data - Total'!$A$3:$AA$54,24,FALSE)/VLOOKUP($A30,'Data - Total'!$A$3:$AA$54,23,FALSE)</f>
        <v>0.54391569262331585</v>
      </c>
      <c r="L30" s="4"/>
      <c r="M30" s="58">
        <f>VLOOKUP($A30,'Data - Total'!$A$3:$AA$54,25,FALSE)/VLOOKUP($A30,'Data - Total'!$A$3:$AA$54,24,FALSE)</f>
        <v>0.37139268807078768</v>
      </c>
      <c r="N30" s="4"/>
      <c r="O30" s="94">
        <f>VLOOKUP($A30,'Data - Total'!$A$3:$AA$54,26,FALSE)/VLOOKUP($A30,'Data - Total'!$A$3:$AA$54,25,FALSE)</f>
        <v>0.15082750383893534</v>
      </c>
    </row>
    <row r="31" spans="1:15" x14ac:dyDescent="0.25">
      <c r="A31" s="69" t="s">
        <v>98</v>
      </c>
      <c r="B31" s="70" t="s">
        <v>99</v>
      </c>
      <c r="C31" s="78">
        <f>VLOOKUP($A31,'Data - Total'!$A$3:$AA$54,23,FALSE)/VLOOKUP($A31,'Data - Total'!$A$2:$G$54,3,FALSE)</f>
        <v>0.14044445014776516</v>
      </c>
      <c r="D31" s="38">
        <f>VLOOKUP($A31,'Data - Total'!$A$3:$AA$54,27,FALSE)/VLOOKUP($A31,'Data - Total'!$A$3:$AA$54,23,FALSE)</f>
        <v>1638.560973104258</v>
      </c>
      <c r="E31" s="4"/>
      <c r="F31" s="58">
        <f>VLOOKUP($A31,'Data - Total'!$A$3:$AA$54,26,FALSE)/VLOOKUP($A31,'Data - Total'!$A$3:$AA$54,23,FALSE)</f>
        <v>7.2748388907373632E-2</v>
      </c>
      <c r="G31" s="4"/>
      <c r="H31" s="18">
        <f>VLOOKUP($A31,'Data - Total'!$A$3:$AA$54,27,FALSE)/VLOOKUP($A31,'Data - Total'!$A$3:$AA$54,26,FALSE)</f>
        <v>22523.673688369152</v>
      </c>
      <c r="I31" s="58">
        <f>VLOOKUP($A31,'Data - Total'!$A$3:$AA$54,26,FALSE)/VLOOKUP($A31,'Data - Total'!$A$3:$AA$54,23,FALSE)</f>
        <v>7.2748388907373632E-2</v>
      </c>
      <c r="J31" s="4"/>
      <c r="K31" s="58">
        <f>VLOOKUP($A31,'Data - Total'!$A$3:$AA$54,24,FALSE)/VLOOKUP($A31,'Data - Total'!$A$3:$AA$54,23,FALSE)</f>
        <v>0.54453220559683568</v>
      </c>
      <c r="L31" s="4"/>
      <c r="M31" s="58">
        <f>VLOOKUP($A31,'Data - Total'!$A$3:$AA$54,25,FALSE)/VLOOKUP($A31,'Data - Total'!$A$3:$AA$54,24,FALSE)</f>
        <v>0.38215179789389231</v>
      </c>
      <c r="N31" s="4"/>
      <c r="O31" s="94">
        <f>VLOOKUP($A31,'Data - Total'!$A$3:$AA$54,26,FALSE)/VLOOKUP($A31,'Data - Total'!$A$3:$AA$54,25,FALSE)</f>
        <v>0.34959394508590685</v>
      </c>
    </row>
    <row r="32" spans="1:15" x14ac:dyDescent="0.25">
      <c r="A32" s="69" t="s">
        <v>66</v>
      </c>
      <c r="B32" s="70" t="s">
        <v>67</v>
      </c>
      <c r="C32" s="78">
        <f>VLOOKUP($A32,'Data - Total'!$A$3:$AA$54,23,FALSE)/VLOOKUP($A32,'Data - Total'!$A$2:$G$54,3,FALSE)</f>
        <v>0.13620898537706069</v>
      </c>
      <c r="D32" s="38">
        <f>VLOOKUP($A32,'Data - Total'!$A$3:$AA$54,27,FALSE)/VLOOKUP($A32,'Data - Total'!$A$3:$AA$54,23,FALSE)</f>
        <v>1686.8936336184661</v>
      </c>
      <c r="E32" s="4"/>
      <c r="F32" s="58">
        <f>VLOOKUP($A32,'Data - Total'!$A$3:$AA$54,26,FALSE)/VLOOKUP($A32,'Data - Total'!$A$3:$AA$54,23,FALSE)</f>
        <v>2.4828238261676471E-2</v>
      </c>
      <c r="G32" s="4"/>
      <c r="H32" s="18">
        <f>VLOOKUP($A32,'Data - Total'!$A$3:$AA$54,27,FALSE)/VLOOKUP($A32,'Data - Total'!$A$3:$AA$54,26,FALSE)</f>
        <v>67942.542513065215</v>
      </c>
      <c r="I32" s="58">
        <f>VLOOKUP($A32,'Data - Total'!$A$3:$AA$54,26,FALSE)/VLOOKUP($A32,'Data - Total'!$A$3:$AA$54,23,FALSE)</f>
        <v>2.4828238261676471E-2</v>
      </c>
      <c r="J32" s="4"/>
      <c r="K32" s="58">
        <f>VLOOKUP($A32,'Data - Total'!$A$3:$AA$54,24,FALSE)/VLOOKUP($A32,'Data - Total'!$A$3:$AA$54,23,FALSE)</f>
        <v>0.58389046133485234</v>
      </c>
      <c r="L32" s="4"/>
      <c r="M32" s="58">
        <f>VLOOKUP($A32,'Data - Total'!$A$3:$AA$54,25,FALSE)/VLOOKUP($A32,'Data - Total'!$A$3:$AA$54,24,FALSE)</f>
        <v>0.61605328122904213</v>
      </c>
      <c r="N32" s="4"/>
      <c r="O32" s="94">
        <f>VLOOKUP($A32,'Data - Total'!$A$3:$AA$54,26,FALSE)/VLOOKUP($A32,'Data - Total'!$A$3:$AA$54,25,FALSE)</f>
        <v>6.9023384200373267E-2</v>
      </c>
    </row>
    <row r="33" spans="1:15" x14ac:dyDescent="0.25">
      <c r="A33" s="69" t="s">
        <v>108</v>
      </c>
      <c r="B33" s="70" t="s">
        <v>109</v>
      </c>
      <c r="C33" s="78">
        <f>VLOOKUP($A33,'Data - Total'!$A$3:$AA$54,23,FALSE)/VLOOKUP($A33,'Data - Total'!$A$2:$G$54,3,FALSE)</f>
        <v>0.11303446463062719</v>
      </c>
      <c r="D33" s="38">
        <f>VLOOKUP($A33,'Data - Total'!$A$3:$AA$54,27,FALSE)/VLOOKUP($A33,'Data - Total'!$A$3:$AA$54,23,FALSE)</f>
        <v>2010.4343109771025</v>
      </c>
      <c r="E33" s="4"/>
      <c r="F33" s="58">
        <f>VLOOKUP($A33,'Data - Total'!$A$3:$AA$54,26,FALSE)/VLOOKUP($A33,'Data - Total'!$A$3:$AA$54,23,FALSE)</f>
        <v>2.4680455375847992E-2</v>
      </c>
      <c r="G33" s="4"/>
      <c r="H33" s="18">
        <f>VLOOKUP($A33,'Data - Total'!$A$3:$AA$54,27,FALSE)/VLOOKUP($A33,'Data - Total'!$A$3:$AA$54,26,FALSE)</f>
        <v>81458.55821382007</v>
      </c>
      <c r="I33" s="58">
        <f>VLOOKUP($A33,'Data - Total'!$A$3:$AA$54,26,FALSE)/VLOOKUP($A33,'Data - Total'!$A$3:$AA$54,23,FALSE)</f>
        <v>2.4680455375847992E-2</v>
      </c>
      <c r="J33" s="4"/>
      <c r="K33" s="58">
        <f>VLOOKUP($A33,'Data - Total'!$A$3:$AA$54,24,FALSE)/VLOOKUP($A33,'Data - Total'!$A$3:$AA$54,23,FALSE)</f>
        <v>0.56187035438375776</v>
      </c>
      <c r="L33" s="4"/>
      <c r="M33" s="58">
        <f>VLOOKUP($A33,'Data - Total'!$A$3:$AA$54,25,FALSE)/VLOOKUP($A33,'Data - Total'!$A$3:$AA$54,24,FALSE)</f>
        <v>7.19302095833559E-2</v>
      </c>
      <c r="N33" s="4"/>
      <c r="O33" s="94">
        <f>VLOOKUP($A33,'Data - Total'!$A$3:$AA$54,26,FALSE)/VLOOKUP($A33,'Data - Total'!$A$3:$AA$54,25,FALSE)</f>
        <v>0.61066878980891715</v>
      </c>
    </row>
    <row r="34" spans="1:15" x14ac:dyDescent="0.25">
      <c r="A34" s="69" t="s">
        <v>82</v>
      </c>
      <c r="B34" s="70" t="s">
        <v>83</v>
      </c>
      <c r="C34" s="78">
        <f>VLOOKUP($A34,'Data - Total'!$A$3:$AA$54,23,FALSE)/VLOOKUP($A34,'Data - Total'!$A$2:$G$54,3,FALSE)</f>
        <v>0.14120158628292917</v>
      </c>
      <c r="D34" s="38">
        <f>VLOOKUP($A34,'Data - Total'!$A$3:$AA$54,27,FALSE)/VLOOKUP($A34,'Data - Total'!$A$3:$AA$54,23,FALSE)</f>
        <v>1824.0934019567173</v>
      </c>
      <c r="E34" s="4"/>
      <c r="F34" s="58">
        <f>VLOOKUP($A34,'Data - Total'!$A$3:$AA$54,26,FALSE)/VLOOKUP($A34,'Data - Total'!$A$3:$AA$54,23,FALSE)</f>
        <v>5.1796955176471704E-2</v>
      </c>
      <c r="G34" s="4"/>
      <c r="H34" s="18">
        <f>VLOOKUP($A34,'Data - Total'!$A$3:$AA$54,27,FALSE)/VLOOKUP($A34,'Data - Total'!$A$3:$AA$54,26,FALSE)</f>
        <v>35216.228362112204</v>
      </c>
      <c r="I34" s="58">
        <f>VLOOKUP($A34,'Data - Total'!$A$3:$AA$54,26,FALSE)/VLOOKUP($A34,'Data - Total'!$A$3:$AA$54,23,FALSE)</f>
        <v>5.1796955176471704E-2</v>
      </c>
      <c r="J34" s="4"/>
      <c r="K34" s="58">
        <f>VLOOKUP($A34,'Data - Total'!$A$3:$AA$54,24,FALSE)/VLOOKUP($A34,'Data - Total'!$A$3:$AA$54,23,FALSE)</f>
        <v>0.62219519999208683</v>
      </c>
      <c r="L34" s="4"/>
      <c r="M34" s="58">
        <f>VLOOKUP($A34,'Data - Total'!$A$3:$AA$54,25,FALSE)/VLOOKUP($A34,'Data - Total'!$A$3:$AA$54,24,FALSE)</f>
        <v>6.3601140768233005E-2</v>
      </c>
      <c r="N34" s="4"/>
      <c r="O34" s="95">
        <f>VLOOKUP($A34,'Data - Total'!$A$3:$AA$54,26,FALSE)/VLOOKUP($A34,'Data - Total'!$A$3:$AA$54,25,FALSE)</f>
        <v>1.3089186907999626</v>
      </c>
    </row>
    <row r="35" spans="1:15" x14ac:dyDescent="0.25">
      <c r="A35" s="69" t="s">
        <v>30</v>
      </c>
      <c r="B35" s="70" t="s">
        <v>31</v>
      </c>
      <c r="C35" s="78">
        <f>VLOOKUP($A35,'Data - Total'!$A$3:$AA$54,23,FALSE)/VLOOKUP($A35,'Data - Total'!$A$2:$G$54,3,FALSE)</f>
        <v>0.1484946695035794</v>
      </c>
      <c r="D35" s="38">
        <f>VLOOKUP($A35,'Data - Total'!$A$3:$AA$54,27,FALSE)/VLOOKUP($A35,'Data - Total'!$A$3:$AA$54,23,FALSE)</f>
        <v>2202.3886674946361</v>
      </c>
      <c r="E35" s="4"/>
      <c r="F35" s="58">
        <f>VLOOKUP($A35,'Data - Total'!$A$3:$AA$54,26,FALSE)/VLOOKUP($A35,'Data - Total'!$A$3:$AA$54,23,FALSE)</f>
        <v>9.8050032080914284E-2</v>
      </c>
      <c r="G35" s="4"/>
      <c r="H35" s="18">
        <f>VLOOKUP($A35,'Data - Total'!$A$3:$AA$54,27,FALSE)/VLOOKUP($A35,'Data - Total'!$A$3:$AA$54,26,FALSE)</f>
        <v>22461.886250859654</v>
      </c>
      <c r="I35" s="58">
        <f>VLOOKUP($A35,'Data - Total'!$A$3:$AA$54,26,FALSE)/VLOOKUP($A35,'Data - Total'!$A$3:$AA$54,23,FALSE)</f>
        <v>9.8050032080914284E-2</v>
      </c>
      <c r="J35" s="4"/>
      <c r="K35" s="58">
        <f>VLOOKUP($A35,'Data - Total'!$A$3:$AA$54,24,FALSE)/VLOOKUP($A35,'Data - Total'!$A$3:$AA$54,23,FALSE)</f>
        <v>0.61059071696486089</v>
      </c>
      <c r="L35" s="4"/>
      <c r="M35" s="58">
        <f>VLOOKUP($A35,'Data - Total'!$A$3:$AA$54,25,FALSE)/VLOOKUP($A35,'Data - Total'!$A$3:$AA$54,24,FALSE)</f>
        <v>0.34211333824174972</v>
      </c>
      <c r="N35" s="4"/>
      <c r="O35" s="94">
        <f>VLOOKUP($A35,'Data - Total'!$A$3:$AA$54,26,FALSE)/VLOOKUP($A35,'Data - Total'!$A$3:$AA$54,25,FALSE)</f>
        <v>0.46938319427890346</v>
      </c>
    </row>
    <row r="36" spans="1:15" x14ac:dyDescent="0.25">
      <c r="A36" s="69" t="s">
        <v>78</v>
      </c>
      <c r="B36" s="70" t="s">
        <v>79</v>
      </c>
      <c r="C36" s="78">
        <f>VLOOKUP($A36,'Data - Total'!$A$3:$AA$54,23,FALSE)/VLOOKUP($A36,'Data - Total'!$A$2:$G$54,3,FALSE)</f>
        <v>0.13952495154545103</v>
      </c>
      <c r="D36" s="38">
        <f>VLOOKUP($A36,'Data - Total'!$A$3:$AA$54,27,FALSE)/VLOOKUP($A36,'Data - Total'!$A$3:$AA$54,23,FALSE)</f>
        <v>2256.8556894257686</v>
      </c>
      <c r="E36" s="4"/>
      <c r="F36" s="58">
        <f>VLOOKUP($A36,'Data - Total'!$A$3:$AA$54,26,FALSE)/VLOOKUP($A36,'Data - Total'!$A$3:$AA$54,23,FALSE)</f>
        <v>3.8416962354753829E-2</v>
      </c>
      <c r="G36" s="4"/>
      <c r="H36" s="18">
        <f>VLOOKUP($A36,'Data - Total'!$A$3:$AA$54,27,FALSE)/VLOOKUP($A36,'Data - Total'!$A$3:$AA$54,26,FALSE)</f>
        <v>58746.333678995274</v>
      </c>
      <c r="I36" s="58">
        <f>VLOOKUP($A36,'Data - Total'!$A$3:$AA$54,26,FALSE)/VLOOKUP($A36,'Data - Total'!$A$3:$AA$54,23,FALSE)</f>
        <v>3.8416962354753829E-2</v>
      </c>
      <c r="J36" s="4"/>
      <c r="K36" s="58">
        <f>VLOOKUP($A36,'Data - Total'!$A$3:$AA$54,24,FALSE)/VLOOKUP($A36,'Data - Total'!$A$3:$AA$54,23,FALSE)</f>
        <v>0.52313089325619944</v>
      </c>
      <c r="L36" s="4"/>
      <c r="M36" s="58">
        <f>VLOOKUP($A36,'Data - Total'!$A$3:$AA$54,25,FALSE)/VLOOKUP($A36,'Data - Total'!$A$3:$AA$54,24,FALSE)</f>
        <v>2.2915927771956029E-2</v>
      </c>
      <c r="N36" s="4"/>
      <c r="O36" s="94">
        <f>VLOOKUP($A36,'Data - Total'!$A$3:$AA$54,26,FALSE)/VLOOKUP($A36,'Data - Total'!$A$3:$AA$54,25,FALSE)</f>
        <v>3.2046101909484124</v>
      </c>
    </row>
    <row r="37" spans="1:15" x14ac:dyDescent="0.25">
      <c r="A37" s="69" t="s">
        <v>6</v>
      </c>
      <c r="B37" s="70" t="s">
        <v>7</v>
      </c>
      <c r="C37" s="78">
        <f>VLOOKUP($A37,'Data - Total'!$A$3:$AA$54,23,FALSE)/VLOOKUP($A37,'Data - Total'!$A$2:$G$54,3,FALSE)</f>
        <v>0.13120936913639564</v>
      </c>
      <c r="D37" s="38">
        <f>VLOOKUP($A37,'Data - Total'!$A$3:$AA$54,27,FALSE)/VLOOKUP($A37,'Data - Total'!$A$3:$AA$54,23,FALSE)</f>
        <v>2115.7455885369463</v>
      </c>
      <c r="E37" s="4"/>
      <c r="F37" s="58">
        <f>VLOOKUP($A37,'Data - Total'!$A$3:$AA$54,26,FALSE)/VLOOKUP($A37,'Data - Total'!$A$3:$AA$54,23,FALSE)</f>
        <v>8.0256070135663299E-2</v>
      </c>
      <c r="G37" s="4"/>
      <c r="H37" s="18">
        <f>VLOOKUP($A37,'Data - Total'!$A$3:$AA$54,27,FALSE)/VLOOKUP($A37,'Data - Total'!$A$3:$AA$54,26,FALSE)</f>
        <v>26362.436946645048</v>
      </c>
      <c r="I37" s="58">
        <f>VLOOKUP($A37,'Data - Total'!$A$3:$AA$54,26,FALSE)/VLOOKUP($A37,'Data - Total'!$A$3:$AA$54,23,FALSE)</f>
        <v>8.0256070135663299E-2</v>
      </c>
      <c r="J37" s="4"/>
      <c r="K37" s="58">
        <f>VLOOKUP($A37,'Data - Total'!$A$3:$AA$54,24,FALSE)/VLOOKUP($A37,'Data - Total'!$A$3:$AA$54,23,FALSE)</f>
        <v>0.54942198033688883</v>
      </c>
      <c r="L37" s="4"/>
      <c r="M37" s="58">
        <f>VLOOKUP($A37,'Data - Total'!$A$3:$AA$54,25,FALSE)/VLOOKUP($A37,'Data - Total'!$A$3:$AA$54,24,FALSE)</f>
        <v>0.31696051800876468</v>
      </c>
      <c r="N37" s="4"/>
      <c r="O37" s="94">
        <f>VLOOKUP($A37,'Data - Total'!$A$3:$AA$54,26,FALSE)/VLOOKUP($A37,'Data - Total'!$A$3:$AA$54,25,FALSE)</f>
        <v>0.46085753449225608</v>
      </c>
    </row>
    <row r="38" spans="1:15" x14ac:dyDescent="0.25">
      <c r="A38" s="69" t="s">
        <v>106</v>
      </c>
      <c r="B38" s="70" t="s">
        <v>107</v>
      </c>
      <c r="C38" s="78">
        <f>VLOOKUP($A38,'Data - Total'!$A$3:$AA$54,23,FALSE)/VLOOKUP($A38,'Data - Total'!$A$2:$G$54,3,FALSE)</f>
        <v>0.14571677294117824</v>
      </c>
      <c r="D38" s="38">
        <f>VLOOKUP($A38,'Data - Total'!$A$3:$AA$54,27,FALSE)/VLOOKUP($A38,'Data - Total'!$A$3:$AA$54,23,FALSE)</f>
        <v>2677.7351192433393</v>
      </c>
      <c r="E38" s="4"/>
      <c r="F38" s="58">
        <f>VLOOKUP($A38,'Data - Total'!$A$3:$AA$54,26,FALSE)/VLOOKUP($A38,'Data - Total'!$A$3:$AA$54,23,FALSE)</f>
        <v>0.11312901332277821</v>
      </c>
      <c r="G38" s="4"/>
      <c r="H38" s="18">
        <f>VLOOKUP($A38,'Data - Total'!$A$3:$AA$54,27,FALSE)/VLOOKUP($A38,'Data - Total'!$A$3:$AA$54,26,FALSE)</f>
        <v>23669.746960518969</v>
      </c>
      <c r="I38" s="58">
        <f>VLOOKUP($A38,'Data - Total'!$A$3:$AA$54,26,FALSE)/VLOOKUP($A38,'Data - Total'!$A$3:$AA$54,23,FALSE)</f>
        <v>0.11312901332277821</v>
      </c>
      <c r="J38" s="4"/>
      <c r="K38" s="58">
        <f>VLOOKUP($A38,'Data - Total'!$A$3:$AA$54,24,FALSE)/VLOOKUP($A38,'Data - Total'!$A$3:$AA$54,23,FALSE)</f>
        <v>0.59991875545542916</v>
      </c>
      <c r="L38" s="4"/>
      <c r="M38" s="58">
        <f>VLOOKUP($A38,'Data - Total'!$A$3:$AA$54,25,FALSE)/VLOOKUP($A38,'Data - Total'!$A$3:$AA$54,24,FALSE)</f>
        <v>0.27206585657673249</v>
      </c>
      <c r="N38" s="4"/>
      <c r="O38" s="94">
        <f>VLOOKUP($A38,'Data - Total'!$A$3:$AA$54,26,FALSE)/VLOOKUP($A38,'Data - Total'!$A$3:$AA$54,25,FALSE)</f>
        <v>0.69311854211952473</v>
      </c>
    </row>
    <row r="39" spans="1:15" x14ac:dyDescent="0.25">
      <c r="A39" s="69" t="s">
        <v>52</v>
      </c>
      <c r="B39" s="70" t="s">
        <v>53</v>
      </c>
      <c r="C39" s="78">
        <f>VLOOKUP($A39,'Data - Total'!$A$3:$AA$54,23,FALSE)/VLOOKUP($A39,'Data - Total'!$A$2:$G$54,3,FALSE)</f>
        <v>0.13986521294061174</v>
      </c>
      <c r="D39" s="38">
        <f>VLOOKUP($A39,'Data - Total'!$A$3:$AA$54,27,FALSE)/VLOOKUP($A39,'Data - Total'!$A$3:$AA$54,23,FALSE)</f>
        <v>1671.9260500205085</v>
      </c>
      <c r="E39" s="4"/>
      <c r="F39" s="58">
        <f>VLOOKUP($A39,'Data - Total'!$A$3:$AA$54,26,FALSE)/VLOOKUP($A39,'Data - Total'!$A$3:$AA$54,23,FALSE)</f>
        <v>5.6151079776896769E-2</v>
      </c>
      <c r="G39" s="4"/>
      <c r="H39" s="18">
        <f>VLOOKUP($A39,'Data - Total'!$A$3:$AA$54,27,FALSE)/VLOOKUP($A39,'Data - Total'!$A$3:$AA$54,26,FALSE)</f>
        <v>29775.492415524637</v>
      </c>
      <c r="I39" s="58">
        <f>VLOOKUP($A39,'Data - Total'!$A$3:$AA$54,26,FALSE)/VLOOKUP($A39,'Data - Total'!$A$3:$AA$54,23,FALSE)</f>
        <v>5.6151079776896769E-2</v>
      </c>
      <c r="J39" s="4"/>
      <c r="K39" s="58">
        <f>VLOOKUP($A39,'Data - Total'!$A$3:$AA$54,24,FALSE)/VLOOKUP($A39,'Data - Total'!$A$3:$AA$54,23,FALSE)</f>
        <v>0.55624609777958067</v>
      </c>
      <c r="L39" s="4"/>
      <c r="M39" s="58">
        <f>VLOOKUP($A39,'Data - Total'!$A$3:$AA$54,25,FALSE)/VLOOKUP($A39,'Data - Total'!$A$3:$AA$54,24,FALSE)</f>
        <v>0.25388818560673243</v>
      </c>
      <c r="N39" s="4"/>
      <c r="O39" s="94">
        <f>VLOOKUP($A39,'Data - Total'!$A$3:$AA$54,26,FALSE)/VLOOKUP($A39,'Data - Total'!$A$3:$AA$54,25,FALSE)</f>
        <v>0.3976020755668554</v>
      </c>
    </row>
    <row r="40" spans="1:15" x14ac:dyDescent="0.25">
      <c r="A40" s="69" t="s">
        <v>84</v>
      </c>
      <c r="B40" s="70" t="s">
        <v>85</v>
      </c>
      <c r="C40" s="78">
        <f>VLOOKUP($A40,'Data - Total'!$A$3:$AA$54,23,FALSE)/VLOOKUP($A40,'Data - Total'!$A$2:$G$54,3,FALSE)</f>
        <v>0.15942379725566228</v>
      </c>
      <c r="D40" s="38">
        <f>VLOOKUP($A40,'Data - Total'!$A$3:$AA$54,27,FALSE)/VLOOKUP($A40,'Data - Total'!$A$3:$AA$54,23,FALSE)</f>
        <v>2191.7848831604792</v>
      </c>
      <c r="E40" s="4"/>
      <c r="F40" s="58">
        <f>VLOOKUP($A40,'Data - Total'!$A$3:$AA$54,26,FALSE)/VLOOKUP($A40,'Data - Total'!$A$3:$AA$54,23,FALSE)</f>
        <v>5.8513636594161464E-2</v>
      </c>
      <c r="G40" s="4"/>
      <c r="H40" s="18">
        <f>VLOOKUP($A40,'Data - Total'!$A$3:$AA$54,27,FALSE)/VLOOKUP($A40,'Data - Total'!$A$3:$AA$54,26,FALSE)</f>
        <v>37457.676718373325</v>
      </c>
      <c r="I40" s="58">
        <f>VLOOKUP($A40,'Data - Total'!$A$3:$AA$54,26,FALSE)/VLOOKUP($A40,'Data - Total'!$A$3:$AA$54,23,FALSE)</f>
        <v>5.8513636594161464E-2</v>
      </c>
      <c r="J40" s="4"/>
      <c r="K40" s="58">
        <f>VLOOKUP($A40,'Data - Total'!$A$3:$AA$54,24,FALSE)/VLOOKUP($A40,'Data - Total'!$A$3:$AA$54,23,FALSE)</f>
        <v>0.52790799162086988</v>
      </c>
      <c r="L40" s="4"/>
      <c r="M40" s="58">
        <f>VLOOKUP($A40,'Data - Total'!$A$3:$AA$54,25,FALSE)/VLOOKUP($A40,'Data - Total'!$A$3:$AA$54,24,FALSE)</f>
        <v>0.30838844505161001</v>
      </c>
      <c r="N40" s="4"/>
      <c r="O40" s="94">
        <f>VLOOKUP($A40,'Data - Total'!$A$3:$AA$54,26,FALSE)/VLOOKUP($A40,'Data - Total'!$A$3:$AA$54,25,FALSE)</f>
        <v>0.35941877233106462</v>
      </c>
    </row>
    <row r="41" spans="1:15" x14ac:dyDescent="0.25">
      <c r="A41" s="69" t="s">
        <v>34</v>
      </c>
      <c r="B41" s="70" t="s">
        <v>35</v>
      </c>
      <c r="C41" s="78">
        <f>VLOOKUP($A41,'Data - Total'!$A$3:$AA$54,23,FALSE)/VLOOKUP($A41,'Data - Total'!$A$2:$G$54,3,FALSE)</f>
        <v>0.12690211750736005</v>
      </c>
      <c r="D41" s="38">
        <f>VLOOKUP($A41,'Data - Total'!$A$3:$AA$54,27,FALSE)/VLOOKUP($A41,'Data - Total'!$A$3:$AA$54,23,FALSE)</f>
        <v>1375.7676206328624</v>
      </c>
      <c r="E41" s="4"/>
      <c r="F41" s="58">
        <f>VLOOKUP($A41,'Data - Total'!$A$3:$AA$54,26,FALSE)/VLOOKUP($A41,'Data - Total'!$A$3:$AA$54,23,FALSE)</f>
        <v>7.656338478791315E-2</v>
      </c>
      <c r="G41" s="4"/>
      <c r="H41" s="18">
        <f>VLOOKUP($A41,'Data - Total'!$A$3:$AA$54,27,FALSE)/VLOOKUP($A41,'Data - Total'!$A$3:$AA$54,26,FALSE)</f>
        <v>17969.002081658899</v>
      </c>
      <c r="I41" s="58">
        <f>VLOOKUP($A41,'Data - Total'!$A$3:$AA$54,26,FALSE)/VLOOKUP($A41,'Data - Total'!$A$3:$AA$54,23,FALSE)</f>
        <v>7.656338478791315E-2</v>
      </c>
      <c r="J41" s="4"/>
      <c r="K41" s="58">
        <f>VLOOKUP($A41,'Data - Total'!$A$3:$AA$54,24,FALSE)/VLOOKUP($A41,'Data - Total'!$A$3:$AA$54,23,FALSE)</f>
        <v>0.5516665469443619</v>
      </c>
      <c r="L41" s="4"/>
      <c r="M41" s="58">
        <f>VLOOKUP($A41,'Data - Total'!$A$3:$AA$54,25,FALSE)/VLOOKUP($A41,'Data - Total'!$A$3:$AA$54,24,FALSE)</f>
        <v>0.25265408235815157</v>
      </c>
      <c r="N41" s="4"/>
      <c r="O41" s="94">
        <f>VLOOKUP($A41,'Data - Total'!$A$3:$AA$54,26,FALSE)/VLOOKUP($A41,'Data - Total'!$A$3:$AA$54,25,FALSE)</f>
        <v>0.54931082286249133</v>
      </c>
    </row>
    <row r="42" spans="1:15" x14ac:dyDescent="0.25">
      <c r="A42" s="69" t="s">
        <v>22</v>
      </c>
      <c r="B42" s="70" t="s">
        <v>23</v>
      </c>
      <c r="C42" s="78">
        <f>VLOOKUP($A42,'Data - Total'!$A$3:$AA$54,23,FALSE)/VLOOKUP($A42,'Data - Total'!$A$2:$G$54,3,FALSE)</f>
        <v>0.14472509106549891</v>
      </c>
      <c r="D42" s="38">
        <f>VLOOKUP($A42,'Data - Total'!$A$3:$AA$54,27,FALSE)/VLOOKUP($A42,'Data - Total'!$A$3:$AA$54,23,FALSE)</f>
        <v>1576.4198199442569</v>
      </c>
      <c r="E42" s="4"/>
      <c r="F42" s="58">
        <f>VLOOKUP($A42,'Data - Total'!$A$3:$AA$54,26,FALSE)/VLOOKUP($A42,'Data - Total'!$A$3:$AA$54,23,FALSE)</f>
        <v>2.6903334346986819E-2</v>
      </c>
      <c r="G42" s="4"/>
      <c r="H42" s="18">
        <f>VLOOKUP($A42,'Data - Total'!$A$3:$AA$54,27,FALSE)/VLOOKUP($A42,'Data - Total'!$A$3:$AA$54,26,FALSE)</f>
        <v>58595.704146271237</v>
      </c>
      <c r="I42" s="58">
        <f>VLOOKUP($A42,'Data - Total'!$A$3:$AA$54,26,FALSE)/VLOOKUP($A42,'Data - Total'!$A$3:$AA$54,23,FALSE)</f>
        <v>2.6903334346986819E-2</v>
      </c>
      <c r="J42" s="4"/>
      <c r="K42" s="58">
        <f>VLOOKUP($A42,'Data - Total'!$A$3:$AA$54,24,FALSE)/VLOOKUP($A42,'Data - Total'!$A$3:$AA$54,23,FALSE)</f>
        <v>0.61169378710656519</v>
      </c>
      <c r="L42" s="4"/>
      <c r="M42" s="58">
        <f>VLOOKUP($A42,'Data - Total'!$A$3:$AA$54,25,FALSE)/VLOOKUP($A42,'Data - Total'!$A$3:$AA$54,24,FALSE)</f>
        <v>3.2850140240173444E-2</v>
      </c>
      <c r="N42" s="4"/>
      <c r="O42" s="95">
        <f>VLOOKUP($A42,'Data - Total'!$A$3:$AA$54,26,FALSE)/VLOOKUP($A42,'Data - Total'!$A$3:$AA$54,25,FALSE)</f>
        <v>1.3388589051657671</v>
      </c>
    </row>
    <row r="43" spans="1:15" x14ac:dyDescent="0.25">
      <c r="A43" s="69" t="s">
        <v>10</v>
      </c>
      <c r="B43" s="70" t="s">
        <v>11</v>
      </c>
      <c r="C43" s="78">
        <f>VLOOKUP($A43,'Data - Total'!$A$3:$AA$54,23,FALSE)/VLOOKUP($A43,'Data - Total'!$A$2:$G$54,3,FALSE)</f>
        <v>8.1711206188210567E-2</v>
      </c>
      <c r="D43" s="38">
        <f>VLOOKUP($A43,'Data - Total'!$A$3:$AA$54,27,FALSE)/VLOOKUP($A43,'Data - Total'!$A$3:$AA$54,23,FALSE)</f>
        <v>3837.5899008201072</v>
      </c>
      <c r="E43" s="4"/>
      <c r="F43" s="58">
        <f>VLOOKUP($A43,'Data - Total'!$A$3:$AA$54,26,FALSE)/VLOOKUP($A43,'Data - Total'!$A$3:$AA$54,23,FALSE)</f>
        <v>0.12191116467900821</v>
      </c>
      <c r="G43" s="4"/>
      <c r="H43" s="18">
        <f>VLOOKUP($A43,'Data - Total'!$A$3:$AA$54,27,FALSE)/VLOOKUP($A43,'Data - Total'!$A$3:$AA$54,26,FALSE)</f>
        <v>31478.576313535123</v>
      </c>
      <c r="I43" s="58">
        <f>VLOOKUP($A43,'Data - Total'!$A$3:$AA$54,26,FALSE)/VLOOKUP($A43,'Data - Total'!$A$3:$AA$54,23,FALSE)</f>
        <v>0.12191116467900821</v>
      </c>
      <c r="J43" s="4"/>
      <c r="K43" s="58">
        <f>VLOOKUP($A43,'Data - Total'!$A$3:$AA$54,24,FALSE)/VLOOKUP($A43,'Data - Total'!$A$3:$AA$54,23,FALSE)</f>
        <v>0.55105430424344248</v>
      </c>
      <c r="L43" s="4"/>
      <c r="M43" s="58">
        <f>VLOOKUP($A43,'Data - Total'!$A$3:$AA$54,25,FALSE)/VLOOKUP($A43,'Data - Total'!$A$3:$AA$54,24,FALSE)</f>
        <v>0.32774260930933802</v>
      </c>
      <c r="N43" s="4"/>
      <c r="O43" s="94">
        <f>VLOOKUP($A43,'Data - Total'!$A$3:$AA$54,26,FALSE)/VLOOKUP($A43,'Data - Total'!$A$3:$AA$54,25,FALSE)</f>
        <v>0.67501927525057825</v>
      </c>
    </row>
    <row r="44" spans="1:15" x14ac:dyDescent="0.25">
      <c r="A44" s="69" t="s">
        <v>50</v>
      </c>
      <c r="B44" s="70" t="s">
        <v>51</v>
      </c>
      <c r="C44" s="78">
        <f>VLOOKUP($A44,'Data - Total'!$A$3:$AA$54,23,FALSE)/VLOOKUP($A44,'Data - Total'!$A$2:$G$54,3,FALSE)</f>
        <v>0.14320032605031419</v>
      </c>
      <c r="D44" s="38">
        <f>VLOOKUP($A44,'Data - Total'!$A$3:$AA$54,27,FALSE)/VLOOKUP($A44,'Data - Total'!$A$3:$AA$54,23,FALSE)</f>
        <v>3479.7174319190826</v>
      </c>
      <c r="E44" s="4"/>
      <c r="F44" s="58">
        <f>VLOOKUP($A44,'Data - Total'!$A$3:$AA$54,26,FALSE)/VLOOKUP($A44,'Data - Total'!$A$3:$AA$54,23,FALSE)</f>
        <v>9.5614849179699132E-2</v>
      </c>
      <c r="G44" s="4"/>
      <c r="H44" s="18">
        <f>VLOOKUP($A44,'Data - Total'!$A$3:$AA$54,27,FALSE)/VLOOKUP($A44,'Data - Total'!$A$3:$AA$54,26,FALSE)</f>
        <v>36393.065112504446</v>
      </c>
      <c r="I44" s="58">
        <f>VLOOKUP($A44,'Data - Total'!$A$3:$AA$54,26,FALSE)/VLOOKUP($A44,'Data - Total'!$A$3:$AA$54,23,FALSE)</f>
        <v>9.5614849179699132E-2</v>
      </c>
      <c r="J44" s="4"/>
      <c r="K44" s="58">
        <f>VLOOKUP($A44,'Data - Total'!$A$3:$AA$54,24,FALSE)/VLOOKUP($A44,'Data - Total'!$A$3:$AA$54,23,FALSE)</f>
        <v>0.62032708529564773</v>
      </c>
      <c r="L44" s="4"/>
      <c r="M44" s="58">
        <f>VLOOKUP($A44,'Data - Total'!$A$3:$AA$54,25,FALSE)/VLOOKUP($A44,'Data - Total'!$A$3:$AA$54,24,FALSE)</f>
        <v>0.75614839833487291</v>
      </c>
      <c r="N44" s="4"/>
      <c r="O44" s="94">
        <f>VLOOKUP($A44,'Data - Total'!$A$3:$AA$54,26,FALSE)/VLOOKUP($A44,'Data - Total'!$A$3:$AA$54,25,FALSE)</f>
        <v>0.20384382669467616</v>
      </c>
    </row>
    <row r="45" spans="1:15" x14ac:dyDescent="0.25">
      <c r="A45" s="69" t="s">
        <v>102</v>
      </c>
      <c r="B45" s="70" t="s">
        <v>103</v>
      </c>
      <c r="C45" s="78">
        <f>VLOOKUP($A45,'Data - Total'!$A$3:$AA$54,23,FALSE)/VLOOKUP($A45,'Data - Total'!$A$2:$G$54,3,FALSE)</f>
        <v>0.12884010050226563</v>
      </c>
      <c r="D45" s="38">
        <f>VLOOKUP($A45,'Data - Total'!$A$3:$AA$54,27,FALSE)/VLOOKUP($A45,'Data - Total'!$A$3:$AA$54,23,FALSE)</f>
        <v>1395.4485497497953</v>
      </c>
      <c r="E45" s="4"/>
      <c r="F45" s="58">
        <f>VLOOKUP($A45,'Data - Total'!$A$3:$AA$54,26,FALSE)/VLOOKUP($A45,'Data - Total'!$A$3:$AA$54,23,FALSE)</f>
        <v>6.2011523810927401E-2</v>
      </c>
      <c r="G45" s="4"/>
      <c r="H45" s="18">
        <f>VLOOKUP($A45,'Data - Total'!$A$3:$AA$54,27,FALSE)/VLOOKUP($A45,'Data - Total'!$A$3:$AA$54,26,FALSE)</f>
        <v>22503.052077941284</v>
      </c>
      <c r="I45" s="58">
        <f>VLOOKUP($A45,'Data - Total'!$A$3:$AA$54,26,FALSE)/VLOOKUP($A45,'Data - Total'!$A$3:$AA$54,23,FALSE)</f>
        <v>6.2011523810927401E-2</v>
      </c>
      <c r="J45" s="4"/>
      <c r="K45" s="58">
        <f>VLOOKUP($A45,'Data - Total'!$A$3:$AA$54,24,FALSE)/VLOOKUP($A45,'Data - Total'!$A$3:$AA$54,23,FALSE)</f>
        <v>0.62580881401237776</v>
      </c>
      <c r="L45" s="4"/>
      <c r="M45" s="58">
        <f>VLOOKUP($A45,'Data - Total'!$A$3:$AA$54,25,FALSE)/VLOOKUP($A45,'Data - Total'!$A$3:$AA$54,24,FALSE)</f>
        <v>0.30721407558860958</v>
      </c>
      <c r="N45" s="4"/>
      <c r="O45" s="94">
        <f>VLOOKUP($A45,'Data - Total'!$A$3:$AA$54,26,FALSE)/VLOOKUP($A45,'Data - Total'!$A$3:$AA$54,25,FALSE)</f>
        <v>0.32254448313695561</v>
      </c>
    </row>
    <row r="46" spans="1:15" x14ac:dyDescent="0.25">
      <c r="A46" s="69" t="s">
        <v>64</v>
      </c>
      <c r="B46" s="70" t="s">
        <v>65</v>
      </c>
      <c r="C46" s="78">
        <f>VLOOKUP($A46,'Data - Total'!$A$3:$AA$54,23,FALSE)/VLOOKUP($A46,'Data - Total'!$A$2:$G$54,3,FALSE)</f>
        <v>0.12366571008075725</v>
      </c>
      <c r="D46" s="38">
        <f>VLOOKUP($A46,'Data - Total'!$A$3:$AA$54,27,FALSE)/VLOOKUP($A46,'Data - Total'!$A$3:$AA$54,23,FALSE)</f>
        <v>670.38994227159606</v>
      </c>
      <c r="E46" s="4"/>
      <c r="F46" s="58">
        <f>VLOOKUP($A46,'Data - Total'!$A$3:$AA$54,26,FALSE)/VLOOKUP($A46,'Data - Total'!$A$3:$AA$54,23,FALSE)</f>
        <v>3.3018402856917255E-2</v>
      </c>
      <c r="G46" s="4"/>
      <c r="H46" s="18">
        <f>VLOOKUP($A46,'Data - Total'!$A$3:$AA$54,27,FALSE)/VLOOKUP($A46,'Data - Total'!$A$3:$AA$54,26,FALSE)</f>
        <v>20303.524224859695</v>
      </c>
      <c r="I46" s="58">
        <f>VLOOKUP($A46,'Data - Total'!$A$3:$AA$54,26,FALSE)/VLOOKUP($A46,'Data - Total'!$A$3:$AA$54,23,FALSE)</f>
        <v>3.3018402856917255E-2</v>
      </c>
      <c r="J46" s="4"/>
      <c r="K46" s="58">
        <f>VLOOKUP($A46,'Data - Total'!$A$3:$AA$54,24,FALSE)/VLOOKUP($A46,'Data - Total'!$A$3:$AA$54,23,FALSE)</f>
        <v>0.59142345010130204</v>
      </c>
      <c r="L46" s="4"/>
      <c r="M46" s="58">
        <f>VLOOKUP($A46,'Data - Total'!$A$3:$AA$54,25,FALSE)/VLOOKUP($A46,'Data - Total'!$A$3:$AA$54,24,FALSE)</f>
        <v>0.12683578153327663</v>
      </c>
      <c r="N46" s="4"/>
      <c r="O46" s="94">
        <f>VLOOKUP($A46,'Data - Total'!$A$3:$AA$54,26,FALSE)/VLOOKUP($A46,'Data - Total'!$A$3:$AA$54,25,FALSE)</f>
        <v>0.44016522901227068</v>
      </c>
    </row>
    <row r="47" spans="1:15" x14ac:dyDescent="0.25">
      <c r="A47" s="69" t="s">
        <v>16</v>
      </c>
      <c r="B47" s="70" t="s">
        <v>17</v>
      </c>
      <c r="C47" s="78">
        <f>VLOOKUP($A47,'Data - Total'!$A$3:$AA$54,23,FALSE)/VLOOKUP($A47,'Data - Total'!$A$2:$G$54,3,FALSE)</f>
        <v>0.11570117087930901</v>
      </c>
      <c r="D47" s="38">
        <f>VLOOKUP($A47,'Data - Total'!$A$3:$AA$54,27,FALSE)/VLOOKUP($A47,'Data - Total'!$A$3:$AA$54,23,FALSE)</f>
        <v>2816.8629023912476</v>
      </c>
      <c r="E47" s="4"/>
      <c r="F47" s="58">
        <f>VLOOKUP($A47,'Data - Total'!$A$3:$AA$54,26,FALSE)/VLOOKUP($A47,'Data - Total'!$A$3:$AA$54,23,FALSE)</f>
        <v>0.18466198399366535</v>
      </c>
      <c r="G47" s="4"/>
      <c r="H47" s="18">
        <f>VLOOKUP($A47,'Data - Total'!$A$3:$AA$54,27,FALSE)/VLOOKUP($A47,'Data - Total'!$A$3:$AA$54,26,FALSE)</f>
        <v>15254.157035851393</v>
      </c>
      <c r="I47" s="58">
        <f>VLOOKUP($A47,'Data - Total'!$A$3:$AA$54,26,FALSE)/VLOOKUP($A47,'Data - Total'!$A$3:$AA$54,23,FALSE)</f>
        <v>0.18466198399366535</v>
      </c>
      <c r="J47" s="4"/>
      <c r="K47" s="58">
        <f>VLOOKUP($A47,'Data - Total'!$A$3:$AA$54,24,FALSE)/VLOOKUP($A47,'Data - Total'!$A$3:$AA$54,23,FALSE)</f>
        <v>0.57085316796974128</v>
      </c>
      <c r="L47" s="4"/>
      <c r="M47" s="58">
        <f>VLOOKUP($A47,'Data - Total'!$A$3:$AA$54,25,FALSE)/VLOOKUP($A47,'Data - Total'!$A$3:$AA$54,24,FALSE)</f>
        <v>0.42614935358352063</v>
      </c>
      <c r="N47" s="4"/>
      <c r="O47" s="94">
        <f>VLOOKUP($A47,'Data - Total'!$A$3:$AA$54,26,FALSE)/VLOOKUP($A47,'Data - Total'!$A$3:$AA$54,25,FALSE)</f>
        <v>0.75908646498780241</v>
      </c>
    </row>
    <row r="48" spans="1:15" x14ac:dyDescent="0.25">
      <c r="A48" s="69" t="s">
        <v>20</v>
      </c>
      <c r="B48" s="70" t="s">
        <v>21</v>
      </c>
      <c r="C48" s="78">
        <f>VLOOKUP($A48,'Data - Total'!$A$3:$AA$54,23,FALSE)/VLOOKUP($A48,'Data - Total'!$A$2:$G$54,3,FALSE)</f>
        <v>0.13654753734757033</v>
      </c>
      <c r="D48" s="38">
        <f>VLOOKUP($A48,'Data - Total'!$A$3:$AA$54,27,FALSE)/VLOOKUP($A48,'Data - Total'!$A$3:$AA$54,23,FALSE)</f>
        <v>3313.5778010616323</v>
      </c>
      <c r="E48" s="4"/>
      <c r="F48" s="58">
        <f>VLOOKUP($A48,'Data - Total'!$A$3:$AA$54,26,FALSE)/VLOOKUP($A48,'Data - Total'!$A$3:$AA$54,23,FALSE)</f>
        <v>5.1675691364473565E-2</v>
      </c>
      <c r="G48" s="4"/>
      <c r="H48" s="18">
        <f>VLOOKUP($A48,'Data - Total'!$A$3:$AA$54,27,FALSE)/VLOOKUP($A48,'Data - Total'!$A$3:$AA$54,26,FALSE)</f>
        <v>64122.563502646786</v>
      </c>
      <c r="I48" s="58">
        <f>VLOOKUP($A48,'Data - Total'!$A$3:$AA$54,26,FALSE)/VLOOKUP($A48,'Data - Total'!$A$3:$AA$54,23,FALSE)</f>
        <v>5.1675691364473565E-2</v>
      </c>
      <c r="J48" s="4"/>
      <c r="K48" s="58">
        <f>VLOOKUP($A48,'Data - Total'!$A$3:$AA$54,24,FALSE)/VLOOKUP($A48,'Data - Total'!$A$3:$AA$54,23,FALSE)</f>
        <v>0.63925576129106532</v>
      </c>
      <c r="L48" s="4"/>
      <c r="M48" s="58">
        <f>VLOOKUP($A48,'Data - Total'!$A$3:$AA$54,25,FALSE)/VLOOKUP($A48,'Data - Total'!$A$3:$AA$54,24,FALSE)</f>
        <v>0.34517942735476165</v>
      </c>
      <c r="N48" s="4"/>
      <c r="O48" s="94">
        <f>VLOOKUP($A48,'Data - Total'!$A$3:$AA$54,26,FALSE)/VLOOKUP($A48,'Data - Total'!$A$3:$AA$54,25,FALSE)</f>
        <v>0.23418913419954387</v>
      </c>
    </row>
    <row r="49" spans="1:15" x14ac:dyDescent="0.25">
      <c r="A49" s="69" t="s">
        <v>72</v>
      </c>
      <c r="B49" s="70" t="s">
        <v>73</v>
      </c>
      <c r="C49" s="78">
        <f>VLOOKUP($A49,'Data - Total'!$A$3:$AA$54,23,FALSE)/VLOOKUP($A49,'Data - Total'!$A$2:$G$54,3,FALSE)</f>
        <v>0.1335076566125043</v>
      </c>
      <c r="D49" s="38">
        <f>VLOOKUP($A49,'Data - Total'!$A$3:$AA$54,27,FALSE)/VLOOKUP($A49,'Data - Total'!$A$3:$AA$54,23,FALSE)</f>
        <v>5402.9287222930934</v>
      </c>
      <c r="E49" s="4"/>
      <c r="F49" s="58">
        <f>VLOOKUP($A49,'Data - Total'!$A$3:$AA$54,26,FALSE)/VLOOKUP($A49,'Data - Total'!$A$3:$AA$54,23,FALSE)</f>
        <v>0.14348575863259599</v>
      </c>
      <c r="G49" s="4"/>
      <c r="H49" s="18">
        <f>VLOOKUP($A49,'Data - Total'!$A$3:$AA$54,27,FALSE)/VLOOKUP($A49,'Data - Total'!$A$3:$AA$54,26,FALSE)</f>
        <v>37654.808210810814</v>
      </c>
      <c r="I49" s="58">
        <f>VLOOKUP($A49,'Data - Total'!$A$3:$AA$54,26,FALSE)/VLOOKUP($A49,'Data - Total'!$A$3:$AA$54,23,FALSE)</f>
        <v>0.14348575863259599</v>
      </c>
      <c r="J49" s="4"/>
      <c r="K49" s="58">
        <f>VLOOKUP($A49,'Data - Total'!$A$3:$AA$54,24,FALSE)/VLOOKUP($A49,'Data - Total'!$A$3:$AA$54,23,FALSE)</f>
        <v>0.54467226706823368</v>
      </c>
      <c r="L49" s="4"/>
      <c r="M49" s="58">
        <f>VLOOKUP($A49,'Data - Total'!$A$3:$AA$54,25,FALSE)/VLOOKUP($A49,'Data - Total'!$A$3:$AA$54,24,FALSE)</f>
        <v>0.92435082437903537</v>
      </c>
      <c r="N49" s="4"/>
      <c r="O49" s="94">
        <f>VLOOKUP($A49,'Data - Total'!$A$3:$AA$54,26,FALSE)/VLOOKUP($A49,'Data - Total'!$A$3:$AA$54,25,FALSE)</f>
        <v>0.28499464672217645</v>
      </c>
    </row>
    <row r="50" spans="1:15" x14ac:dyDescent="0.25">
      <c r="A50" s="69" t="s">
        <v>86</v>
      </c>
      <c r="B50" s="70" t="s">
        <v>87</v>
      </c>
      <c r="C50" s="78">
        <f>VLOOKUP($A50,'Data - Total'!$A$3:$AA$54,23,FALSE)/VLOOKUP($A50,'Data - Total'!$A$2:$G$54,3,FALSE)</f>
        <v>0.14965253245177665</v>
      </c>
      <c r="D50" s="38">
        <f>VLOOKUP($A50,'Data - Total'!$A$3:$AA$54,27,FALSE)/VLOOKUP($A50,'Data - Total'!$A$3:$AA$54,23,FALSE)</f>
        <v>2356.835401670432</v>
      </c>
      <c r="E50" s="4"/>
      <c r="F50" s="58">
        <f>VLOOKUP($A50,'Data - Total'!$A$3:$AA$54,26,FALSE)/VLOOKUP($A50,'Data - Total'!$A$3:$AA$54,23,FALSE)</f>
        <v>7.2455952268985019E-2</v>
      </c>
      <c r="G50" s="4"/>
      <c r="H50" s="18">
        <f>VLOOKUP($A50,'Data - Total'!$A$3:$AA$54,27,FALSE)/VLOOKUP($A50,'Data - Total'!$A$3:$AA$54,26,FALSE)</f>
        <v>32527.836952869398</v>
      </c>
      <c r="I50" s="58">
        <f>VLOOKUP($A50,'Data - Total'!$A$3:$AA$54,26,FALSE)/VLOOKUP($A50,'Data - Total'!$A$3:$AA$54,23,FALSE)</f>
        <v>7.2455952268985019E-2</v>
      </c>
      <c r="J50" s="4"/>
      <c r="K50" s="58">
        <f>VLOOKUP($A50,'Data - Total'!$A$3:$AA$54,24,FALSE)/VLOOKUP($A50,'Data - Total'!$A$3:$AA$54,23,FALSE)</f>
        <v>0.51611834283483193</v>
      </c>
      <c r="L50" s="4"/>
      <c r="M50" s="58">
        <f>VLOOKUP($A50,'Data - Total'!$A$3:$AA$54,25,FALSE)/VLOOKUP($A50,'Data - Total'!$A$3:$AA$54,24,FALSE)</f>
        <v>0.89645395169805597</v>
      </c>
      <c r="N50" s="4"/>
      <c r="O50" s="94">
        <f>VLOOKUP($A50,'Data - Total'!$A$3:$AA$54,26,FALSE)/VLOOKUP($A50,'Data - Total'!$A$3:$AA$54,25,FALSE)</f>
        <v>0.1566018140275566</v>
      </c>
    </row>
    <row r="51" spans="1:15" x14ac:dyDescent="0.25">
      <c r="A51" s="69" t="s">
        <v>48</v>
      </c>
      <c r="B51" s="70" t="s">
        <v>49</v>
      </c>
      <c r="C51" s="78">
        <f>VLOOKUP($A51,'Data - Total'!$A$3:$AA$54,23,FALSE)/VLOOKUP($A51,'Data - Total'!$A$2:$G$54,3,FALSE)</f>
        <v>0.12445768634568384</v>
      </c>
      <c r="D51" s="38">
        <f>VLOOKUP($A51,'Data - Total'!$A$3:$AA$54,27,FALSE)/VLOOKUP($A51,'Data - Total'!$A$3:$AA$54,23,FALSE)</f>
        <v>1853.8609758569457</v>
      </c>
      <c r="E51" s="4"/>
      <c r="F51" s="58">
        <f>VLOOKUP($A51,'Data - Total'!$A$3:$AA$54,26,FALSE)/VLOOKUP($A51,'Data - Total'!$A$3:$AA$54,23,FALSE)</f>
        <v>4.4381654261522033E-2</v>
      </c>
      <c r="G51" s="4"/>
      <c r="H51" s="18">
        <f>VLOOKUP($A51,'Data - Total'!$A$3:$AA$54,27,FALSE)/VLOOKUP($A51,'Data - Total'!$A$3:$AA$54,26,FALSE)</f>
        <v>41770.884990742772</v>
      </c>
      <c r="I51" s="58">
        <f>VLOOKUP($A51,'Data - Total'!$A$3:$AA$54,26,FALSE)/VLOOKUP($A51,'Data - Total'!$A$3:$AA$54,23,FALSE)</f>
        <v>4.4381654261522033E-2</v>
      </c>
      <c r="J51" s="4"/>
      <c r="K51" s="58">
        <f>VLOOKUP($A51,'Data - Total'!$A$3:$AA$54,24,FALSE)/VLOOKUP($A51,'Data - Total'!$A$3:$AA$54,23,FALSE)</f>
        <v>0.65049500085722267</v>
      </c>
      <c r="L51" s="4"/>
      <c r="M51" s="58">
        <f>VLOOKUP($A51,'Data - Total'!$A$3:$AA$54,25,FALSE)/VLOOKUP($A51,'Data - Total'!$A$3:$AA$54,24,FALSE)</f>
        <v>0.22290893368808851</v>
      </c>
      <c r="N51" s="4"/>
      <c r="O51" s="94">
        <f>VLOOKUP($A51,'Data - Total'!$A$3:$AA$54,26,FALSE)/VLOOKUP($A51,'Data - Total'!$A$3:$AA$54,25,FALSE)</f>
        <v>0.30607795301304341</v>
      </c>
    </row>
    <row r="52" spans="1:15" x14ac:dyDescent="0.25">
      <c r="A52" s="69" t="s">
        <v>54</v>
      </c>
      <c r="B52" s="70" t="s">
        <v>55</v>
      </c>
      <c r="C52" s="78">
        <f>VLOOKUP($A52,'Data - Total'!$A$3:$AA$54,23,FALSE)/VLOOKUP($A52,'Data - Total'!$A$2:$G$54,3,FALSE)</f>
        <v>0.13316986007415604</v>
      </c>
      <c r="D52" s="38">
        <f>VLOOKUP($A52,'Data - Total'!$A$3:$AA$54,27,FALSE)/VLOOKUP($A52,'Data - Total'!$A$3:$AA$54,23,FALSE)</f>
        <v>2429.6274963324454</v>
      </c>
      <c r="E52" s="4"/>
      <c r="F52" s="58">
        <f>VLOOKUP($A52,'Data - Total'!$A$3:$AA$54,26,FALSE)/VLOOKUP($A52,'Data - Total'!$A$3:$AA$54,23,FALSE)</f>
        <v>5.7168304391956894E-2</v>
      </c>
      <c r="G52" s="4"/>
      <c r="H52" s="18">
        <f>VLOOKUP($A52,'Data - Total'!$A$3:$AA$54,27,FALSE)/VLOOKUP($A52,'Data - Total'!$A$3:$AA$54,26,FALSE)</f>
        <v>42499.554992473655</v>
      </c>
      <c r="I52" s="58">
        <f>VLOOKUP($A52,'Data - Total'!$A$3:$AA$54,26,FALSE)/VLOOKUP($A52,'Data - Total'!$A$3:$AA$54,23,FALSE)</f>
        <v>5.7168304391956894E-2</v>
      </c>
      <c r="J52" s="4"/>
      <c r="K52" s="58">
        <f>VLOOKUP($A52,'Data - Total'!$A$3:$AA$54,24,FALSE)/VLOOKUP($A52,'Data - Total'!$A$3:$AA$54,23,FALSE)</f>
        <v>0.54113193536825055</v>
      </c>
      <c r="L52" s="4"/>
      <c r="M52" s="58">
        <f>VLOOKUP($A52,'Data - Total'!$A$3:$AA$54,25,FALSE)/VLOOKUP($A52,'Data - Total'!$A$3:$AA$54,24,FALSE)</f>
        <v>0.56920439826304003</v>
      </c>
      <c r="N52" s="4"/>
      <c r="O52" s="94">
        <f>VLOOKUP($A52,'Data - Total'!$A$3:$AA$54,26,FALSE)/VLOOKUP($A52,'Data - Total'!$A$3:$AA$54,25,FALSE)</f>
        <v>0.18560253306016017</v>
      </c>
    </row>
    <row r="53" spans="1:15" x14ac:dyDescent="0.25">
      <c r="A53" s="69" t="s">
        <v>68</v>
      </c>
      <c r="B53" s="70" t="s">
        <v>69</v>
      </c>
      <c r="C53" s="78">
        <f>VLOOKUP($A53,'Data - Total'!$A$3:$AA$54,23,FALSE)/VLOOKUP($A53,'Data - Total'!$A$2:$G$54,3,FALSE)</f>
        <v>0.13445382176462162</v>
      </c>
      <c r="D53" s="38">
        <f>VLOOKUP($A53,'Data - Total'!$A$3:$AA$54,27,FALSE)/VLOOKUP($A53,'Data - Total'!$A$3:$AA$54,23,FALSE)</f>
        <v>2343.8493723278843</v>
      </c>
      <c r="E53" s="4"/>
      <c r="F53" s="58">
        <f>VLOOKUP($A53,'Data - Total'!$A$3:$AA$54,26,FALSE)/VLOOKUP($A53,'Data - Total'!$A$3:$AA$54,23,FALSE)</f>
        <v>6.8916730755688285E-2</v>
      </c>
      <c r="G53" s="4"/>
      <c r="H53" s="18">
        <f>VLOOKUP($A53,'Data - Total'!$A$3:$AA$54,27,FALSE)/VLOOKUP($A53,'Data - Total'!$A$3:$AA$54,26,FALSE)</f>
        <v>34009.874621547206</v>
      </c>
      <c r="I53" s="58">
        <f>VLOOKUP($A53,'Data - Total'!$A$3:$AA$54,26,FALSE)/VLOOKUP($A53,'Data - Total'!$A$3:$AA$54,23,FALSE)</f>
        <v>6.8916730755688285E-2</v>
      </c>
      <c r="J53" s="4"/>
      <c r="K53" s="58">
        <f>VLOOKUP($A53,'Data - Total'!$A$3:$AA$54,24,FALSE)/VLOOKUP($A53,'Data - Total'!$A$3:$AA$54,23,FALSE)</f>
        <v>0.59952073285638363</v>
      </c>
      <c r="L53" s="4"/>
      <c r="M53" s="58">
        <f>VLOOKUP($A53,'Data - Total'!$A$3:$AA$54,25,FALSE)/VLOOKUP($A53,'Data - Total'!$A$3:$AA$54,24,FALSE)</f>
        <v>0.34987912215932515</v>
      </c>
      <c r="N53" s="4"/>
      <c r="O53" s="94">
        <f>VLOOKUP($A53,'Data - Total'!$A$3:$AA$54,26,FALSE)/VLOOKUP($A53,'Data - Total'!$A$3:$AA$54,25,FALSE)</f>
        <v>0.32855072701074139</v>
      </c>
    </row>
    <row r="54" spans="1:15" x14ac:dyDescent="0.25">
      <c r="A54" s="71" t="s">
        <v>24</v>
      </c>
      <c r="B54" s="72" t="s">
        <v>25</v>
      </c>
      <c r="C54" s="102">
        <f>VLOOKUP($A54,'Data - Total'!$A$3:$AA$54,23,FALSE)/VLOOKUP($A54,'Data - Total'!$A$2:$G$54,3,FALSE)</f>
        <v>0.12543126090334794</v>
      </c>
      <c r="D54" s="88">
        <f>VLOOKUP($A54,'Data - Total'!$A$3:$AA$54,27,FALSE)/VLOOKUP($A54,'Data - Total'!$A$3:$AA$54,23,FALSE)</f>
        <v>4979.198812157395</v>
      </c>
      <c r="E54" s="5"/>
      <c r="F54" s="86">
        <f>VLOOKUP($A54,'Data - Total'!$A$3:$AA$54,26,FALSE)/VLOOKUP($A54,'Data - Total'!$A$3:$AA$54,23,FALSE)</f>
        <v>0.1239862559870368</v>
      </c>
      <c r="G54" s="5"/>
      <c r="H54" s="49">
        <f>VLOOKUP($A54,'Data - Total'!$A$3:$AA$54,27,FALSE)/VLOOKUP($A54,'Data - Total'!$A$3:$AA$54,26,FALSE)</f>
        <v>40159.280337314063</v>
      </c>
      <c r="I54" s="86">
        <f>VLOOKUP($A54,'Data - Total'!$A$3:$AA$54,26,FALSE)/VLOOKUP($A54,'Data - Total'!$A$3:$AA$54,23,FALSE)</f>
        <v>0.1239862559870368</v>
      </c>
      <c r="J54" s="5"/>
      <c r="K54" s="86">
        <f>VLOOKUP($A54,'Data - Total'!$A$3:$AA$54,24,FALSE)/VLOOKUP($A54,'Data - Total'!$A$3:$AA$54,23,FALSE)</f>
        <v>0.52933299089473174</v>
      </c>
      <c r="L54" s="5"/>
      <c r="M54" s="86">
        <f>VLOOKUP($A54,'Data - Total'!$A$3:$AA$54,25,FALSE)/VLOOKUP($A54,'Data - Total'!$A$3:$AA$54,24,FALSE)</f>
        <v>0.60442227365519252</v>
      </c>
      <c r="N54" s="5"/>
      <c r="O54" s="97">
        <f>VLOOKUP($A54,'Data - Total'!$A$3:$AA$54,26,FALSE)/VLOOKUP($A54,'Data - Total'!$A$3:$AA$54,25,FALSE)</f>
        <v>0.38752892461332361</v>
      </c>
    </row>
  </sheetData>
  <mergeCells count="2">
    <mergeCell ref="D1:H1"/>
    <mergeCell ref="I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
  <sheetViews>
    <sheetView tabSelected="1" workbookViewId="0">
      <selection activeCell="D6" sqref="D6"/>
    </sheetView>
  </sheetViews>
  <sheetFormatPr defaultRowHeight="15" x14ac:dyDescent="0.25"/>
  <cols>
    <col min="1" max="1" width="9.140625" style="16"/>
    <col min="2" max="2" width="19.140625" style="16" bestFit="1" customWidth="1"/>
    <col min="3" max="3" width="28.5703125" style="2" customWidth="1"/>
    <col min="4" max="4" width="18.140625" customWidth="1"/>
    <col min="5" max="5" width="12.28515625" bestFit="1" customWidth="1"/>
    <col min="6" max="6" width="13.7109375" bestFit="1" customWidth="1"/>
    <col min="7" max="7" width="14" bestFit="1" customWidth="1"/>
    <col min="8" max="8" width="9.5703125" customWidth="1"/>
    <col min="10" max="10" width="11.28515625" customWidth="1"/>
    <col min="11" max="11" width="11.140625" customWidth="1"/>
  </cols>
  <sheetData>
    <row r="1" spans="1:11" ht="29.25" customHeight="1" x14ac:dyDescent="0.25">
      <c r="D1" s="136" t="s">
        <v>186</v>
      </c>
      <c r="E1" s="137"/>
      <c r="F1" s="137"/>
      <c r="G1" s="138"/>
      <c r="H1" s="136" t="s">
        <v>191</v>
      </c>
      <c r="I1" s="137"/>
      <c r="J1" s="137"/>
      <c r="K1" s="138"/>
    </row>
    <row r="2" spans="1:11" ht="43.5" x14ac:dyDescent="0.25">
      <c r="A2" s="9" t="s">
        <v>0</v>
      </c>
      <c r="B2" s="9" t="s">
        <v>1</v>
      </c>
      <c r="C2" s="117" t="s">
        <v>185</v>
      </c>
      <c r="D2" s="60" t="s">
        <v>188</v>
      </c>
      <c r="E2" s="59" t="s">
        <v>187</v>
      </c>
      <c r="F2" s="59" t="s">
        <v>189</v>
      </c>
      <c r="G2" s="117" t="s">
        <v>190</v>
      </c>
      <c r="H2" s="60" t="s">
        <v>188</v>
      </c>
      <c r="I2" s="59" t="s">
        <v>187</v>
      </c>
      <c r="J2" s="59" t="s">
        <v>189</v>
      </c>
      <c r="K2" s="119" t="s">
        <v>190</v>
      </c>
    </row>
    <row r="3" spans="1:11" x14ac:dyDescent="0.25">
      <c r="A3" s="106" t="s">
        <v>56</v>
      </c>
      <c r="B3" s="107" t="s">
        <v>57</v>
      </c>
      <c r="C3" s="118">
        <f>VLOOKUP($B3, [4]Sheet1!$B$2:$C$53, 2, FALSE)</f>
        <v>258929194</v>
      </c>
      <c r="D3" s="22">
        <f>VLOOKUP($A3, '[5]Table 1'!$A$5:$I$55, 2, FALSE)</f>
        <v>1.31</v>
      </c>
      <c r="E3" s="22">
        <f>VLOOKUP($A3, '[5]Table 1'!$A$5:$I$55, 3, FALSE)</f>
        <v>1.44</v>
      </c>
      <c r="F3" s="22">
        <f>VLOOKUP($A3, '[5]Table 1'!$A$5:$I$55, 4, FALSE)</f>
        <v>0.99</v>
      </c>
      <c r="G3" s="50">
        <f>VLOOKUP($A3, '[5]Table 1'!$A$5:$I$55, 5, FALSE)</f>
        <v>1.2</v>
      </c>
      <c r="H3" s="22">
        <f>VLOOKUP($A3, '[5]Table 1'!$A$5:$I$55, 6, FALSE)</f>
        <v>0.9</v>
      </c>
      <c r="I3" s="22">
        <f>VLOOKUP($A3, '[5]Table 1'!$A$5:$I$55, 7, FALSE)</f>
        <v>0.9</v>
      </c>
      <c r="J3" s="25">
        <f>VLOOKUP($A3, '[5]Table 1'!$A$5:$I$55, 8, FALSE)</f>
        <v>0.9</v>
      </c>
      <c r="K3" s="50">
        <f>VLOOKUP($A3, '[5]Table 1'!$A$5:$I$55, 9, FALSE)</f>
        <v>0.9</v>
      </c>
    </row>
    <row r="4" spans="1:11" x14ac:dyDescent="0.25">
      <c r="A4" s="106" t="s">
        <v>32</v>
      </c>
      <c r="B4" s="107" t="s">
        <v>33</v>
      </c>
      <c r="C4" s="118">
        <f>VLOOKUP($B4, [4]Sheet1!$B$2:$C$53, 2, FALSE)</f>
        <v>0</v>
      </c>
      <c r="D4" s="22">
        <f>VLOOKUP($A4, '[5]Table 1'!$A$5:$I$55, 2, FALSE)</f>
        <v>1.27</v>
      </c>
      <c r="E4" s="22">
        <f>VLOOKUP($A4, '[5]Table 1'!$A$5:$I$55, 3, FALSE)</f>
        <v>1.43</v>
      </c>
      <c r="F4" s="22">
        <f>VLOOKUP($A4, '[5]Table 1'!$A$5:$I$55, 4, FALSE)</f>
        <v>0.97</v>
      </c>
      <c r="G4" s="50">
        <f>VLOOKUP($A4, '[5]Table 1'!$A$5:$I$55, 5, FALSE)</f>
        <v>1.24</v>
      </c>
      <c r="H4" s="22">
        <f>VLOOKUP($A4, '[5]Table 1'!$A$5:$I$55, 6, FALSE)</f>
        <v>0.88</v>
      </c>
      <c r="I4" s="22">
        <f>VLOOKUP($A4, '[5]Table 1'!$A$5:$I$55, 7, FALSE)</f>
        <v>0.89</v>
      </c>
      <c r="J4" s="25">
        <f>VLOOKUP($A4, '[5]Table 1'!$A$5:$I$55, 8, FALSE)</f>
        <v>0.82</v>
      </c>
      <c r="K4" s="50">
        <f>VLOOKUP($A4, '[5]Table 1'!$A$5:$I$55, 9, FALSE)</f>
        <v>0.92</v>
      </c>
    </row>
    <row r="5" spans="1:11" x14ac:dyDescent="0.25">
      <c r="A5" s="106" t="s">
        <v>80</v>
      </c>
      <c r="B5" s="107" t="s">
        <v>81</v>
      </c>
      <c r="C5" s="118">
        <f>VLOOKUP($B5, [4]Sheet1!$B$2:$C$53, 2, FALSE)</f>
        <v>65508288</v>
      </c>
      <c r="D5" s="22">
        <f>VLOOKUP($A5, '[5]Table 1'!$A$5:$I$55, 2, FALSE)</f>
        <v>1.38</v>
      </c>
      <c r="E5" s="22">
        <f>VLOOKUP($A5, '[5]Table 1'!$A$5:$I$55, 3, FALSE)</f>
        <v>1.54</v>
      </c>
      <c r="F5" s="22">
        <f>VLOOKUP($A5, '[5]Table 1'!$A$5:$I$55, 4, FALSE)</f>
        <v>1.1599999999999999</v>
      </c>
      <c r="G5" s="50">
        <f>VLOOKUP($A5, '[5]Table 1'!$A$5:$I$55, 5, FALSE)</f>
        <v>1.27</v>
      </c>
      <c r="H5" s="22">
        <f>VLOOKUP($A5, '[5]Table 1'!$A$5:$I$55, 6, FALSE)</f>
        <v>0.97</v>
      </c>
      <c r="I5" s="22">
        <f>VLOOKUP($A5, '[5]Table 1'!$A$5:$I$55, 7, FALSE)</f>
        <v>0.97</v>
      </c>
      <c r="J5" s="25">
        <f>VLOOKUP($A5, '[5]Table 1'!$A$5:$I$55, 8, FALSE)</f>
        <v>0.97</v>
      </c>
      <c r="K5" s="50">
        <f>VLOOKUP($A5, '[5]Table 1'!$A$5:$I$55, 9, FALSE)</f>
        <v>0.96</v>
      </c>
    </row>
    <row r="6" spans="1:11" x14ac:dyDescent="0.25">
      <c r="A6" s="106" t="s">
        <v>92</v>
      </c>
      <c r="B6" s="107" t="s">
        <v>93</v>
      </c>
      <c r="C6" s="118">
        <f>VLOOKUP($B6, [4]Sheet1!$B$2:$C$53, 2, FALSE)</f>
        <v>4895560688</v>
      </c>
      <c r="D6" s="22" t="e">
        <f>VLOOKUP($A6, '[5]Table 1'!$A$5:$I$55, 2, FALSE)</f>
        <v>#N/A</v>
      </c>
      <c r="E6" s="22" t="e">
        <f>VLOOKUP($A6, '[5]Table 1'!$A$5:$I$55, 3, FALSE)</f>
        <v>#N/A</v>
      </c>
      <c r="F6" s="22" t="e">
        <f>VLOOKUP($A6, '[5]Table 1'!$A$5:$I$55, 4, FALSE)</f>
        <v>#N/A</v>
      </c>
      <c r="G6" s="50" t="e">
        <f>VLOOKUP($A6, '[5]Table 1'!$A$5:$I$55, 5, FALSE)</f>
        <v>#N/A</v>
      </c>
      <c r="H6" s="22" t="e">
        <f>VLOOKUP($A6, '[5]Table 1'!$A$5:$I$55, 6, FALSE)</f>
        <v>#N/A</v>
      </c>
      <c r="I6" s="22" t="e">
        <f>VLOOKUP($A6, '[5]Table 1'!$A$5:$I$55, 7, FALSE)</f>
        <v>#N/A</v>
      </c>
      <c r="J6" s="25" t="e">
        <f>VLOOKUP($A6, '[5]Table 1'!$A$5:$I$55, 8, FALSE)</f>
        <v>#N/A</v>
      </c>
      <c r="K6" s="50" t="e">
        <f>VLOOKUP($A6, '[5]Table 1'!$A$5:$I$55, 9, FALSE)</f>
        <v>#N/A</v>
      </c>
    </row>
    <row r="7" spans="1:11" x14ac:dyDescent="0.25">
      <c r="A7" s="106" t="s">
        <v>42</v>
      </c>
      <c r="B7" s="107" t="s">
        <v>43</v>
      </c>
      <c r="C7" s="118">
        <f>VLOOKUP($B7, [4]Sheet1!$B$2:$C$53, 2, FALSE)</f>
        <v>704520495</v>
      </c>
      <c r="D7" s="22">
        <f>VLOOKUP($A7, '[5]Table 1'!$A$5:$I$55, 2, FALSE)</f>
        <v>1.0900000000000001</v>
      </c>
      <c r="E7" s="22">
        <f>VLOOKUP($A7, '[5]Table 1'!$A$5:$I$55, 3, FALSE)</f>
        <v>1.1299999999999999</v>
      </c>
      <c r="F7" s="22">
        <f>VLOOKUP($A7, '[5]Table 1'!$A$5:$I$55, 4, FALSE)</f>
        <v>1.06</v>
      </c>
      <c r="G7" s="50">
        <f>VLOOKUP($A7, '[5]Table 1'!$A$5:$I$55, 5, FALSE)</f>
        <v>0.99</v>
      </c>
      <c r="H7" s="22">
        <f>VLOOKUP($A7, '[5]Table 1'!$A$5:$I$55, 6, FALSE)</f>
        <v>0.77</v>
      </c>
      <c r="I7" s="22">
        <f>VLOOKUP($A7, '[5]Table 1'!$A$5:$I$55, 7, FALSE)</f>
        <v>0.72</v>
      </c>
      <c r="J7" s="25">
        <f>VLOOKUP($A7, '[5]Table 1'!$A$5:$I$55, 8, FALSE)</f>
        <v>0.97</v>
      </c>
      <c r="K7" s="50">
        <f>VLOOKUP($A7, '[5]Table 1'!$A$5:$I$55, 9, FALSE)</f>
        <v>0.76</v>
      </c>
    </row>
    <row r="8" spans="1:11" x14ac:dyDescent="0.25">
      <c r="A8" s="106" t="s">
        <v>90</v>
      </c>
      <c r="B8" s="107" t="s">
        <v>91</v>
      </c>
      <c r="C8" s="118">
        <f>VLOOKUP($B8, [4]Sheet1!$B$2:$C$53, 2, FALSE)</f>
        <v>0</v>
      </c>
      <c r="D8" s="22">
        <f>VLOOKUP($A8, '[5]Table 1'!$A$5:$I$55, 2, FALSE)</f>
        <v>1.0900000000000001</v>
      </c>
      <c r="E8" s="22">
        <f>VLOOKUP($A8, '[5]Table 1'!$A$5:$I$55, 3, FALSE)</f>
        <v>1.1299999999999999</v>
      </c>
      <c r="F8" s="22">
        <f>VLOOKUP($A8, '[5]Table 1'!$A$5:$I$55, 4, FALSE)</f>
        <v>0.98</v>
      </c>
      <c r="G8" s="50">
        <f>VLOOKUP($A8, '[5]Table 1'!$A$5:$I$55, 5, FALSE)</f>
        <v>1.1499999999999999</v>
      </c>
      <c r="H8" s="22">
        <f>VLOOKUP($A8, '[5]Table 1'!$A$5:$I$55, 6, FALSE)</f>
        <v>0.76</v>
      </c>
      <c r="I8" s="22">
        <f>VLOOKUP($A8, '[5]Table 1'!$A$5:$I$55, 7, FALSE)</f>
        <v>0.69</v>
      </c>
      <c r="J8" s="25">
        <f>VLOOKUP($A8, '[5]Table 1'!$A$5:$I$55, 8, FALSE)</f>
        <v>0.84</v>
      </c>
      <c r="K8" s="50">
        <f>VLOOKUP($A8, '[5]Table 1'!$A$5:$I$55, 9, FALSE)</f>
        <v>0.82</v>
      </c>
    </row>
    <row r="9" spans="1:11" x14ac:dyDescent="0.25">
      <c r="A9" s="106" t="s">
        <v>14</v>
      </c>
      <c r="B9" s="107" t="s">
        <v>15</v>
      </c>
      <c r="C9" s="118">
        <f>VLOOKUP($B9, [4]Sheet1!$B$2:$C$53, 2, FALSE)</f>
        <v>0</v>
      </c>
      <c r="D9" s="22">
        <f>VLOOKUP($A9, '[5]Table 1'!$A$5:$I$55, 2, FALSE)</f>
        <v>1.07</v>
      </c>
      <c r="E9" s="22">
        <f>VLOOKUP($A9, '[5]Table 1'!$A$5:$I$55, 3, FALSE)</f>
        <v>1.07</v>
      </c>
      <c r="F9" s="22">
        <f>VLOOKUP($A9, '[5]Table 1'!$A$5:$I$55, 4, FALSE)</f>
        <v>0.83</v>
      </c>
      <c r="G9" s="50">
        <f>VLOOKUP($A9, '[5]Table 1'!$A$5:$I$55, 5, FALSE)</f>
        <v>1.39</v>
      </c>
      <c r="H9" s="22">
        <f>VLOOKUP($A9, '[5]Table 1'!$A$5:$I$55, 6, FALSE)</f>
        <v>0.79</v>
      </c>
      <c r="I9" s="22">
        <f>VLOOKUP($A9, '[5]Table 1'!$A$5:$I$55, 7, FALSE)</f>
        <v>0.7</v>
      </c>
      <c r="J9" s="25">
        <f>VLOOKUP($A9, '[5]Table 1'!$A$5:$I$55, 8, FALSE)</f>
        <v>0.74</v>
      </c>
      <c r="K9" s="50">
        <f>VLOOKUP($A9, '[5]Table 1'!$A$5:$I$55, 9, FALSE)</f>
        <v>1.1100000000000001</v>
      </c>
    </row>
    <row r="10" spans="1:11" x14ac:dyDescent="0.25">
      <c r="A10" s="106" t="s">
        <v>44</v>
      </c>
      <c r="B10" s="107" t="s">
        <v>45</v>
      </c>
      <c r="C10" s="118">
        <f>VLOOKUP($B10, [4]Sheet1!$B$2:$C$53, 2, FALSE)</f>
        <v>0</v>
      </c>
      <c r="D10" s="22">
        <f>VLOOKUP($A10, '[5]Table 1'!$A$5:$I$55, 2, FALSE)</f>
        <v>1.0900000000000001</v>
      </c>
      <c r="E10" s="22">
        <f>VLOOKUP($A10, '[5]Table 1'!$A$5:$I$55, 3, FALSE)</f>
        <v>1.2</v>
      </c>
      <c r="F10" s="22">
        <f>VLOOKUP($A10, '[5]Table 1'!$A$5:$I$55, 4, FALSE)</f>
        <v>0.84</v>
      </c>
      <c r="G10" s="50">
        <f>VLOOKUP($A10, '[5]Table 1'!$A$5:$I$55, 5, FALSE)</f>
        <v>1.02</v>
      </c>
      <c r="H10" s="22">
        <f>VLOOKUP($A10, '[5]Table 1'!$A$5:$I$55, 6, FALSE)</f>
        <v>0.75</v>
      </c>
      <c r="I10" s="22">
        <f>VLOOKUP($A10, '[5]Table 1'!$A$5:$I$55, 7, FALSE)</f>
        <v>0.75</v>
      </c>
      <c r="J10" s="25">
        <f>VLOOKUP($A10, '[5]Table 1'!$A$5:$I$55, 8, FALSE)</f>
        <v>0.73</v>
      </c>
      <c r="K10" s="50">
        <f>VLOOKUP($A10, '[5]Table 1'!$A$5:$I$55, 9, FALSE)</f>
        <v>0.76</v>
      </c>
    </row>
    <row r="11" spans="1:11" x14ac:dyDescent="0.25">
      <c r="A11" s="106" t="s">
        <v>40</v>
      </c>
      <c r="B11" s="107" t="s">
        <v>41</v>
      </c>
      <c r="C11" s="118">
        <f>VLOOKUP($B11, [4]Sheet1!$B$2:$C$53, 2, FALSE)</f>
        <v>422484870</v>
      </c>
      <c r="D11" s="22">
        <f>VLOOKUP($A11, '[5]Table 1'!$A$5:$I$55, 2, FALSE)</f>
        <v>1.1399999999999999</v>
      </c>
      <c r="E11" s="22">
        <f>VLOOKUP($A11, '[5]Table 1'!$A$5:$I$55, 3, FALSE)</f>
        <v>1.3</v>
      </c>
      <c r="F11" s="22">
        <f>VLOOKUP($A11, '[5]Table 1'!$A$5:$I$55, 4, FALSE)</f>
        <v>0.91</v>
      </c>
      <c r="G11" s="50">
        <f>VLOOKUP($A11, '[5]Table 1'!$A$5:$I$55, 5, FALSE)</f>
        <v>1.05</v>
      </c>
      <c r="H11" s="22">
        <f>VLOOKUP($A11, '[5]Table 1'!$A$5:$I$55, 6, FALSE)</f>
        <v>0.78</v>
      </c>
      <c r="I11" s="22">
        <f>VLOOKUP($A11, '[5]Table 1'!$A$5:$I$55, 7, FALSE)</f>
        <v>0.82</v>
      </c>
      <c r="J11" s="25">
        <f>VLOOKUP($A11, '[5]Table 1'!$A$5:$I$55, 8, FALSE)</f>
        <v>0.73</v>
      </c>
      <c r="K11" s="50">
        <f>VLOOKUP($A11, '[5]Table 1'!$A$5:$I$55, 9, FALSE)</f>
        <v>0.78</v>
      </c>
    </row>
    <row r="12" spans="1:11" x14ac:dyDescent="0.25">
      <c r="A12" s="106" t="s">
        <v>26</v>
      </c>
      <c r="B12" s="107" t="s">
        <v>27</v>
      </c>
      <c r="C12" s="118">
        <f>VLOOKUP($B12, [4]Sheet1!$B$2:$C$53, 2, FALSE)</f>
        <v>3220825437</v>
      </c>
      <c r="D12" s="22">
        <f>VLOOKUP($A12, '[5]Table 1'!$A$5:$I$55, 2, FALSE)</f>
        <v>0.89</v>
      </c>
      <c r="E12" s="22">
        <f>VLOOKUP($A12, '[5]Table 1'!$A$5:$I$55, 3, FALSE)</f>
        <v>0.84</v>
      </c>
      <c r="F12" s="22">
        <f>VLOOKUP($A12, '[5]Table 1'!$A$5:$I$55, 4, FALSE)</f>
        <v>1.2</v>
      </c>
      <c r="G12" s="50">
        <f>VLOOKUP($A12, '[5]Table 1'!$A$5:$I$55, 5, FALSE)</f>
        <v>0.81</v>
      </c>
      <c r="H12" s="22">
        <f>VLOOKUP($A12, '[5]Table 1'!$A$5:$I$55, 6, FALSE)</f>
        <v>0.56999999999999995</v>
      </c>
      <c r="I12" s="22">
        <f>VLOOKUP($A12, '[5]Table 1'!$A$5:$I$55, 7, FALSE)</f>
        <v>0.49</v>
      </c>
      <c r="J12" s="25">
        <f>VLOOKUP($A12, '[5]Table 1'!$A$5:$I$55, 8, FALSE)</f>
        <v>0.9</v>
      </c>
      <c r="K12" s="50">
        <f>VLOOKUP($A12, '[5]Table 1'!$A$5:$I$55, 9, FALSE)</f>
        <v>0.55000000000000004</v>
      </c>
    </row>
    <row r="13" spans="1:11" x14ac:dyDescent="0.25">
      <c r="A13" s="106" t="s">
        <v>8</v>
      </c>
      <c r="B13" s="107" t="s">
        <v>9</v>
      </c>
      <c r="C13" s="118">
        <f>VLOOKUP($B13, [4]Sheet1!$B$2:$C$53, 2, FALSE)</f>
        <v>0</v>
      </c>
      <c r="D13" s="22">
        <f>VLOOKUP($A13, '[5]Table 1'!$A$5:$I$55, 2, FALSE)</f>
        <v>1.07</v>
      </c>
      <c r="E13" s="22">
        <f>VLOOKUP($A13, '[5]Table 1'!$A$5:$I$55, 3, FALSE)</f>
        <v>1.1000000000000001</v>
      </c>
      <c r="F13" s="22">
        <f>VLOOKUP($A13, '[5]Table 1'!$A$5:$I$55, 4, FALSE)</f>
        <v>1.1299999999999999</v>
      </c>
      <c r="G13" s="50">
        <f>VLOOKUP($A13, '[5]Table 1'!$A$5:$I$55, 5, FALSE)</f>
        <v>0.92</v>
      </c>
      <c r="H13" s="22">
        <f>VLOOKUP($A13, '[5]Table 1'!$A$5:$I$55, 6, FALSE)</f>
        <v>0.78</v>
      </c>
      <c r="I13" s="22">
        <f>VLOOKUP($A13, '[5]Table 1'!$A$5:$I$55, 7, FALSE)</f>
        <v>0.7</v>
      </c>
      <c r="J13" s="25">
        <f>VLOOKUP($A13, '[5]Table 1'!$A$5:$I$55, 8, FALSE)</f>
        <v>1.01</v>
      </c>
      <c r="K13" s="50">
        <f>VLOOKUP($A13, '[5]Table 1'!$A$5:$I$55, 9, FALSE)</f>
        <v>0.71</v>
      </c>
    </row>
    <row r="14" spans="1:11" x14ac:dyDescent="0.25">
      <c r="A14" s="106" t="s">
        <v>74</v>
      </c>
      <c r="B14" s="107" t="s">
        <v>75</v>
      </c>
      <c r="C14" s="118">
        <f>VLOOKUP($B14, [4]Sheet1!$B$2:$C$53, 2, FALSE)</f>
        <v>0</v>
      </c>
      <c r="D14" s="22">
        <f>VLOOKUP($A14, '[5]Table 1'!$A$5:$I$55, 2, FALSE)</f>
        <v>1.21</v>
      </c>
      <c r="E14" s="22">
        <f>VLOOKUP($A14, '[5]Table 1'!$A$5:$I$55, 3, FALSE)</f>
        <v>1.39</v>
      </c>
      <c r="F14" s="22">
        <f>VLOOKUP($A14, '[5]Table 1'!$A$5:$I$55, 4, FALSE)</f>
        <v>0.88</v>
      </c>
      <c r="G14" s="50">
        <f>VLOOKUP($A14, '[5]Table 1'!$A$5:$I$55, 5, FALSE)</f>
        <v>1.19</v>
      </c>
      <c r="H14" s="22">
        <f>VLOOKUP($A14, '[5]Table 1'!$A$5:$I$55, 6, FALSE)</f>
        <v>0.82</v>
      </c>
      <c r="I14" s="22">
        <f>VLOOKUP($A14, '[5]Table 1'!$A$5:$I$55, 7, FALSE)</f>
        <v>0.85</v>
      </c>
      <c r="J14" s="25">
        <f>VLOOKUP($A14, '[5]Table 1'!$A$5:$I$55, 8, FALSE)</f>
        <v>0.72</v>
      </c>
      <c r="K14" s="50">
        <f>VLOOKUP($A14, '[5]Table 1'!$A$5:$I$55, 9, FALSE)</f>
        <v>0.87</v>
      </c>
    </row>
    <row r="15" spans="1:11" x14ac:dyDescent="0.25">
      <c r="A15" s="106" t="s">
        <v>70</v>
      </c>
      <c r="B15" s="107" t="s">
        <v>71</v>
      </c>
      <c r="C15" s="118">
        <f>VLOOKUP($B15, [4]Sheet1!$B$2:$C$53, 2, FALSE)</f>
        <v>1861661397</v>
      </c>
      <c r="D15" s="22">
        <f>VLOOKUP($A15, '[5]Table 1'!$A$5:$I$55, 2, FALSE)</f>
        <v>1.33</v>
      </c>
      <c r="E15" s="22">
        <f>VLOOKUP($A15, '[5]Table 1'!$A$5:$I$55, 3, FALSE)</f>
        <v>1.37</v>
      </c>
      <c r="F15" s="22">
        <f>VLOOKUP($A15, '[5]Table 1'!$A$5:$I$55, 4, FALSE)</f>
        <v>1.25</v>
      </c>
      <c r="G15" s="50">
        <f>VLOOKUP($A15, '[5]Table 1'!$A$5:$I$55, 5, FALSE)</f>
        <v>1.35</v>
      </c>
      <c r="H15" s="22">
        <f>VLOOKUP($A15, '[5]Table 1'!$A$5:$I$55, 6, FALSE)</f>
        <v>0.92</v>
      </c>
      <c r="I15" s="22">
        <f>VLOOKUP($A15, '[5]Table 1'!$A$5:$I$55, 7, FALSE)</f>
        <v>0.85</v>
      </c>
      <c r="J15" s="25">
        <f>VLOOKUP($A15, '[5]Table 1'!$A$5:$I$55, 8, FALSE)</f>
        <v>1</v>
      </c>
      <c r="K15" s="50">
        <f>VLOOKUP($A15, '[5]Table 1'!$A$5:$I$55, 9, FALSE)</f>
        <v>1</v>
      </c>
    </row>
    <row r="16" spans="1:11" x14ac:dyDescent="0.25">
      <c r="A16" s="106" t="s">
        <v>88</v>
      </c>
      <c r="B16" s="107" t="s">
        <v>89</v>
      </c>
      <c r="C16" s="118">
        <f>VLOOKUP($B16, [4]Sheet1!$B$2:$C$53, 2, FALSE)</f>
        <v>1302262916</v>
      </c>
      <c r="D16" s="22">
        <f>VLOOKUP($A16, '[5]Table 1'!$A$5:$I$55, 2, FALSE)</f>
        <v>1.18</v>
      </c>
      <c r="E16" s="22">
        <f>VLOOKUP($A16, '[5]Table 1'!$A$5:$I$55, 3, FALSE)</f>
        <v>1.19</v>
      </c>
      <c r="F16" s="22">
        <f>VLOOKUP($A16, '[5]Table 1'!$A$5:$I$55, 4, FALSE)</f>
        <v>1.43</v>
      </c>
      <c r="G16" s="50">
        <f>VLOOKUP($A16, '[5]Table 1'!$A$5:$I$55, 5, FALSE)</f>
        <v>1.06</v>
      </c>
      <c r="H16" s="22">
        <f>VLOOKUP($A16, '[5]Table 1'!$A$5:$I$55, 6, FALSE)</f>
        <v>0.81</v>
      </c>
      <c r="I16" s="22">
        <f>VLOOKUP($A16, '[5]Table 1'!$A$5:$I$55, 7, FALSE)</f>
        <v>0.74</v>
      </c>
      <c r="J16" s="25">
        <f>VLOOKUP($A16, '[5]Table 1'!$A$5:$I$55, 8, FALSE)</f>
        <v>1.39</v>
      </c>
      <c r="K16" s="50">
        <f>VLOOKUP($A16, '[5]Table 1'!$A$5:$I$55, 9, FALSE)</f>
        <v>0.79</v>
      </c>
    </row>
    <row r="17" spans="1:11" x14ac:dyDescent="0.25">
      <c r="A17" s="106" t="s">
        <v>12</v>
      </c>
      <c r="B17" s="107" t="s">
        <v>13</v>
      </c>
      <c r="C17" s="118">
        <f>VLOOKUP($B17, [4]Sheet1!$B$2:$C$53, 2, FALSE)</f>
        <v>6134210563</v>
      </c>
      <c r="D17" s="22">
        <f>VLOOKUP($A17, '[5]Table 1'!$A$5:$I$55, 2, FALSE)</f>
        <v>1.23</v>
      </c>
      <c r="E17" s="22">
        <f>VLOOKUP($A17, '[5]Table 1'!$A$5:$I$55, 3, FALSE)</f>
        <v>1.26</v>
      </c>
      <c r="F17" s="22">
        <f>VLOOKUP($A17, '[5]Table 1'!$A$5:$I$55, 4, FALSE)</f>
        <v>1.18</v>
      </c>
      <c r="G17" s="50">
        <f>VLOOKUP($A17, '[5]Table 1'!$A$5:$I$55, 5, FALSE)</f>
        <v>1.2</v>
      </c>
      <c r="H17" s="22">
        <f>VLOOKUP($A17, '[5]Table 1'!$A$5:$I$55, 6, FALSE)</f>
        <v>0.82</v>
      </c>
      <c r="I17" s="22">
        <f>VLOOKUP($A17, '[5]Table 1'!$A$5:$I$55, 7, FALSE)</f>
        <v>0.75</v>
      </c>
      <c r="J17" s="25">
        <f>VLOOKUP($A17, '[5]Table 1'!$A$5:$I$55, 8, FALSE)</f>
        <v>0.92</v>
      </c>
      <c r="K17" s="50">
        <f>VLOOKUP($A17, '[5]Table 1'!$A$5:$I$55, 9, FALSE)</f>
        <v>0.84</v>
      </c>
    </row>
    <row r="18" spans="1:11" x14ac:dyDescent="0.25">
      <c r="A18" s="106" t="s">
        <v>58</v>
      </c>
      <c r="B18" s="107" t="s">
        <v>59</v>
      </c>
      <c r="C18" s="118">
        <f>VLOOKUP($B18, [4]Sheet1!$B$2:$C$53, 2, FALSE)</f>
        <v>1060109105</v>
      </c>
      <c r="D18" s="22">
        <f>VLOOKUP($A18, '[5]Table 1'!$A$5:$I$55, 2, FALSE)</f>
        <v>0.87</v>
      </c>
      <c r="E18" s="22">
        <f>VLOOKUP($A18, '[5]Table 1'!$A$5:$I$55, 3, FALSE)</f>
        <v>0.92</v>
      </c>
      <c r="F18" s="22">
        <f>VLOOKUP($A18, '[5]Table 1'!$A$5:$I$55, 4, FALSE)</f>
        <v>0.73</v>
      </c>
      <c r="G18" s="50">
        <f>VLOOKUP($A18, '[5]Table 1'!$A$5:$I$55, 5, FALSE)</f>
        <v>0.91</v>
      </c>
      <c r="H18" s="22">
        <f>VLOOKUP($A18, '[5]Table 1'!$A$5:$I$55, 6, FALSE)</f>
        <v>0.59</v>
      </c>
      <c r="I18" s="22">
        <f>VLOOKUP($A18, '[5]Table 1'!$A$5:$I$55, 7, FALSE)</f>
        <v>0.56999999999999995</v>
      </c>
      <c r="J18" s="25">
        <f>VLOOKUP($A18, '[5]Table 1'!$A$5:$I$55, 8, FALSE)</f>
        <v>0.56999999999999995</v>
      </c>
      <c r="K18" s="50">
        <f>VLOOKUP($A18, '[5]Table 1'!$A$5:$I$55, 9, FALSE)</f>
        <v>0.68</v>
      </c>
    </row>
    <row r="19" spans="1:11" x14ac:dyDescent="0.25">
      <c r="A19" s="106" t="s">
        <v>46</v>
      </c>
      <c r="B19" s="107" t="s">
        <v>47</v>
      </c>
      <c r="C19" s="118">
        <f>VLOOKUP($B19, [4]Sheet1!$B$2:$C$53, 2, FALSE)</f>
        <v>0</v>
      </c>
      <c r="D19" s="22">
        <f>VLOOKUP($A19, '[5]Table 1'!$A$5:$I$55, 2, FALSE)</f>
        <v>0.96</v>
      </c>
      <c r="E19" s="22">
        <f>VLOOKUP($A19, '[5]Table 1'!$A$5:$I$55, 3, FALSE)</f>
        <v>1.03</v>
      </c>
      <c r="F19" s="22">
        <f>VLOOKUP($A19, '[5]Table 1'!$A$5:$I$55, 4, FALSE)</f>
        <v>0.82</v>
      </c>
      <c r="G19" s="50">
        <f>VLOOKUP($A19, '[5]Table 1'!$A$5:$I$55, 5, FALSE)</f>
        <v>0.98</v>
      </c>
      <c r="H19" s="22">
        <f>VLOOKUP($A19, '[5]Table 1'!$A$5:$I$55, 6, FALSE)</f>
        <v>0.65</v>
      </c>
      <c r="I19" s="22">
        <f>VLOOKUP($A19, '[5]Table 1'!$A$5:$I$55, 7, FALSE)</f>
        <v>0.63</v>
      </c>
      <c r="J19" s="25">
        <f>VLOOKUP($A19, '[5]Table 1'!$A$5:$I$55, 8, FALSE)</f>
        <v>0.68</v>
      </c>
      <c r="K19" s="50">
        <f>VLOOKUP($A19, '[5]Table 1'!$A$5:$I$55, 9, FALSE)</f>
        <v>0.65</v>
      </c>
    </row>
    <row r="20" spans="1:11" x14ac:dyDescent="0.25">
      <c r="A20" s="106" t="s">
        <v>94</v>
      </c>
      <c r="B20" s="107" t="s">
        <v>95</v>
      </c>
      <c r="C20" s="118">
        <f>VLOOKUP($B20, [4]Sheet1!$B$2:$C$53, 2, FALSE)</f>
        <v>5617811528</v>
      </c>
      <c r="D20" s="22">
        <f>VLOOKUP($A20, '[5]Table 1'!$A$5:$I$55, 2, FALSE)</f>
        <v>0.96</v>
      </c>
      <c r="E20" s="22">
        <f>VLOOKUP($A20, '[5]Table 1'!$A$5:$I$55, 3, FALSE)</f>
        <v>0.98</v>
      </c>
      <c r="F20" s="22">
        <f>VLOOKUP($A20, '[5]Table 1'!$A$5:$I$55, 4, FALSE)</f>
        <v>0.77</v>
      </c>
      <c r="G20" s="50">
        <f>VLOOKUP($A20, '[5]Table 1'!$A$5:$I$55, 5, FALSE)</f>
        <v>1.04</v>
      </c>
      <c r="H20" s="22">
        <f>VLOOKUP($A20, '[5]Table 1'!$A$5:$I$55, 6, FALSE)</f>
        <v>0.65</v>
      </c>
      <c r="I20" s="22">
        <f>VLOOKUP($A20, '[5]Table 1'!$A$5:$I$55, 7, FALSE)</f>
        <v>0.61</v>
      </c>
      <c r="J20" s="25">
        <f>VLOOKUP($A20, '[5]Table 1'!$A$5:$I$55, 8, FALSE)</f>
        <v>0.68</v>
      </c>
      <c r="K20" s="50">
        <f>VLOOKUP($A20, '[5]Table 1'!$A$5:$I$55, 9, FALSE)</f>
        <v>0.75</v>
      </c>
    </row>
    <row r="21" spans="1:11" x14ac:dyDescent="0.25">
      <c r="A21" s="106" t="s">
        <v>104</v>
      </c>
      <c r="B21" s="107" t="s">
        <v>105</v>
      </c>
      <c r="C21" s="118">
        <f>VLOOKUP($B21, [4]Sheet1!$B$2:$C$53, 2, FALSE)</f>
        <v>342525563</v>
      </c>
      <c r="D21" s="22">
        <f>VLOOKUP($A21, '[5]Table 1'!$A$5:$I$55, 2, FALSE)</f>
        <v>1.1599999999999999</v>
      </c>
      <c r="E21" s="22">
        <f>VLOOKUP($A21, '[5]Table 1'!$A$5:$I$55, 3, FALSE)</f>
        <v>1.19</v>
      </c>
      <c r="F21" s="22">
        <f>VLOOKUP($A21, '[5]Table 1'!$A$5:$I$55, 4, FALSE)</f>
        <v>1.27</v>
      </c>
      <c r="G21" s="50">
        <f>VLOOKUP($A21, '[5]Table 1'!$A$5:$I$55, 5, FALSE)</f>
        <v>0.99</v>
      </c>
      <c r="H21" s="22">
        <f>VLOOKUP($A21, '[5]Table 1'!$A$5:$I$55, 6, FALSE)</f>
        <v>0.8</v>
      </c>
      <c r="I21" s="22">
        <f>VLOOKUP($A21, '[5]Table 1'!$A$5:$I$55, 7, FALSE)</f>
        <v>0.74</v>
      </c>
      <c r="J21" s="25">
        <f>VLOOKUP($A21, '[5]Table 1'!$A$5:$I$55, 8, FALSE)</f>
        <v>1.08</v>
      </c>
      <c r="K21" s="50">
        <f>VLOOKUP($A21, '[5]Table 1'!$A$5:$I$55, 9, FALSE)</f>
        <v>0.75</v>
      </c>
    </row>
    <row r="22" spans="1:11" x14ac:dyDescent="0.25">
      <c r="A22" s="106" t="s">
        <v>28</v>
      </c>
      <c r="B22" s="107" t="s">
        <v>29</v>
      </c>
      <c r="C22" s="118">
        <f>VLOOKUP($B22, [4]Sheet1!$B$2:$C$53, 2, FALSE)</f>
        <v>2721715824</v>
      </c>
      <c r="D22" s="22">
        <f>VLOOKUP($A22, '[5]Table 1'!$A$5:$I$55, 2, FALSE)</f>
        <v>1.0900000000000001</v>
      </c>
      <c r="E22" s="22">
        <f>VLOOKUP($A22, '[5]Table 1'!$A$5:$I$55, 3, FALSE)</f>
        <v>1.1200000000000001</v>
      </c>
      <c r="F22" s="22">
        <f>VLOOKUP($A22, '[5]Table 1'!$A$5:$I$55, 4, FALSE)</f>
        <v>1.01</v>
      </c>
      <c r="G22" s="50">
        <f>VLOOKUP($A22, '[5]Table 1'!$A$5:$I$55, 5, FALSE)</f>
        <v>1.1299999999999999</v>
      </c>
      <c r="H22" s="22">
        <f>VLOOKUP($A22, '[5]Table 1'!$A$5:$I$55, 6, FALSE)</f>
        <v>0.75</v>
      </c>
      <c r="I22" s="22">
        <f>VLOOKUP($A22, '[5]Table 1'!$A$5:$I$55, 7, FALSE)</f>
        <v>0.7</v>
      </c>
      <c r="J22" s="25">
        <f>VLOOKUP($A22, '[5]Table 1'!$A$5:$I$55, 8, FALSE)</f>
        <v>0.81</v>
      </c>
      <c r="K22" s="50">
        <f>VLOOKUP($A22, '[5]Table 1'!$A$5:$I$55, 9, FALSE)</f>
        <v>0.83</v>
      </c>
    </row>
    <row r="23" spans="1:11" x14ac:dyDescent="0.25">
      <c r="A23" s="106" t="s">
        <v>96</v>
      </c>
      <c r="B23" s="107" t="s">
        <v>97</v>
      </c>
      <c r="C23" s="118">
        <f>VLOOKUP($B23, [4]Sheet1!$B$2:$C$53, 2, FALSE)</f>
        <v>222758121</v>
      </c>
      <c r="D23" s="22">
        <f>VLOOKUP($A23, '[5]Table 1'!$A$5:$I$55, 2, FALSE)</f>
        <v>1.1100000000000001</v>
      </c>
      <c r="E23" s="22">
        <f>VLOOKUP($A23, '[5]Table 1'!$A$5:$I$55, 3, FALSE)</f>
        <v>1.22</v>
      </c>
      <c r="F23" s="22">
        <f>VLOOKUP($A23, '[5]Table 1'!$A$5:$I$55, 4, FALSE)</f>
        <v>0.96</v>
      </c>
      <c r="G23" s="50">
        <f>VLOOKUP($A23, '[5]Table 1'!$A$5:$I$55, 5, FALSE)</f>
        <v>1.02</v>
      </c>
      <c r="H23" s="22">
        <f>VLOOKUP($A23, '[5]Table 1'!$A$5:$I$55, 6, FALSE)</f>
        <v>0.74</v>
      </c>
      <c r="I23" s="22">
        <f>VLOOKUP($A23, '[5]Table 1'!$A$5:$I$55, 7, FALSE)</f>
        <v>0.74</v>
      </c>
      <c r="J23" s="25">
        <f>VLOOKUP($A23, '[5]Table 1'!$A$5:$I$55, 8, FALSE)</f>
        <v>0.74</v>
      </c>
      <c r="K23" s="50">
        <f>VLOOKUP($A23, '[5]Table 1'!$A$5:$I$55, 9, FALSE)</f>
        <v>0.74</v>
      </c>
    </row>
    <row r="24" spans="1:11" x14ac:dyDescent="0.25">
      <c r="A24" s="106" t="s">
        <v>36</v>
      </c>
      <c r="B24" s="107" t="s">
        <v>37</v>
      </c>
      <c r="C24" s="118">
        <f>VLOOKUP($B24, [4]Sheet1!$B$2:$C$53, 2, FALSE)</f>
        <v>1102182704</v>
      </c>
      <c r="D24" s="22">
        <f>VLOOKUP($A24, '[5]Table 1'!$A$5:$I$55, 2, FALSE)</f>
        <v>0.87</v>
      </c>
      <c r="E24" s="22">
        <f>VLOOKUP($A24, '[5]Table 1'!$A$5:$I$55, 3, FALSE)</f>
        <v>0.86</v>
      </c>
      <c r="F24" s="22">
        <f>VLOOKUP($A24, '[5]Table 1'!$A$5:$I$55, 4, FALSE)</f>
        <v>0.84</v>
      </c>
      <c r="G24" s="50">
        <f>VLOOKUP($A24, '[5]Table 1'!$A$5:$I$55, 5, FALSE)</f>
        <v>0.92</v>
      </c>
      <c r="H24" s="22">
        <f>VLOOKUP($A24, '[5]Table 1'!$A$5:$I$55, 6, FALSE)</f>
        <v>0.62</v>
      </c>
      <c r="I24" s="22">
        <f>VLOOKUP($A24, '[5]Table 1'!$A$5:$I$55, 7, FALSE)</f>
        <v>0.55000000000000004</v>
      </c>
      <c r="J24" s="25">
        <f>VLOOKUP($A24, '[5]Table 1'!$A$5:$I$55, 8, FALSE)</f>
        <v>0.78</v>
      </c>
      <c r="K24" s="50">
        <f>VLOOKUP($A24, '[5]Table 1'!$A$5:$I$55, 9, FALSE)</f>
        <v>0.69</v>
      </c>
    </row>
    <row r="25" spans="1:11" x14ac:dyDescent="0.25">
      <c r="A25" s="106" t="s">
        <v>38</v>
      </c>
      <c r="B25" s="107" t="s">
        <v>39</v>
      </c>
      <c r="C25" s="118">
        <f>VLOOKUP($B25, [4]Sheet1!$B$2:$C$53, 2, FALSE)</f>
        <v>0</v>
      </c>
      <c r="D25" s="22">
        <f>VLOOKUP($A25, '[5]Table 1'!$A$5:$I$55, 2, FALSE)</f>
        <v>1.1200000000000001</v>
      </c>
      <c r="E25" s="22">
        <f>VLOOKUP($A25, '[5]Table 1'!$A$5:$I$55, 3, FALSE)</f>
        <v>1.18</v>
      </c>
      <c r="F25" s="22">
        <f>VLOOKUP($A25, '[5]Table 1'!$A$5:$I$55, 4, FALSE)</f>
        <v>0.97</v>
      </c>
      <c r="G25" s="50">
        <f>VLOOKUP($A25, '[5]Table 1'!$A$5:$I$55, 5, FALSE)</f>
        <v>1.18</v>
      </c>
      <c r="H25" s="22">
        <f>VLOOKUP($A25, '[5]Table 1'!$A$5:$I$55, 6, FALSE)</f>
        <v>0.82</v>
      </c>
      <c r="I25" s="22">
        <f>VLOOKUP($A25, '[5]Table 1'!$A$5:$I$55, 7, FALSE)</f>
        <v>0.77</v>
      </c>
      <c r="J25" s="25">
        <f>VLOOKUP($A25, '[5]Table 1'!$A$5:$I$55, 8, FALSE)</f>
        <v>0.86</v>
      </c>
      <c r="K25" s="50">
        <f>VLOOKUP($A25, '[5]Table 1'!$A$5:$I$55, 9, FALSE)</f>
        <v>0.9</v>
      </c>
    </row>
    <row r="26" spans="1:11" x14ac:dyDescent="0.25">
      <c r="A26" s="106" t="s">
        <v>62</v>
      </c>
      <c r="B26" s="107" t="s">
        <v>63</v>
      </c>
      <c r="C26" s="118">
        <f>VLOOKUP($B26, [4]Sheet1!$B$2:$C$53, 2, FALSE)</f>
        <v>240554464</v>
      </c>
      <c r="D26" s="22">
        <f>VLOOKUP($A26, '[5]Table 1'!$A$5:$I$55, 2, FALSE)</f>
        <v>1.17</v>
      </c>
      <c r="E26" s="22">
        <f>VLOOKUP($A26, '[5]Table 1'!$A$5:$I$55, 3, FALSE)</f>
        <v>1.18</v>
      </c>
      <c r="F26" s="22">
        <f>VLOOKUP($A26, '[5]Table 1'!$A$5:$I$55, 4, FALSE)</f>
        <v>1.1200000000000001</v>
      </c>
      <c r="G26" s="50">
        <f>VLOOKUP($A26, '[5]Table 1'!$A$5:$I$55, 5, FALSE)</f>
        <v>1.23</v>
      </c>
      <c r="H26" s="22">
        <f>VLOOKUP($A26, '[5]Table 1'!$A$5:$I$55, 6, FALSE)</f>
        <v>0.87</v>
      </c>
      <c r="I26" s="22">
        <f>VLOOKUP($A26, '[5]Table 1'!$A$5:$I$55, 7, FALSE)</f>
        <v>0.76</v>
      </c>
      <c r="J26" s="25">
        <f>VLOOKUP($A26, '[5]Table 1'!$A$5:$I$55, 8, FALSE)</f>
        <v>1.01</v>
      </c>
      <c r="K26" s="50">
        <f>VLOOKUP($A26, '[5]Table 1'!$A$5:$I$55, 9, FALSE)</f>
        <v>0.96</v>
      </c>
    </row>
    <row r="27" spans="1:11" x14ac:dyDescent="0.25">
      <c r="A27" s="106" t="s">
        <v>18</v>
      </c>
      <c r="B27" s="107" t="s">
        <v>19</v>
      </c>
      <c r="C27" s="118">
        <f>VLOOKUP($B27, [4]Sheet1!$B$2:$C$53, 2, FALSE)</f>
        <v>115933271</v>
      </c>
      <c r="D27" s="22">
        <f>VLOOKUP($A27, '[5]Table 1'!$A$5:$I$55, 2, FALSE)</f>
        <v>1.0900000000000001</v>
      </c>
      <c r="E27" s="22">
        <f>VLOOKUP($A27, '[5]Table 1'!$A$5:$I$55, 3, FALSE)</f>
        <v>1.25</v>
      </c>
      <c r="F27" s="22">
        <f>VLOOKUP($A27, '[5]Table 1'!$A$5:$I$55, 4, FALSE)</f>
        <v>0.85</v>
      </c>
      <c r="G27" s="50">
        <f>VLOOKUP($A27, '[5]Table 1'!$A$5:$I$55, 5, FALSE)</f>
        <v>0.99</v>
      </c>
      <c r="H27" s="22">
        <f>VLOOKUP($A27, '[5]Table 1'!$A$5:$I$55, 6, FALSE)</f>
        <v>0.71</v>
      </c>
      <c r="I27" s="22">
        <f>VLOOKUP($A27, '[5]Table 1'!$A$5:$I$55, 7, FALSE)</f>
        <v>0.74</v>
      </c>
      <c r="J27" s="25">
        <f>VLOOKUP($A27, '[5]Table 1'!$A$5:$I$55, 8, FALSE)</f>
        <v>0.68</v>
      </c>
      <c r="K27" s="50">
        <f>VLOOKUP($A27, '[5]Table 1'!$A$5:$I$55, 9, FALSE)</f>
        <v>0.69</v>
      </c>
    </row>
    <row r="28" spans="1:11" x14ac:dyDescent="0.25">
      <c r="A28" s="106" t="s">
        <v>60</v>
      </c>
      <c r="B28" s="107" t="s">
        <v>61</v>
      </c>
      <c r="C28" s="118">
        <f>VLOOKUP($B28, [4]Sheet1!$B$2:$C$53, 2, FALSE)</f>
        <v>0</v>
      </c>
      <c r="D28" s="22">
        <f>VLOOKUP($A28, '[5]Table 1'!$A$5:$I$55, 2, FALSE)</f>
        <v>1.51</v>
      </c>
      <c r="E28" s="22">
        <f>VLOOKUP($A28, '[5]Table 1'!$A$5:$I$55, 3, FALSE)</f>
        <v>1.62</v>
      </c>
      <c r="F28" s="22">
        <f>VLOOKUP($A28, '[5]Table 1'!$A$5:$I$55, 4, FALSE)</f>
        <v>1.39</v>
      </c>
      <c r="G28" s="50">
        <f>VLOOKUP($A28, '[5]Table 1'!$A$5:$I$55, 5, FALSE)</f>
        <v>1.39</v>
      </c>
      <c r="H28" s="22">
        <f>VLOOKUP($A28, '[5]Table 1'!$A$5:$I$55, 6, FALSE)</f>
        <v>0.97</v>
      </c>
      <c r="I28" s="22">
        <f>VLOOKUP($A28, '[5]Table 1'!$A$5:$I$55, 7, FALSE)</f>
        <v>0.94</v>
      </c>
      <c r="J28" s="25">
        <f>VLOOKUP($A28, '[5]Table 1'!$A$5:$I$55, 8, FALSE)</f>
        <v>1.05</v>
      </c>
      <c r="K28" s="50">
        <f>VLOOKUP($A28, '[5]Table 1'!$A$5:$I$55, 9, FALSE)</f>
        <v>0.96</v>
      </c>
    </row>
    <row r="29" spans="1:11" x14ac:dyDescent="0.25">
      <c r="A29" s="106" t="s">
        <v>100</v>
      </c>
      <c r="B29" s="107" t="s">
        <v>101</v>
      </c>
      <c r="C29" s="118">
        <f>VLOOKUP($B29, [4]Sheet1!$B$2:$C$53, 2, FALSE)</f>
        <v>1860030486</v>
      </c>
      <c r="D29" s="22">
        <f>VLOOKUP($A29, '[5]Table 1'!$A$5:$I$55, 2, FALSE)</f>
        <v>1.22</v>
      </c>
      <c r="E29" s="22">
        <f>VLOOKUP($A29, '[5]Table 1'!$A$5:$I$55, 3, FALSE)</f>
        <v>1.28</v>
      </c>
      <c r="F29" s="22">
        <f>VLOOKUP($A29, '[5]Table 1'!$A$5:$I$55, 4, FALSE)</f>
        <v>1.1499999999999999</v>
      </c>
      <c r="G29" s="50">
        <f>VLOOKUP($A29, '[5]Table 1'!$A$5:$I$55, 5, FALSE)</f>
        <v>1.18</v>
      </c>
      <c r="H29" s="22">
        <f>VLOOKUP($A29, '[5]Table 1'!$A$5:$I$55, 6, FALSE)</f>
        <v>0.8</v>
      </c>
      <c r="I29" s="22">
        <f>VLOOKUP($A29, '[5]Table 1'!$A$5:$I$55, 7, FALSE)</f>
        <v>0.74</v>
      </c>
      <c r="J29" s="25">
        <f>VLOOKUP($A29, '[5]Table 1'!$A$5:$I$55, 8, FALSE)</f>
        <v>0.91</v>
      </c>
      <c r="K29" s="50">
        <f>VLOOKUP($A29, '[5]Table 1'!$A$5:$I$55, 9, FALSE)</f>
        <v>0.82</v>
      </c>
    </row>
    <row r="30" spans="1:11" x14ac:dyDescent="0.25">
      <c r="A30" s="106" t="s">
        <v>76</v>
      </c>
      <c r="B30" s="107" t="s">
        <v>77</v>
      </c>
      <c r="C30" s="118">
        <f>VLOOKUP($B30, [4]Sheet1!$B$2:$C$53, 2, FALSE)</f>
        <v>0</v>
      </c>
      <c r="D30" s="22">
        <f>VLOOKUP($A30, '[5]Table 1'!$A$5:$I$55, 2, FALSE)</f>
        <v>2.04</v>
      </c>
      <c r="E30" s="22">
        <f>VLOOKUP($A30, '[5]Table 1'!$A$5:$I$55, 3, FALSE)</f>
        <v>2.2599999999999998</v>
      </c>
      <c r="F30" s="22">
        <f>VLOOKUP($A30, '[5]Table 1'!$A$5:$I$55, 4, FALSE)</f>
        <v>1.35</v>
      </c>
      <c r="G30" s="50">
        <f>VLOOKUP($A30, '[5]Table 1'!$A$5:$I$55, 5, FALSE)</f>
        <v>1.97</v>
      </c>
      <c r="H30" s="22">
        <f>VLOOKUP($A30, '[5]Table 1'!$A$5:$I$55, 6, FALSE)</f>
        <v>1.34</v>
      </c>
      <c r="I30" s="22">
        <f>VLOOKUP($A30, '[5]Table 1'!$A$5:$I$55, 7, FALSE)</f>
        <v>1.35</v>
      </c>
      <c r="J30" s="25">
        <f>VLOOKUP($A30, '[5]Table 1'!$A$5:$I$55, 8, FALSE)</f>
        <v>1.24</v>
      </c>
      <c r="K30" s="50">
        <f>VLOOKUP($A30, '[5]Table 1'!$A$5:$I$55, 9, FALSE)</f>
        <v>1.39</v>
      </c>
    </row>
    <row r="31" spans="1:11" x14ac:dyDescent="0.25">
      <c r="A31" s="106" t="s">
        <v>98</v>
      </c>
      <c r="B31" s="107" t="s">
        <v>99</v>
      </c>
      <c r="C31" s="118">
        <f>VLOOKUP($B31, [4]Sheet1!$B$2:$C$53, 2, FALSE)</f>
        <v>272735987</v>
      </c>
      <c r="D31" s="22">
        <f>VLOOKUP($A31, '[5]Table 1'!$A$5:$I$55, 2, FALSE)</f>
        <v>1.22</v>
      </c>
      <c r="E31" s="22">
        <f>VLOOKUP($A31, '[5]Table 1'!$A$5:$I$55, 3, FALSE)</f>
        <v>1.37</v>
      </c>
      <c r="F31" s="22">
        <f>VLOOKUP($A31, '[5]Table 1'!$A$5:$I$55, 4, FALSE)</f>
        <v>1</v>
      </c>
      <c r="G31" s="50">
        <f>VLOOKUP($A31, '[5]Table 1'!$A$5:$I$55, 5, FALSE)</f>
        <v>1.1100000000000001</v>
      </c>
      <c r="H31" s="22">
        <f>VLOOKUP($A31, '[5]Table 1'!$A$5:$I$55, 6, FALSE)</f>
        <v>0.8</v>
      </c>
      <c r="I31" s="22">
        <f>VLOOKUP($A31, '[5]Table 1'!$A$5:$I$55, 7, FALSE)</f>
        <v>0.81</v>
      </c>
      <c r="J31" s="25">
        <f>VLOOKUP($A31, '[5]Table 1'!$A$5:$I$55, 8, FALSE)</f>
        <v>0.82</v>
      </c>
      <c r="K31" s="50">
        <f>VLOOKUP($A31, '[5]Table 1'!$A$5:$I$55, 9, FALSE)</f>
        <v>0.77</v>
      </c>
    </row>
    <row r="32" spans="1:11" x14ac:dyDescent="0.25">
      <c r="A32" s="106" t="s">
        <v>66</v>
      </c>
      <c r="B32" s="107" t="s">
        <v>67</v>
      </c>
      <c r="C32" s="118">
        <f>VLOOKUP($B32, [4]Sheet1!$B$2:$C$53, 2, FALSE)</f>
        <v>0</v>
      </c>
      <c r="D32" s="22">
        <f>VLOOKUP($A32, '[5]Table 1'!$A$5:$I$55, 2, FALSE)</f>
        <v>0.91</v>
      </c>
      <c r="E32" s="22">
        <f>VLOOKUP($A32, '[5]Table 1'!$A$5:$I$55, 3, FALSE)</f>
        <v>1.03</v>
      </c>
      <c r="F32" s="22">
        <f>VLOOKUP($A32, '[5]Table 1'!$A$5:$I$55, 4, FALSE)</f>
        <v>0.78</v>
      </c>
      <c r="G32" s="50">
        <f>VLOOKUP($A32, '[5]Table 1'!$A$5:$I$55, 5, FALSE)</f>
        <v>0.75</v>
      </c>
      <c r="H32" s="22">
        <f>VLOOKUP($A32, '[5]Table 1'!$A$5:$I$55, 6, FALSE)</f>
        <v>0.57999999999999996</v>
      </c>
      <c r="I32" s="22">
        <f>VLOOKUP($A32, '[5]Table 1'!$A$5:$I$55, 7, FALSE)</f>
        <v>0.6</v>
      </c>
      <c r="J32" s="25">
        <f>VLOOKUP($A32, '[5]Table 1'!$A$5:$I$55, 8, FALSE)</f>
        <v>0.61</v>
      </c>
      <c r="K32" s="50">
        <f>VLOOKUP($A32, '[5]Table 1'!$A$5:$I$55, 9, FALSE)</f>
        <v>0.51</v>
      </c>
    </row>
    <row r="33" spans="1:11" x14ac:dyDescent="0.25">
      <c r="A33" s="106" t="s">
        <v>108</v>
      </c>
      <c r="B33" s="107" t="s">
        <v>109</v>
      </c>
      <c r="C33" s="118">
        <f>VLOOKUP($B33, [4]Sheet1!$B$2:$C$53, 2, FALSE)</f>
        <v>0</v>
      </c>
      <c r="D33" s="22">
        <f>VLOOKUP($A33, '[5]Table 1'!$A$5:$I$55, 2, FALSE)</f>
        <v>1.76</v>
      </c>
      <c r="E33" s="22">
        <f>VLOOKUP($A33, '[5]Table 1'!$A$5:$I$55, 3, FALSE)</f>
        <v>1.66</v>
      </c>
      <c r="F33" s="22">
        <f>VLOOKUP($A33, '[5]Table 1'!$A$5:$I$55, 4, FALSE)</f>
        <v>2.31</v>
      </c>
      <c r="G33" s="50">
        <f>VLOOKUP($A33, '[5]Table 1'!$A$5:$I$55, 5, FALSE)</f>
        <v>1.31</v>
      </c>
      <c r="H33" s="22">
        <f>VLOOKUP($A33, '[5]Table 1'!$A$5:$I$55, 6, FALSE)</f>
        <v>1.1599999999999999</v>
      </c>
      <c r="I33" s="22">
        <f>VLOOKUP($A33, '[5]Table 1'!$A$5:$I$55, 7, FALSE)</f>
        <v>0.96</v>
      </c>
      <c r="J33" s="25">
        <f>VLOOKUP($A33, '[5]Table 1'!$A$5:$I$55, 8, FALSE)</f>
        <v>1.74</v>
      </c>
      <c r="K33" s="50">
        <f>VLOOKUP($A33, '[5]Table 1'!$A$5:$I$55, 9, FALSE)</f>
        <v>0.89</v>
      </c>
    </row>
    <row r="34" spans="1:11" x14ac:dyDescent="0.25">
      <c r="A34" s="106" t="s">
        <v>82</v>
      </c>
      <c r="B34" s="107" t="s">
        <v>83</v>
      </c>
      <c r="C34" s="118">
        <f>VLOOKUP($B34, [4]Sheet1!$B$2:$C$53, 2, FALSE)</f>
        <v>1625220939</v>
      </c>
      <c r="D34" s="22">
        <f>VLOOKUP($A34, '[5]Table 1'!$A$5:$I$55, 2, FALSE)</f>
        <v>1.19</v>
      </c>
      <c r="E34" s="22">
        <f>VLOOKUP($A34, '[5]Table 1'!$A$5:$I$55, 3, FALSE)</f>
        <v>1.21</v>
      </c>
      <c r="F34" s="22">
        <f>VLOOKUP($A34, '[5]Table 1'!$A$5:$I$55, 4, FALSE)</f>
        <v>1.28</v>
      </c>
      <c r="G34" s="50">
        <f>VLOOKUP($A34, '[5]Table 1'!$A$5:$I$55, 5, FALSE)</f>
        <v>1.02</v>
      </c>
      <c r="H34" s="22">
        <f>VLOOKUP($A34, '[5]Table 1'!$A$5:$I$55, 6, FALSE)</f>
        <v>0.81</v>
      </c>
      <c r="I34" s="22">
        <f>VLOOKUP($A34, '[5]Table 1'!$A$5:$I$55, 7, FALSE)</f>
        <v>0.72</v>
      </c>
      <c r="J34" s="25">
        <f>VLOOKUP($A34, '[5]Table 1'!$A$5:$I$55, 8, FALSE)</f>
        <v>1.04</v>
      </c>
      <c r="K34" s="50">
        <f>VLOOKUP($A34, '[5]Table 1'!$A$5:$I$55, 9, FALSE)</f>
        <v>0.71</v>
      </c>
    </row>
    <row r="35" spans="1:11" x14ac:dyDescent="0.25">
      <c r="A35" s="106" t="s">
        <v>30</v>
      </c>
      <c r="B35" s="107" t="s">
        <v>31</v>
      </c>
      <c r="C35" s="118">
        <f>VLOOKUP($B35, [4]Sheet1!$B$2:$C$53, 2, FALSE)</f>
        <v>1250220679</v>
      </c>
      <c r="D35" s="22">
        <f>VLOOKUP($A35, '[5]Table 1'!$A$5:$I$55, 2, FALSE)</f>
        <v>0.97</v>
      </c>
      <c r="E35" s="22">
        <f>VLOOKUP($A35, '[5]Table 1'!$A$5:$I$55, 3, FALSE)</f>
        <v>1.01</v>
      </c>
      <c r="F35" s="22">
        <f>VLOOKUP($A35, '[5]Table 1'!$A$5:$I$55, 4, FALSE)</f>
        <v>0.84</v>
      </c>
      <c r="G35" s="50">
        <f>VLOOKUP($A35, '[5]Table 1'!$A$5:$I$55, 5, FALSE)</f>
        <v>1.04</v>
      </c>
      <c r="H35" s="22">
        <f>VLOOKUP($A35, '[5]Table 1'!$A$5:$I$55, 6, FALSE)</f>
        <v>0.62</v>
      </c>
      <c r="I35" s="22">
        <f>VLOOKUP($A35, '[5]Table 1'!$A$5:$I$55, 7, FALSE)</f>
        <v>0.56999999999999995</v>
      </c>
      <c r="J35" s="25">
        <f>VLOOKUP($A35, '[5]Table 1'!$A$5:$I$55, 8, FALSE)</f>
        <v>0.66</v>
      </c>
      <c r="K35" s="50">
        <f>VLOOKUP($A35, '[5]Table 1'!$A$5:$I$55, 9, FALSE)</f>
        <v>0.68</v>
      </c>
    </row>
    <row r="36" spans="1:11" x14ac:dyDescent="0.25">
      <c r="A36" s="106" t="s">
        <v>78</v>
      </c>
      <c r="B36" s="107" t="s">
        <v>79</v>
      </c>
      <c r="C36" s="118">
        <f>VLOOKUP($B36, [4]Sheet1!$B$2:$C$53, 2, FALSE)</f>
        <v>4905977655</v>
      </c>
      <c r="D36" s="22">
        <f>VLOOKUP($A36, '[5]Table 1'!$A$5:$I$55, 2, FALSE)</f>
        <v>0.92</v>
      </c>
      <c r="E36" s="22">
        <f>VLOOKUP($A36, '[5]Table 1'!$A$5:$I$55, 3, FALSE)</f>
        <v>0.98</v>
      </c>
      <c r="F36" s="22">
        <f>VLOOKUP($A36, '[5]Table 1'!$A$5:$I$55, 4, FALSE)</f>
        <v>0.83</v>
      </c>
      <c r="G36" s="50">
        <f>VLOOKUP($A36, '[5]Table 1'!$A$5:$I$55, 5, FALSE)</f>
        <v>0.85</v>
      </c>
      <c r="H36" s="22">
        <f>VLOOKUP($A36, '[5]Table 1'!$A$5:$I$55, 6, FALSE)</f>
        <v>0.61</v>
      </c>
      <c r="I36" s="22">
        <f>VLOOKUP($A36, '[5]Table 1'!$A$5:$I$55, 7, FALSE)</f>
        <v>0.59</v>
      </c>
      <c r="J36" s="25">
        <f>VLOOKUP($A36, '[5]Table 1'!$A$5:$I$55, 8, FALSE)</f>
        <v>0.65</v>
      </c>
      <c r="K36" s="50">
        <f>VLOOKUP($A36, '[5]Table 1'!$A$5:$I$55, 9, FALSE)</f>
        <v>0.63</v>
      </c>
    </row>
    <row r="37" spans="1:11" x14ac:dyDescent="0.25">
      <c r="A37" s="106" t="s">
        <v>6</v>
      </c>
      <c r="B37" s="107" t="s">
        <v>7</v>
      </c>
      <c r="C37" s="118">
        <f>VLOOKUP($B37, [4]Sheet1!$B$2:$C$53, 2, FALSE)</f>
        <v>0</v>
      </c>
      <c r="D37" s="22">
        <f>VLOOKUP($A37, '[5]Table 1'!$A$5:$I$55, 2, FALSE)</f>
        <v>1</v>
      </c>
      <c r="E37" s="22">
        <f>VLOOKUP($A37, '[5]Table 1'!$A$5:$I$55, 3, FALSE)</f>
        <v>1</v>
      </c>
      <c r="F37" s="22">
        <f>VLOOKUP($A37, '[5]Table 1'!$A$5:$I$55, 4, FALSE)</f>
        <v>1</v>
      </c>
      <c r="G37" s="50">
        <f>VLOOKUP($A37, '[5]Table 1'!$A$5:$I$55, 5, FALSE)</f>
        <v>1</v>
      </c>
      <c r="H37" s="22">
        <f>VLOOKUP($A37, '[5]Table 1'!$A$5:$I$55, 6, FALSE)</f>
        <v>0.66</v>
      </c>
      <c r="I37" s="22">
        <f>VLOOKUP($A37, '[5]Table 1'!$A$5:$I$55, 7, FALSE)</f>
        <v>0.59</v>
      </c>
      <c r="J37" s="25">
        <f>VLOOKUP($A37, '[5]Table 1'!$A$5:$I$55, 8, FALSE)</f>
        <v>0.78</v>
      </c>
      <c r="K37" s="50">
        <f>VLOOKUP($A37, '[5]Table 1'!$A$5:$I$55, 9, FALSE)</f>
        <v>0.7</v>
      </c>
    </row>
    <row r="38" spans="1:11" x14ac:dyDescent="0.25">
      <c r="A38" s="106" t="s">
        <v>106</v>
      </c>
      <c r="B38" s="107" t="s">
        <v>107</v>
      </c>
      <c r="C38" s="118">
        <f>VLOOKUP($B38, [4]Sheet1!$B$2:$C$53, 2, FALSE)</f>
        <v>1855791736</v>
      </c>
      <c r="D38" s="22">
        <f>VLOOKUP($A38, '[5]Table 1'!$A$5:$I$55, 2, FALSE)</f>
        <v>1.08</v>
      </c>
      <c r="E38" s="22">
        <f>VLOOKUP($A38, '[5]Table 1'!$A$5:$I$55, 3, FALSE)</f>
        <v>0.97</v>
      </c>
      <c r="F38" s="22">
        <f>VLOOKUP($A38, '[5]Table 1'!$A$5:$I$55, 4, FALSE)</f>
        <v>1.1000000000000001</v>
      </c>
      <c r="G38" s="50">
        <f>VLOOKUP($A38, '[5]Table 1'!$A$5:$I$55, 5, FALSE)</f>
        <v>1.33</v>
      </c>
      <c r="H38" s="22">
        <f>VLOOKUP($A38, '[5]Table 1'!$A$5:$I$55, 6, FALSE)</f>
        <v>0.77</v>
      </c>
      <c r="I38" s="22">
        <f>VLOOKUP($A38, '[5]Table 1'!$A$5:$I$55, 7, FALSE)</f>
        <v>0.6</v>
      </c>
      <c r="J38" s="25">
        <f>VLOOKUP($A38, '[5]Table 1'!$A$5:$I$55, 8, FALSE)</f>
        <v>0.93</v>
      </c>
      <c r="K38" s="50">
        <f>VLOOKUP($A38, '[5]Table 1'!$A$5:$I$55, 9, FALSE)</f>
        <v>1.01</v>
      </c>
    </row>
    <row r="39" spans="1:11" x14ac:dyDescent="0.25">
      <c r="A39" s="106" t="s">
        <v>52</v>
      </c>
      <c r="B39" s="107" t="s">
        <v>53</v>
      </c>
      <c r="C39" s="118">
        <f>VLOOKUP($B39, [4]Sheet1!$B$2:$C$53, 2, FALSE)</f>
        <v>4039571332</v>
      </c>
      <c r="D39" s="22">
        <f>VLOOKUP($A39, '[5]Table 1'!$A$5:$I$55, 2, FALSE)</f>
        <v>0.76</v>
      </c>
      <c r="E39" s="22">
        <f>VLOOKUP($A39, '[5]Table 1'!$A$5:$I$55, 3, FALSE)</f>
        <v>0.74</v>
      </c>
      <c r="F39" s="22">
        <f>VLOOKUP($A39, '[5]Table 1'!$A$5:$I$55, 4, FALSE)</f>
        <v>0.82</v>
      </c>
      <c r="G39" s="50">
        <f>VLOOKUP($A39, '[5]Table 1'!$A$5:$I$55, 5, FALSE)</f>
        <v>0.7</v>
      </c>
      <c r="H39" s="22">
        <f>VLOOKUP($A39, '[5]Table 1'!$A$5:$I$55, 6, FALSE)</f>
        <v>0.51</v>
      </c>
      <c r="I39" s="22">
        <f>VLOOKUP($A39, '[5]Table 1'!$A$5:$I$55, 7, FALSE)</f>
        <v>0.46</v>
      </c>
      <c r="J39" s="25">
        <f>VLOOKUP($A39, '[5]Table 1'!$A$5:$I$55, 8, FALSE)</f>
        <v>0.61</v>
      </c>
      <c r="K39" s="50">
        <f>VLOOKUP($A39, '[5]Table 1'!$A$5:$I$55, 9, FALSE)</f>
        <v>0.5</v>
      </c>
    </row>
    <row r="40" spans="1:11" x14ac:dyDescent="0.25">
      <c r="A40" s="106" t="s">
        <v>84</v>
      </c>
      <c r="B40" s="107" t="s">
        <v>85</v>
      </c>
      <c r="C40" s="118">
        <f>VLOOKUP($B40, [4]Sheet1!$B$2:$C$53, 2, FALSE)</f>
        <v>6372426943</v>
      </c>
      <c r="D40" s="22">
        <f>VLOOKUP($A40, '[5]Table 1'!$A$5:$I$55, 2, FALSE)</f>
        <v>1.03</v>
      </c>
      <c r="E40" s="22">
        <f>VLOOKUP($A40, '[5]Table 1'!$A$5:$I$55, 3, FALSE)</f>
        <v>0.93</v>
      </c>
      <c r="F40" s="22">
        <f>VLOOKUP($A40, '[5]Table 1'!$A$5:$I$55, 4, FALSE)</f>
        <v>1.5</v>
      </c>
      <c r="G40" s="50">
        <f>VLOOKUP($A40, '[5]Table 1'!$A$5:$I$55, 5, FALSE)</f>
        <v>0.66</v>
      </c>
      <c r="H40" s="22">
        <f>VLOOKUP($A40, '[5]Table 1'!$A$5:$I$55, 6, FALSE)</f>
        <v>0.7</v>
      </c>
      <c r="I40" s="22">
        <f>VLOOKUP($A40, '[5]Table 1'!$A$5:$I$55, 7, FALSE)</f>
        <v>0.56000000000000005</v>
      </c>
      <c r="J40" s="25">
        <f>VLOOKUP($A40, '[5]Table 1'!$A$5:$I$55, 8, FALSE)</f>
        <v>1.1499999999999999</v>
      </c>
      <c r="K40" s="50">
        <f>VLOOKUP($A40, '[5]Table 1'!$A$5:$I$55, 9, FALSE)</f>
        <v>0.49</v>
      </c>
    </row>
    <row r="41" spans="1:11" x14ac:dyDescent="0.25">
      <c r="A41" s="106" t="s">
        <v>34</v>
      </c>
      <c r="B41" s="107" t="s">
        <v>35</v>
      </c>
      <c r="C41" s="118">
        <f>VLOOKUP($B41, [4]Sheet1!$B$2:$C$53, 2, FALSE)</f>
        <v>306053661</v>
      </c>
      <c r="D41" s="22">
        <f>VLOOKUP($A41, '[5]Table 1'!$A$5:$I$55, 2, FALSE)</f>
        <v>0.97</v>
      </c>
      <c r="E41" s="22">
        <f>VLOOKUP($A41, '[5]Table 1'!$A$5:$I$55, 3, FALSE)</f>
        <v>0.96</v>
      </c>
      <c r="F41" s="22">
        <f>VLOOKUP($A41, '[5]Table 1'!$A$5:$I$55, 4, FALSE)</f>
        <v>1.1399999999999999</v>
      </c>
      <c r="G41" s="50">
        <f>VLOOKUP($A41, '[5]Table 1'!$A$5:$I$55, 5, FALSE)</f>
        <v>0.89</v>
      </c>
      <c r="H41" s="22">
        <f>VLOOKUP($A41, '[5]Table 1'!$A$5:$I$55, 6, FALSE)</f>
        <v>0.62</v>
      </c>
      <c r="I41" s="22">
        <f>VLOOKUP($A41, '[5]Table 1'!$A$5:$I$55, 7, FALSE)</f>
        <v>0.54</v>
      </c>
      <c r="J41" s="25">
        <f>VLOOKUP($A41, '[5]Table 1'!$A$5:$I$55, 8, FALSE)</f>
        <v>0.86</v>
      </c>
      <c r="K41" s="50">
        <f>VLOOKUP($A41, '[5]Table 1'!$A$5:$I$55, 9, FALSE)</f>
        <v>0.64</v>
      </c>
    </row>
    <row r="42" spans="1:11" x14ac:dyDescent="0.25">
      <c r="A42" s="106" t="s">
        <v>22</v>
      </c>
      <c r="B42" s="107" t="s">
        <v>23</v>
      </c>
      <c r="C42" s="118">
        <f>VLOOKUP($B42, [4]Sheet1!$B$2:$C$53, 2, FALSE)</f>
        <v>708561474</v>
      </c>
      <c r="D42" s="22">
        <f>VLOOKUP($A42, '[5]Table 1'!$A$5:$I$55, 2, FALSE)</f>
        <v>1.54</v>
      </c>
      <c r="E42" s="22">
        <f>VLOOKUP($A42, '[5]Table 1'!$A$5:$I$55, 3, FALSE)</f>
        <v>1.71</v>
      </c>
      <c r="F42" s="22">
        <f>VLOOKUP($A42, '[5]Table 1'!$A$5:$I$55, 4, FALSE)</f>
        <v>1.08</v>
      </c>
      <c r="G42" s="50">
        <f>VLOOKUP($A42, '[5]Table 1'!$A$5:$I$55, 5, FALSE)</f>
        <v>1.43</v>
      </c>
      <c r="H42" s="22">
        <f>VLOOKUP($A42, '[5]Table 1'!$A$5:$I$55, 6, FALSE)</f>
        <v>0.97</v>
      </c>
      <c r="I42" s="22">
        <f>VLOOKUP($A42, '[5]Table 1'!$A$5:$I$55, 7, FALSE)</f>
        <v>0.98</v>
      </c>
      <c r="J42" s="25">
        <f>VLOOKUP($A42, '[5]Table 1'!$A$5:$I$55, 8, FALSE)</f>
        <v>0.94</v>
      </c>
      <c r="K42" s="50">
        <f>VLOOKUP($A42, '[5]Table 1'!$A$5:$I$55, 9, FALSE)</f>
        <v>0.96</v>
      </c>
    </row>
    <row r="43" spans="1:11" x14ac:dyDescent="0.25">
      <c r="A43" s="106" t="s">
        <v>10</v>
      </c>
      <c r="B43" s="107" t="s">
        <v>11</v>
      </c>
      <c r="C43" s="118">
        <f>VLOOKUP($B43, [4]Sheet1!$B$2:$C$53, 2, FALSE)</f>
        <v>0</v>
      </c>
      <c r="D43" s="22">
        <f>VLOOKUP($A43, '[5]Table 1'!$A$5:$I$55, 2, FALSE)</f>
        <v>2.42</v>
      </c>
      <c r="E43" s="22">
        <f>VLOOKUP($A43, '[5]Table 1'!$A$5:$I$55, 3, FALSE)</f>
        <v>2.76</v>
      </c>
      <c r="F43" s="22">
        <f>VLOOKUP($A43, '[5]Table 1'!$A$5:$I$55, 4, FALSE)</f>
        <v>1.85</v>
      </c>
      <c r="G43" s="50">
        <f>VLOOKUP($A43, '[5]Table 1'!$A$5:$I$55, 5, FALSE)</f>
        <v>2.2799999999999998</v>
      </c>
      <c r="H43" s="22">
        <f>VLOOKUP($A43, '[5]Table 1'!$A$5:$I$55, 6, FALSE)</f>
        <v>1.24</v>
      </c>
      <c r="I43" s="22">
        <f>VLOOKUP($A43, '[5]Table 1'!$A$5:$I$55, 7, FALSE)</f>
        <v>1.27</v>
      </c>
      <c r="J43" s="25">
        <f>VLOOKUP($A43, '[5]Table 1'!$A$5:$I$55, 8, FALSE)</f>
        <v>1.1399999999999999</v>
      </c>
      <c r="K43" s="50">
        <f>VLOOKUP($A43, '[5]Table 1'!$A$5:$I$55, 9, FALSE)</f>
        <v>1.28</v>
      </c>
    </row>
    <row r="44" spans="1:11" x14ac:dyDescent="0.25">
      <c r="A44" s="106" t="s">
        <v>50</v>
      </c>
      <c r="B44" s="107" t="s">
        <v>51</v>
      </c>
      <c r="C44" s="118">
        <f>VLOOKUP($B44, [4]Sheet1!$B$2:$C$53, 2, FALSE)</f>
        <v>3115206377</v>
      </c>
      <c r="D44" s="22">
        <f>VLOOKUP($A44, '[5]Table 1'!$A$5:$I$55, 2, FALSE)</f>
        <v>1.21</v>
      </c>
      <c r="E44" s="22">
        <f>VLOOKUP($A44, '[5]Table 1'!$A$5:$I$55, 3, FALSE)</f>
        <v>1.23</v>
      </c>
      <c r="F44" s="22">
        <f>VLOOKUP($A44, '[5]Table 1'!$A$5:$I$55, 4, FALSE)</f>
        <v>1.27</v>
      </c>
      <c r="G44" s="50">
        <f>VLOOKUP($A44, '[5]Table 1'!$A$5:$I$55, 5, FALSE)</f>
        <v>1.0900000000000001</v>
      </c>
      <c r="H44" s="22">
        <f>VLOOKUP($A44, '[5]Table 1'!$A$5:$I$55, 6, FALSE)</f>
        <v>0.77</v>
      </c>
      <c r="I44" s="22">
        <f>VLOOKUP($A44, '[5]Table 1'!$A$5:$I$55, 7, FALSE)</f>
        <v>0.68</v>
      </c>
      <c r="J44" s="25">
        <f>VLOOKUP($A44, '[5]Table 1'!$A$5:$I$55, 8, FALSE)</f>
        <v>0.97</v>
      </c>
      <c r="K44" s="50">
        <f>VLOOKUP($A44, '[5]Table 1'!$A$5:$I$55, 9, FALSE)</f>
        <v>0.72</v>
      </c>
    </row>
    <row r="45" spans="1:11" x14ac:dyDescent="0.25">
      <c r="A45" s="106" t="s">
        <v>102</v>
      </c>
      <c r="B45" s="107" t="s">
        <v>103</v>
      </c>
      <c r="C45" s="118">
        <f>VLOOKUP($B45, [4]Sheet1!$B$2:$C$53, 2, FALSE)</f>
        <v>1503083793</v>
      </c>
      <c r="D45" s="22">
        <f>VLOOKUP($A45, '[5]Table 1'!$A$5:$I$55, 2, FALSE)</f>
        <v>1.17</v>
      </c>
      <c r="E45" s="22">
        <f>VLOOKUP($A45, '[5]Table 1'!$A$5:$I$55, 3, FALSE)</f>
        <v>1.1599999999999999</v>
      </c>
      <c r="F45" s="22">
        <f>VLOOKUP($A45, '[5]Table 1'!$A$5:$I$55, 4, FALSE)</f>
        <v>1.38</v>
      </c>
      <c r="G45" s="50">
        <f>VLOOKUP($A45, '[5]Table 1'!$A$5:$I$55, 5, FALSE)</f>
        <v>0.88</v>
      </c>
      <c r="H45" s="22">
        <f>VLOOKUP($A45, '[5]Table 1'!$A$5:$I$55, 6, FALSE)</f>
        <v>0.76</v>
      </c>
      <c r="I45" s="22">
        <f>VLOOKUP($A45, '[5]Table 1'!$A$5:$I$55, 7, FALSE)</f>
        <v>0.66</v>
      </c>
      <c r="J45" s="25">
        <f>VLOOKUP($A45, '[5]Table 1'!$A$5:$I$55, 8, FALSE)</f>
        <v>1.07</v>
      </c>
      <c r="K45" s="50">
        <f>VLOOKUP($A45, '[5]Table 1'!$A$5:$I$55, 9, FALSE)</f>
        <v>0.59</v>
      </c>
    </row>
    <row r="46" spans="1:11" x14ac:dyDescent="0.25">
      <c r="A46" s="106" t="s">
        <v>64</v>
      </c>
      <c r="B46" s="107" t="s">
        <v>65</v>
      </c>
      <c r="C46" s="118">
        <f>VLOOKUP($B46, [4]Sheet1!$B$2:$C$53, 2, FALSE)</f>
        <v>332032928</v>
      </c>
      <c r="D46" s="22">
        <f>VLOOKUP($A46, '[5]Table 1'!$A$5:$I$55, 2, FALSE)</f>
        <v>1.1599999999999999</v>
      </c>
      <c r="E46" s="22">
        <f>VLOOKUP($A46, '[5]Table 1'!$A$5:$I$55, 3, FALSE)</f>
        <v>1.18</v>
      </c>
      <c r="F46" s="22">
        <f>VLOOKUP($A46, '[5]Table 1'!$A$5:$I$55, 4, FALSE)</f>
        <v>1.0900000000000001</v>
      </c>
      <c r="G46" s="50">
        <f>VLOOKUP($A46, '[5]Table 1'!$A$5:$I$55, 5, FALSE)</f>
        <v>1.22</v>
      </c>
      <c r="H46" s="22">
        <f>VLOOKUP($A46, '[5]Table 1'!$A$5:$I$55, 6, FALSE)</f>
        <v>0.74</v>
      </c>
      <c r="I46" s="22">
        <f>VLOOKUP($A46, '[5]Table 1'!$A$5:$I$55, 7, FALSE)</f>
        <v>0.68</v>
      </c>
      <c r="J46" s="25">
        <f>VLOOKUP($A46, '[5]Table 1'!$A$5:$I$55, 8, FALSE)</f>
        <v>0.8</v>
      </c>
      <c r="K46" s="50">
        <f>VLOOKUP($A46, '[5]Table 1'!$A$5:$I$55, 9, FALSE)</f>
        <v>0.83</v>
      </c>
    </row>
    <row r="47" spans="1:11" x14ac:dyDescent="0.25">
      <c r="A47" s="106" t="s">
        <v>16</v>
      </c>
      <c r="B47" s="107" t="s">
        <v>17</v>
      </c>
      <c r="C47" s="118">
        <f>VLOOKUP($B47, [4]Sheet1!$B$2:$C$53, 2, FALSE)</f>
        <v>10661336817</v>
      </c>
      <c r="D47" s="22">
        <f>VLOOKUP($A47, '[5]Table 1'!$A$5:$I$55, 2, FALSE)</f>
        <v>0.8</v>
      </c>
      <c r="E47" s="22">
        <f>VLOOKUP($A47, '[5]Table 1'!$A$5:$I$55, 3, FALSE)</f>
        <v>0.75</v>
      </c>
      <c r="F47" s="22">
        <f>VLOOKUP($A47, '[5]Table 1'!$A$5:$I$55, 4, FALSE)</f>
        <v>0.72</v>
      </c>
      <c r="G47" s="50">
        <f>VLOOKUP($A47, '[5]Table 1'!$A$5:$I$55, 5, FALSE)</f>
        <v>1.03</v>
      </c>
      <c r="H47" s="22">
        <f>VLOOKUP($A47, '[5]Table 1'!$A$5:$I$55, 6, FALSE)</f>
        <v>0.51</v>
      </c>
      <c r="I47" s="22">
        <f>VLOOKUP($A47, '[5]Table 1'!$A$5:$I$55, 7, FALSE)</f>
        <v>0.43</v>
      </c>
      <c r="J47" s="25">
        <f>VLOOKUP($A47, '[5]Table 1'!$A$5:$I$55, 8, FALSE)</f>
        <v>0.54</v>
      </c>
      <c r="K47" s="50">
        <f>VLOOKUP($A47, '[5]Table 1'!$A$5:$I$55, 9, FALSE)</f>
        <v>0.67</v>
      </c>
    </row>
    <row r="48" spans="1:11" x14ac:dyDescent="0.25">
      <c r="A48" s="106" t="s">
        <v>20</v>
      </c>
      <c r="B48" s="107" t="s">
        <v>21</v>
      </c>
      <c r="C48" s="118">
        <f>VLOOKUP($B48, [4]Sheet1!$B$2:$C$53, 2, FALSE)</f>
        <v>842560634</v>
      </c>
      <c r="D48" s="22">
        <f>VLOOKUP($A48, '[5]Table 1'!$A$5:$I$55, 2, FALSE)</f>
        <v>1.41</v>
      </c>
      <c r="E48" s="22">
        <f>VLOOKUP($A48, '[5]Table 1'!$A$5:$I$55, 3, FALSE)</f>
        <v>1.32</v>
      </c>
      <c r="F48" s="22">
        <f>VLOOKUP($A48, '[5]Table 1'!$A$5:$I$55, 4, FALSE)</f>
        <v>1.73</v>
      </c>
      <c r="G48" s="50">
        <f>VLOOKUP($A48, '[5]Table 1'!$A$5:$I$55, 5, FALSE)</f>
        <v>1.23</v>
      </c>
      <c r="H48" s="22">
        <f>VLOOKUP($A48, '[5]Table 1'!$A$5:$I$55, 6, FALSE)</f>
        <v>0.87</v>
      </c>
      <c r="I48" s="22">
        <f>VLOOKUP($A48, '[5]Table 1'!$A$5:$I$55, 7, FALSE)</f>
        <v>0.71</v>
      </c>
      <c r="J48" s="25">
        <f>VLOOKUP($A48, '[5]Table 1'!$A$5:$I$55, 8, FALSE)</f>
        <v>1.23</v>
      </c>
      <c r="K48" s="50">
        <f>VLOOKUP($A48, '[5]Table 1'!$A$5:$I$55, 9, FALSE)</f>
        <v>0.79</v>
      </c>
    </row>
    <row r="49" spans="1:11" x14ac:dyDescent="0.25">
      <c r="A49" s="106" t="s">
        <v>72</v>
      </c>
      <c r="B49" s="107" t="s">
        <v>73</v>
      </c>
      <c r="C49" s="118">
        <f>VLOOKUP($B49, [4]Sheet1!$B$2:$C$53, 2, FALSE)</f>
        <v>11035437772</v>
      </c>
      <c r="D49" s="22">
        <f>VLOOKUP($A49, '[5]Table 1'!$A$5:$I$55, 2, FALSE)</f>
        <v>0.87</v>
      </c>
      <c r="E49" s="22">
        <f>VLOOKUP($A49, '[5]Table 1'!$A$5:$I$55, 3, FALSE)</f>
        <v>0.75</v>
      </c>
      <c r="F49" s="22">
        <f>VLOOKUP($A49, '[5]Table 1'!$A$5:$I$55, 4, FALSE)</f>
        <v>1.1100000000000001</v>
      </c>
      <c r="G49" s="50">
        <f>VLOOKUP($A49, '[5]Table 1'!$A$5:$I$55, 5, FALSE)</f>
        <v>0.86</v>
      </c>
      <c r="H49" s="22">
        <f>VLOOKUP($A49, '[5]Table 1'!$A$5:$I$55, 6, FALSE)</f>
        <v>0.55000000000000004</v>
      </c>
      <c r="I49" s="22">
        <f>VLOOKUP($A49, '[5]Table 1'!$A$5:$I$55, 7, FALSE)</f>
        <v>0.42</v>
      </c>
      <c r="J49" s="25">
        <f>VLOOKUP($A49, '[5]Table 1'!$A$5:$I$55, 8, FALSE)</f>
        <v>0.8</v>
      </c>
      <c r="K49" s="50">
        <f>VLOOKUP($A49, '[5]Table 1'!$A$5:$I$55, 9, FALSE)</f>
        <v>0.57999999999999996</v>
      </c>
    </row>
    <row r="50" spans="1:11" x14ac:dyDescent="0.25">
      <c r="A50" s="106" t="s">
        <v>86</v>
      </c>
      <c r="B50" s="107" t="s">
        <v>87</v>
      </c>
      <c r="C50" s="118">
        <f>VLOOKUP($B50, [4]Sheet1!$B$2:$C$53, 2, FALSE)</f>
        <v>703290076</v>
      </c>
      <c r="D50" s="22">
        <f>VLOOKUP($A50, '[5]Table 1'!$A$5:$I$55, 2, FALSE)</f>
        <v>0.57999999999999996</v>
      </c>
      <c r="E50" s="22">
        <f>VLOOKUP($A50, '[5]Table 1'!$A$5:$I$55, 3, FALSE)</f>
        <v>0.56000000000000005</v>
      </c>
      <c r="F50" s="22">
        <f>VLOOKUP($A50, '[5]Table 1'!$A$5:$I$55, 4, FALSE)</f>
        <v>0.54</v>
      </c>
      <c r="G50" s="50">
        <f>VLOOKUP($A50, '[5]Table 1'!$A$5:$I$55, 5, FALSE)</f>
        <v>0.67</v>
      </c>
      <c r="H50" s="22">
        <f>VLOOKUP($A50, '[5]Table 1'!$A$5:$I$55, 6, FALSE)</f>
        <v>0.37</v>
      </c>
      <c r="I50" s="22">
        <f>VLOOKUP($A50, '[5]Table 1'!$A$5:$I$55, 7, FALSE)</f>
        <v>0.33</v>
      </c>
      <c r="J50" s="25">
        <f>VLOOKUP($A50, '[5]Table 1'!$A$5:$I$55, 8, FALSE)</f>
        <v>0.39</v>
      </c>
      <c r="K50" s="50">
        <f>VLOOKUP($A50, '[5]Table 1'!$A$5:$I$55, 9, FALSE)</f>
        <v>0.46</v>
      </c>
    </row>
    <row r="51" spans="1:11" x14ac:dyDescent="0.25">
      <c r="A51" s="106" t="s">
        <v>48</v>
      </c>
      <c r="B51" s="107" t="s">
        <v>49</v>
      </c>
      <c r="C51" s="118">
        <f>VLOOKUP($B51, [4]Sheet1!$B$2:$C$53, 2, FALSE)</f>
        <v>2711126855</v>
      </c>
      <c r="D51" s="22">
        <f>VLOOKUP($A51, '[5]Table 1'!$A$5:$I$55, 2, FALSE)</f>
        <v>1.19</v>
      </c>
      <c r="E51" s="22">
        <f>VLOOKUP($A51, '[5]Table 1'!$A$5:$I$55, 3, FALSE)</f>
        <v>1.26</v>
      </c>
      <c r="F51" s="22">
        <f>VLOOKUP($A51, '[5]Table 1'!$A$5:$I$55, 4, FALSE)</f>
        <v>1.1200000000000001</v>
      </c>
      <c r="G51" s="50">
        <f>VLOOKUP($A51, '[5]Table 1'!$A$5:$I$55, 5, FALSE)</f>
        <v>1.0900000000000001</v>
      </c>
      <c r="H51" s="22">
        <f>VLOOKUP($A51, '[5]Table 1'!$A$5:$I$55, 6, FALSE)</f>
        <v>0.73</v>
      </c>
      <c r="I51" s="22">
        <f>VLOOKUP($A51, '[5]Table 1'!$A$5:$I$55, 7, FALSE)</f>
        <v>0.7</v>
      </c>
      <c r="J51" s="25">
        <f>VLOOKUP($A51, '[5]Table 1'!$A$5:$I$55, 8, FALSE)</f>
        <v>0.89</v>
      </c>
      <c r="K51" s="50">
        <f>VLOOKUP($A51, '[5]Table 1'!$A$5:$I$55, 9, FALSE)</f>
        <v>0.7</v>
      </c>
    </row>
    <row r="52" spans="1:11" x14ac:dyDescent="0.25">
      <c r="A52" s="106" t="s">
        <v>54</v>
      </c>
      <c r="B52" s="107" t="s">
        <v>55</v>
      </c>
      <c r="C52" s="118">
        <f>VLOOKUP($B52, [4]Sheet1!$B$2:$C$53, 2, FALSE)</f>
        <v>3096278223</v>
      </c>
      <c r="D52" s="22">
        <f>VLOOKUP($A52, '[5]Table 1'!$A$5:$I$55, 2, FALSE)</f>
        <v>1.06</v>
      </c>
      <c r="E52" s="22">
        <f>VLOOKUP($A52, '[5]Table 1'!$A$5:$I$55, 3, FALSE)</f>
        <v>1.23</v>
      </c>
      <c r="F52" s="22">
        <f>VLOOKUP($A52, '[5]Table 1'!$A$5:$I$55, 4, FALSE)</f>
        <v>0.77</v>
      </c>
      <c r="G52" s="50">
        <f>VLOOKUP($A52, '[5]Table 1'!$A$5:$I$55, 5, FALSE)</f>
        <v>1.04</v>
      </c>
      <c r="H52" s="22">
        <f>VLOOKUP($A52, '[5]Table 1'!$A$5:$I$55, 6, FALSE)</f>
        <v>0.71</v>
      </c>
      <c r="I52" s="22">
        <f>VLOOKUP($A52, '[5]Table 1'!$A$5:$I$55, 7, FALSE)</f>
        <v>0.73</v>
      </c>
      <c r="J52" s="25">
        <f>VLOOKUP($A52, '[5]Table 1'!$A$5:$I$55, 8, FALSE)</f>
        <v>0.66</v>
      </c>
      <c r="K52" s="50">
        <f>VLOOKUP($A52, '[5]Table 1'!$A$5:$I$55, 9, FALSE)</f>
        <v>0.72</v>
      </c>
    </row>
    <row r="53" spans="1:11" x14ac:dyDescent="0.25">
      <c r="A53" s="106" t="s">
        <v>68</v>
      </c>
      <c r="B53" s="107" t="s">
        <v>69</v>
      </c>
      <c r="C53" s="118">
        <f>VLOOKUP($B53, [4]Sheet1!$B$2:$C$53, 2, FALSE)</f>
        <v>2253588397</v>
      </c>
      <c r="D53" s="22">
        <f>VLOOKUP($A53, '[5]Table 1'!$A$5:$I$55, 2, FALSE)</f>
        <v>0.77</v>
      </c>
      <c r="E53" s="22">
        <f>VLOOKUP($A53, '[5]Table 1'!$A$5:$I$55, 3, FALSE)</f>
        <v>0.92</v>
      </c>
      <c r="F53" s="22">
        <f>VLOOKUP($A53, '[5]Table 1'!$A$5:$I$55, 4, FALSE)</f>
        <v>0.53</v>
      </c>
      <c r="G53" s="50">
        <f>VLOOKUP($A53, '[5]Table 1'!$A$5:$I$55, 5, FALSE)</f>
        <v>0.73</v>
      </c>
      <c r="H53" s="22">
        <f>VLOOKUP($A53, '[5]Table 1'!$A$5:$I$55, 6, FALSE)</f>
        <v>0.45</v>
      </c>
      <c r="I53" s="22">
        <f>VLOOKUP($A53, '[5]Table 1'!$A$5:$I$55, 7, FALSE)</f>
        <v>0.5</v>
      </c>
      <c r="J53" s="25">
        <f>VLOOKUP($A53, '[5]Table 1'!$A$5:$I$55, 8, FALSE)</f>
        <v>0.37</v>
      </c>
      <c r="K53" s="50">
        <f>VLOOKUP($A53, '[5]Table 1'!$A$5:$I$55, 9, FALSE)</f>
        <v>0.46</v>
      </c>
    </row>
    <row r="54" spans="1:11" x14ac:dyDescent="0.25">
      <c r="A54" s="108" t="s">
        <v>24</v>
      </c>
      <c r="B54" s="109" t="s">
        <v>25</v>
      </c>
      <c r="C54" s="120">
        <f>VLOOKUP($B54, [4]Sheet1!$B$2:$C$53, 2, FALSE)</f>
        <v>613035295</v>
      </c>
      <c r="D54" s="121">
        <f>VLOOKUP($A54, '[5]Table 1'!$A$5:$I$55, 2, FALSE)</f>
        <v>1.39</v>
      </c>
      <c r="E54" s="121">
        <f>VLOOKUP($A54, '[5]Table 1'!$A$5:$I$55, 3, FALSE)</f>
        <v>1.54</v>
      </c>
      <c r="F54" s="121">
        <f>VLOOKUP($A54, '[5]Table 1'!$A$5:$I$55, 4, FALSE)</f>
        <v>1.1599999999999999</v>
      </c>
      <c r="G54" s="122">
        <f>VLOOKUP($A54, '[5]Table 1'!$A$5:$I$55, 5, FALSE)</f>
        <v>1.32</v>
      </c>
      <c r="H54" s="121">
        <f>VLOOKUP($A54, '[5]Table 1'!$A$5:$I$55, 6, FALSE)</f>
        <v>0.8</v>
      </c>
      <c r="I54" s="121">
        <f>VLOOKUP($A54, '[5]Table 1'!$A$5:$I$55, 7, FALSE)</f>
        <v>0.8</v>
      </c>
      <c r="J54" s="63">
        <f>VLOOKUP($A54, '[5]Table 1'!$A$5:$I$55, 8, FALSE)</f>
        <v>0.8</v>
      </c>
      <c r="K54" s="50">
        <f>VLOOKUP($A54, '[5]Table 1'!$A$5:$I$55, 9, FALSE)</f>
        <v>0.8</v>
      </c>
    </row>
  </sheetData>
  <mergeCells count="2">
    <mergeCell ref="D1:G1"/>
    <mergeCell ref="H1:K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F4" sqref="F4"/>
    </sheetView>
  </sheetViews>
  <sheetFormatPr defaultRowHeight="15" x14ac:dyDescent="0.25"/>
  <cols>
    <col min="1" max="1" width="23.28515625" customWidth="1"/>
    <col min="2" max="2" width="28.42578125" bestFit="1" customWidth="1"/>
    <col min="3" max="3" width="49.7109375" customWidth="1"/>
    <col min="4" max="4" width="47.5703125" customWidth="1"/>
    <col min="5" max="5" width="48.85546875" customWidth="1"/>
    <col min="6" max="6" width="76.140625" bestFit="1" customWidth="1"/>
  </cols>
  <sheetData>
    <row r="1" spans="1:6" x14ac:dyDescent="0.25">
      <c r="A1" s="111" t="s">
        <v>202</v>
      </c>
      <c r="B1" s="112" t="s">
        <v>122</v>
      </c>
      <c r="C1" s="112" t="s">
        <v>163</v>
      </c>
      <c r="D1" s="112" t="s">
        <v>123</v>
      </c>
      <c r="E1" s="112" t="s">
        <v>173</v>
      </c>
      <c r="F1" s="112" t="s">
        <v>165</v>
      </c>
    </row>
    <row r="2" spans="1:6" ht="30" x14ac:dyDescent="0.25">
      <c r="A2" s="145" t="s">
        <v>155</v>
      </c>
      <c r="B2" s="19" t="s">
        <v>2</v>
      </c>
      <c r="C2" s="20" t="s">
        <v>124</v>
      </c>
      <c r="D2" s="113" t="s">
        <v>193</v>
      </c>
      <c r="E2" s="20" t="s">
        <v>203</v>
      </c>
      <c r="F2" s="62" t="s">
        <v>168</v>
      </c>
    </row>
    <row r="3" spans="1:6" ht="45" x14ac:dyDescent="0.25">
      <c r="A3" s="146"/>
      <c r="B3" s="22" t="s">
        <v>126</v>
      </c>
      <c r="C3" s="23" t="s">
        <v>194</v>
      </c>
      <c r="D3" s="29" t="s">
        <v>193</v>
      </c>
      <c r="E3" s="23" t="s">
        <v>203</v>
      </c>
      <c r="F3" s="25" t="s">
        <v>168</v>
      </c>
    </row>
    <row r="4" spans="1:6" ht="75" x14ac:dyDescent="0.25">
      <c r="A4" s="146"/>
      <c r="B4" s="22" t="s">
        <v>127</v>
      </c>
      <c r="C4" s="23" t="s">
        <v>164</v>
      </c>
      <c r="D4" s="29" t="s">
        <v>192</v>
      </c>
      <c r="E4" s="23" t="s">
        <v>204</v>
      </c>
      <c r="F4" s="25" t="s">
        <v>168</v>
      </c>
    </row>
    <row r="5" spans="1:6" ht="30" x14ac:dyDescent="0.25">
      <c r="A5" s="146"/>
      <c r="B5" s="22" t="s">
        <v>110</v>
      </c>
      <c r="C5" s="23" t="s">
        <v>195</v>
      </c>
      <c r="D5" s="23" t="s">
        <v>198</v>
      </c>
      <c r="E5" s="23" t="s">
        <v>199</v>
      </c>
      <c r="F5" s="24" t="s">
        <v>206</v>
      </c>
    </row>
    <row r="6" spans="1:6" ht="90" x14ac:dyDescent="0.25">
      <c r="A6" s="146"/>
      <c r="B6" s="28" t="s">
        <v>125</v>
      </c>
      <c r="C6" s="23" t="s">
        <v>128</v>
      </c>
      <c r="D6" s="23" t="s">
        <v>177</v>
      </c>
      <c r="E6" s="26" t="s">
        <v>205</v>
      </c>
      <c r="F6" s="123" t="s">
        <v>166</v>
      </c>
    </row>
    <row r="7" spans="1:6" s="33" customFormat="1" ht="30" x14ac:dyDescent="0.25">
      <c r="A7" s="145" t="s">
        <v>169</v>
      </c>
      <c r="B7" s="114" t="s">
        <v>2</v>
      </c>
      <c r="C7" s="113" t="s">
        <v>172</v>
      </c>
      <c r="D7" s="113" t="s">
        <v>193</v>
      </c>
      <c r="E7" s="20" t="s">
        <v>203</v>
      </c>
      <c r="F7" s="62" t="s">
        <v>168</v>
      </c>
    </row>
    <row r="8" spans="1:6" s="33" customFormat="1" ht="45" x14ac:dyDescent="0.25">
      <c r="A8" s="146"/>
      <c r="B8" s="61" t="s">
        <v>126</v>
      </c>
      <c r="C8" s="29" t="s">
        <v>197</v>
      </c>
      <c r="D8" s="29" t="s">
        <v>193</v>
      </c>
      <c r="E8" s="23" t="s">
        <v>203</v>
      </c>
      <c r="F8" s="25" t="s">
        <v>168</v>
      </c>
    </row>
    <row r="9" spans="1:6" ht="75" x14ac:dyDescent="0.25">
      <c r="A9" s="146"/>
      <c r="B9" s="22" t="s">
        <v>127</v>
      </c>
      <c r="C9" s="23" t="s">
        <v>171</v>
      </c>
      <c r="D9" s="29" t="s">
        <v>192</v>
      </c>
      <c r="E9" s="23" t="s">
        <v>204</v>
      </c>
      <c r="F9" s="25" t="s">
        <v>168</v>
      </c>
    </row>
    <row r="10" spans="1:6" ht="30" x14ac:dyDescent="0.25">
      <c r="A10" s="146"/>
      <c r="B10" s="22" t="s">
        <v>110</v>
      </c>
      <c r="C10" s="23" t="s">
        <v>176</v>
      </c>
      <c r="D10" s="23" t="s">
        <v>196</v>
      </c>
      <c r="E10" s="23" t="s">
        <v>199</v>
      </c>
      <c r="F10" s="24" t="s">
        <v>206</v>
      </c>
    </row>
    <row r="11" spans="1:6" ht="90" x14ac:dyDescent="0.25">
      <c r="A11" s="146"/>
      <c r="B11" s="28" t="s">
        <v>125</v>
      </c>
      <c r="C11" s="23" t="s">
        <v>129</v>
      </c>
      <c r="D11" s="23" t="s">
        <v>177</v>
      </c>
      <c r="E11" s="23" t="s">
        <v>205</v>
      </c>
      <c r="F11" s="25" t="s">
        <v>166</v>
      </c>
    </row>
    <row r="12" spans="1:6" ht="30" x14ac:dyDescent="0.25">
      <c r="A12" s="145" t="s">
        <v>156</v>
      </c>
      <c r="B12" s="19" t="s">
        <v>2</v>
      </c>
      <c r="C12" s="20" t="s">
        <v>130</v>
      </c>
      <c r="D12" s="113" t="s">
        <v>193</v>
      </c>
      <c r="E12" s="20" t="s">
        <v>200</v>
      </c>
      <c r="F12" s="62" t="s">
        <v>168</v>
      </c>
    </row>
    <row r="13" spans="1:6" ht="45" x14ac:dyDescent="0.25">
      <c r="A13" s="146"/>
      <c r="B13" s="22" t="s">
        <v>126</v>
      </c>
      <c r="C13" s="23" t="s">
        <v>131</v>
      </c>
      <c r="D13" s="29" t="s">
        <v>193</v>
      </c>
      <c r="E13" s="23" t="s">
        <v>200</v>
      </c>
      <c r="F13" s="25" t="s">
        <v>168</v>
      </c>
    </row>
    <row r="14" spans="1:6" ht="75" x14ac:dyDescent="0.25">
      <c r="A14" s="146"/>
      <c r="B14" s="22" t="s">
        <v>127</v>
      </c>
      <c r="C14" s="23" t="s">
        <v>132</v>
      </c>
      <c r="D14" s="22" t="s">
        <v>167</v>
      </c>
      <c r="E14" s="23" t="s">
        <v>174</v>
      </c>
      <c r="F14" s="25" t="s">
        <v>168</v>
      </c>
    </row>
    <row r="15" spans="1:6" ht="60" x14ac:dyDescent="0.25">
      <c r="A15" s="146"/>
      <c r="B15" s="22" t="s">
        <v>110</v>
      </c>
      <c r="C15" s="23" t="s">
        <v>133</v>
      </c>
      <c r="D15" s="22" t="s">
        <v>167</v>
      </c>
      <c r="E15" s="23" t="s">
        <v>175</v>
      </c>
      <c r="F15" s="24" t="s">
        <v>206</v>
      </c>
    </row>
    <row r="16" spans="1:6" ht="90" x14ac:dyDescent="0.25">
      <c r="A16" s="146"/>
      <c r="B16" s="28" t="s">
        <v>125</v>
      </c>
      <c r="C16" s="23" t="s">
        <v>134</v>
      </c>
      <c r="D16" s="23" t="s">
        <v>177</v>
      </c>
      <c r="E16" s="23" t="s">
        <v>205</v>
      </c>
      <c r="F16" s="25" t="s">
        <v>166</v>
      </c>
    </row>
    <row r="17" spans="1:6" ht="30" x14ac:dyDescent="0.25">
      <c r="A17" s="142" t="s">
        <v>178</v>
      </c>
      <c r="B17" s="19" t="s">
        <v>2</v>
      </c>
      <c r="C17" s="20" t="s">
        <v>179</v>
      </c>
      <c r="D17" s="113" t="s">
        <v>193</v>
      </c>
      <c r="E17" s="20" t="s">
        <v>203</v>
      </c>
      <c r="F17" s="62" t="s">
        <v>168</v>
      </c>
    </row>
    <row r="18" spans="1:6" ht="45" x14ac:dyDescent="0.25">
      <c r="A18" s="143"/>
      <c r="B18" s="22" t="s">
        <v>126</v>
      </c>
      <c r="C18" s="23" t="s">
        <v>180</v>
      </c>
      <c r="D18" s="29" t="s">
        <v>193</v>
      </c>
      <c r="E18" s="23" t="s">
        <v>203</v>
      </c>
      <c r="F18" s="25" t="s">
        <v>168</v>
      </c>
    </row>
    <row r="19" spans="1:6" ht="75" x14ac:dyDescent="0.25">
      <c r="A19" s="143"/>
      <c r="B19" s="22" t="s">
        <v>127</v>
      </c>
      <c r="C19" s="23" t="s">
        <v>181</v>
      </c>
      <c r="D19" s="22" t="s">
        <v>167</v>
      </c>
      <c r="E19" s="23" t="s">
        <v>174</v>
      </c>
      <c r="F19" s="25" t="s">
        <v>168</v>
      </c>
    </row>
    <row r="20" spans="1:6" ht="60" x14ac:dyDescent="0.25">
      <c r="A20" s="143"/>
      <c r="B20" s="22" t="s">
        <v>110</v>
      </c>
      <c r="C20" s="23" t="s">
        <v>182</v>
      </c>
      <c r="D20" s="22" t="s">
        <v>167</v>
      </c>
      <c r="E20" s="23" t="s">
        <v>175</v>
      </c>
      <c r="F20" s="24" t="s">
        <v>206</v>
      </c>
    </row>
    <row r="21" spans="1:6" ht="90" x14ac:dyDescent="0.25">
      <c r="A21" s="143"/>
      <c r="B21" s="28" t="s">
        <v>125</v>
      </c>
      <c r="C21" s="23" t="s">
        <v>183</v>
      </c>
      <c r="D21" s="23" t="s">
        <v>177</v>
      </c>
      <c r="E21" s="23" t="s">
        <v>205</v>
      </c>
      <c r="F21" s="25" t="s">
        <v>166</v>
      </c>
    </row>
    <row r="22" spans="1:6" ht="30" x14ac:dyDescent="0.25">
      <c r="A22" s="142" t="s">
        <v>157</v>
      </c>
      <c r="B22" s="19" t="s">
        <v>2</v>
      </c>
      <c r="C22" s="20" t="s">
        <v>135</v>
      </c>
      <c r="D22" s="113" t="s">
        <v>193</v>
      </c>
      <c r="E22" s="20" t="s">
        <v>203</v>
      </c>
      <c r="F22" s="62" t="s">
        <v>168</v>
      </c>
    </row>
    <row r="23" spans="1:6" ht="45" x14ac:dyDescent="0.25">
      <c r="A23" s="143"/>
      <c r="B23" s="22" t="s">
        <v>126</v>
      </c>
      <c r="C23" s="23" t="s">
        <v>136</v>
      </c>
      <c r="D23" s="29" t="s">
        <v>193</v>
      </c>
      <c r="E23" s="23" t="s">
        <v>203</v>
      </c>
      <c r="F23" s="25" t="s">
        <v>168</v>
      </c>
    </row>
    <row r="24" spans="1:6" ht="75" x14ac:dyDescent="0.25">
      <c r="A24" s="143"/>
      <c r="B24" s="22" t="s">
        <v>127</v>
      </c>
      <c r="C24" s="23" t="s">
        <v>137</v>
      </c>
      <c r="D24" s="22" t="s">
        <v>167</v>
      </c>
      <c r="E24" s="23" t="s">
        <v>174</v>
      </c>
      <c r="F24" s="25" t="s">
        <v>168</v>
      </c>
    </row>
    <row r="25" spans="1:6" ht="60" x14ac:dyDescent="0.25">
      <c r="A25" s="143"/>
      <c r="B25" s="22" t="s">
        <v>110</v>
      </c>
      <c r="C25" s="23" t="s">
        <v>138</v>
      </c>
      <c r="D25" s="22" t="s">
        <v>167</v>
      </c>
      <c r="E25" s="23" t="s">
        <v>175</v>
      </c>
      <c r="F25" s="24" t="s">
        <v>206</v>
      </c>
    </row>
    <row r="26" spans="1:6" ht="90" x14ac:dyDescent="0.25">
      <c r="A26" s="143"/>
      <c r="B26" s="28" t="s">
        <v>125</v>
      </c>
      <c r="C26" s="23" t="s">
        <v>139</v>
      </c>
      <c r="D26" s="23" t="s">
        <v>177</v>
      </c>
      <c r="E26" s="23" t="s">
        <v>205</v>
      </c>
      <c r="F26" s="25" t="s">
        <v>166</v>
      </c>
    </row>
    <row r="27" spans="1:6" x14ac:dyDescent="0.25">
      <c r="A27" s="147" t="s">
        <v>151</v>
      </c>
      <c r="B27" s="19" t="s">
        <v>160</v>
      </c>
      <c r="C27" s="20" t="s">
        <v>161</v>
      </c>
      <c r="D27" s="20" t="s">
        <v>162</v>
      </c>
      <c r="E27" s="139"/>
      <c r="F27" s="62"/>
    </row>
    <row r="28" spans="1:6" ht="60" x14ac:dyDescent="0.25">
      <c r="A28" s="148"/>
      <c r="B28" s="23" t="s">
        <v>140</v>
      </c>
      <c r="C28" s="29" t="s">
        <v>141</v>
      </c>
      <c r="D28" s="29" t="s">
        <v>207</v>
      </c>
      <c r="E28" s="140"/>
      <c r="F28" s="25"/>
    </row>
    <row r="29" spans="1:6" ht="45" x14ac:dyDescent="0.25">
      <c r="A29" s="148"/>
      <c r="B29" s="23" t="s">
        <v>142</v>
      </c>
      <c r="C29" s="29" t="s">
        <v>143</v>
      </c>
      <c r="D29" s="29" t="s">
        <v>208</v>
      </c>
      <c r="E29" s="140"/>
      <c r="F29" s="25"/>
    </row>
    <row r="30" spans="1:6" ht="30" x14ac:dyDescent="0.25">
      <c r="A30" s="148"/>
      <c r="B30" s="23" t="s">
        <v>144</v>
      </c>
      <c r="C30" s="23" t="s">
        <v>145</v>
      </c>
      <c r="D30" s="23" t="s">
        <v>158</v>
      </c>
      <c r="E30" s="140"/>
      <c r="F30" s="25"/>
    </row>
    <row r="31" spans="1:6" ht="60" x14ac:dyDescent="0.25">
      <c r="A31" s="148"/>
      <c r="B31" s="23" t="s">
        <v>119</v>
      </c>
      <c r="C31" s="29" t="s">
        <v>146</v>
      </c>
      <c r="D31" s="23" t="s">
        <v>209</v>
      </c>
      <c r="E31" s="140"/>
      <c r="F31" s="25"/>
    </row>
    <row r="32" spans="1:6" ht="30" x14ac:dyDescent="0.25">
      <c r="A32" s="148"/>
      <c r="B32" s="23" t="s">
        <v>147</v>
      </c>
      <c r="C32" s="23" t="s">
        <v>210</v>
      </c>
      <c r="D32" s="23" t="s">
        <v>148</v>
      </c>
      <c r="E32" s="140"/>
      <c r="F32" s="25"/>
    </row>
    <row r="33" spans="1:6" ht="45" x14ac:dyDescent="0.25">
      <c r="A33" s="149"/>
      <c r="B33" s="26" t="s">
        <v>149</v>
      </c>
      <c r="C33" s="30" t="s">
        <v>150</v>
      </c>
      <c r="D33" s="26" t="s">
        <v>159</v>
      </c>
      <c r="E33" s="141"/>
      <c r="F33" s="63"/>
    </row>
    <row r="34" spans="1:6" x14ac:dyDescent="0.25">
      <c r="A34" s="110" t="s">
        <v>201</v>
      </c>
      <c r="B34" s="116"/>
      <c r="C34" s="110"/>
      <c r="D34" s="110"/>
      <c r="E34" s="110"/>
      <c r="F34" s="115"/>
    </row>
    <row r="35" spans="1:6" s="11" customFormat="1" ht="135" x14ac:dyDescent="0.25">
      <c r="A35" s="142" t="s">
        <v>201</v>
      </c>
      <c r="B35" s="20" t="s">
        <v>211</v>
      </c>
      <c r="C35" s="113" t="s">
        <v>212</v>
      </c>
      <c r="D35" s="113" t="s">
        <v>213</v>
      </c>
      <c r="E35" s="113" t="s">
        <v>214</v>
      </c>
      <c r="F35" s="21"/>
    </row>
    <row r="36" spans="1:6" s="11" customFormat="1" ht="75" x14ac:dyDescent="0.25">
      <c r="A36" s="143"/>
      <c r="B36" s="23" t="s">
        <v>215</v>
      </c>
      <c r="C36" s="23" t="s">
        <v>217</v>
      </c>
      <c r="D36" s="23" t="s">
        <v>216</v>
      </c>
      <c r="E36" s="23" t="s">
        <v>218</v>
      </c>
      <c r="F36" s="24"/>
    </row>
    <row r="37" spans="1:6" s="11" customFormat="1" ht="75" x14ac:dyDescent="0.25">
      <c r="A37" s="144"/>
      <c r="B37" s="26" t="s">
        <v>219</v>
      </c>
      <c r="C37" s="26" t="s">
        <v>220</v>
      </c>
      <c r="D37" s="26" t="s">
        <v>216</v>
      </c>
      <c r="E37" s="26" t="s">
        <v>218</v>
      </c>
      <c r="F37" s="27"/>
    </row>
  </sheetData>
  <mergeCells count="8">
    <mergeCell ref="E27:E33"/>
    <mergeCell ref="A35:A37"/>
    <mergeCell ref="A2:A6"/>
    <mergeCell ref="A27:A33"/>
    <mergeCell ref="A7:A11"/>
    <mergeCell ref="A12:A16"/>
    <mergeCell ref="A17:A21"/>
    <mergeCell ref="A22:A26"/>
  </mergeCells>
  <hyperlinks>
    <hyperlink ref="F6"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 Total</vt:lpstr>
      <vt:lpstr>Ratios - Total</vt:lpstr>
      <vt:lpstr>Ratios - Children</vt:lpstr>
      <vt:lpstr>Ratios - Adults</vt:lpstr>
      <vt:lpstr>Ratios - Disabled</vt:lpstr>
      <vt:lpstr>Ratios - Elderly</vt:lpstr>
      <vt:lpstr>Other</vt:lpstr>
      <vt:lpstr>Documentation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Randall, Megan</dc:creator>
  <cp:lastModifiedBy>Iselin, John</cp:lastModifiedBy>
  <dcterms:created xsi:type="dcterms:W3CDTF">2015-06-24T19:19:45Z</dcterms:created>
  <dcterms:modified xsi:type="dcterms:W3CDTF">2015-10-11T21:37:50Z</dcterms:modified>
</cp:coreProperties>
</file>