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27795" windowHeight="11715" activeTab="4"/>
  </bookViews>
  <sheets>
    <sheet name="Data" sheetId="1" r:id="rId1"/>
    <sheet name="Ratios - TANF" sheetId="2" r:id="rId2"/>
    <sheet name="Ratios - CCDF" sheetId="3" r:id="rId3"/>
    <sheet name="Ratios - SSBG" sheetId="5" r:id="rId4"/>
    <sheet name="Documentation" sheetId="4" r:id="rId5"/>
  </sheets>
  <externalReferences>
    <externalReference r:id="rId6"/>
    <externalReference r:id="rId7"/>
    <externalReference r:id="rId8"/>
    <externalReference r:id="rId9"/>
  </externalReferences>
  <calcPr calcId="14562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N54" i="1" l="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G3" i="1" l="1"/>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N37" i="3" l="1"/>
  <c r="N38" i="3"/>
  <c r="N45" i="3"/>
  <c r="N31" i="3"/>
  <c r="N20" i="3"/>
  <c r="N8" i="3"/>
  <c r="N50" i="3"/>
  <c r="N34" i="3"/>
  <c r="N36" i="3"/>
  <c r="N14" i="3"/>
  <c r="N15" i="3"/>
  <c r="N32" i="3"/>
  <c r="N26" i="3"/>
  <c r="N18" i="3"/>
  <c r="N52" i="3"/>
  <c r="N44" i="3"/>
  <c r="N19" i="3"/>
  <c r="N7" i="3"/>
  <c r="N25" i="3"/>
  <c r="N41" i="3"/>
  <c r="N35" i="3"/>
  <c r="N12" i="3"/>
  <c r="N42" i="3"/>
  <c r="N27" i="3"/>
  <c r="N9" i="3"/>
  <c r="N43" i="3"/>
  <c r="N33" i="3"/>
  <c r="N21" i="3"/>
  <c r="N29" i="3"/>
  <c r="N23" i="3"/>
  <c r="N6" i="3"/>
  <c r="N16" i="3"/>
  <c r="N40" i="3"/>
  <c r="N5" i="3"/>
  <c r="N30" i="3"/>
  <c r="N49" i="3"/>
  <c r="N53" i="3"/>
  <c r="N46" i="3"/>
  <c r="N28" i="3"/>
  <c r="N3" i="3"/>
  <c r="N39" i="3"/>
  <c r="N51" i="3"/>
  <c r="N10" i="3"/>
  <c r="N11" i="3"/>
  <c r="N24" i="3"/>
  <c r="N4" i="3"/>
  <c r="N22" i="3"/>
  <c r="N54" i="3"/>
  <c r="N48" i="3"/>
  <c r="N47" i="3"/>
  <c r="N17" i="3"/>
  <c r="N13" i="3"/>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3" i="1"/>
  <c r="E4" i="1"/>
  <c r="N37" i="2" l="1"/>
  <c r="N38" i="2"/>
  <c r="N45" i="2"/>
  <c r="N31" i="2"/>
  <c r="N20" i="2"/>
  <c r="N8" i="2"/>
  <c r="N50" i="2"/>
  <c r="N34" i="2"/>
  <c r="N36" i="2"/>
  <c r="N14" i="2"/>
  <c r="N15" i="2"/>
  <c r="N32" i="2"/>
  <c r="N26" i="2"/>
  <c r="N18" i="2"/>
  <c r="N52" i="2"/>
  <c r="N44" i="2"/>
  <c r="N19" i="2"/>
  <c r="N7" i="2"/>
  <c r="N25" i="2"/>
  <c r="N41" i="2"/>
  <c r="N35" i="2"/>
  <c r="N12" i="2"/>
  <c r="N42" i="2"/>
  <c r="N27" i="2"/>
  <c r="N9" i="2"/>
  <c r="N43" i="2"/>
  <c r="N33" i="2"/>
  <c r="N21" i="2"/>
  <c r="N29" i="2"/>
  <c r="N23" i="2"/>
  <c r="N6" i="2"/>
  <c r="N16" i="2"/>
  <c r="N40" i="2"/>
  <c r="N5" i="2"/>
  <c r="N30" i="2"/>
  <c r="N49" i="2"/>
  <c r="N53" i="2"/>
  <c r="N46" i="2"/>
  <c r="N28" i="2"/>
  <c r="N3" i="2"/>
  <c r="N39" i="2"/>
  <c r="N51" i="2"/>
  <c r="N10" i="2"/>
  <c r="N11" i="2"/>
  <c r="N24" i="2"/>
  <c r="N4" i="2"/>
  <c r="N22" i="2"/>
  <c r="N54" i="2"/>
  <c r="N48" i="2"/>
  <c r="N47" i="2"/>
  <c r="N17" i="2"/>
  <c r="N13" i="2"/>
  <c r="E37" i="5" l="1"/>
  <c r="G33" i="5" l="1"/>
  <c r="G37" i="5"/>
  <c r="C37" i="5"/>
  <c r="G38" i="5"/>
  <c r="G45" i="5"/>
  <c r="G31" i="5"/>
  <c r="G20" i="5"/>
  <c r="G8" i="5"/>
  <c r="G50" i="5"/>
  <c r="G34" i="5"/>
  <c r="G36" i="5"/>
  <c r="G14" i="5"/>
  <c r="G15" i="5"/>
  <c r="G32" i="5"/>
  <c r="G26" i="5"/>
  <c r="G18" i="5"/>
  <c r="G52" i="5"/>
  <c r="G44" i="5"/>
  <c r="G19" i="5"/>
  <c r="G7" i="5"/>
  <c r="G25" i="5"/>
  <c r="G41" i="5"/>
  <c r="G35" i="5"/>
  <c r="G12" i="5"/>
  <c r="G42" i="5"/>
  <c r="G27" i="5"/>
  <c r="G9" i="5"/>
  <c r="G43" i="5"/>
  <c r="G21" i="5"/>
  <c r="G29" i="5"/>
  <c r="G23" i="5"/>
  <c r="G6" i="5"/>
  <c r="G16" i="5"/>
  <c r="G40" i="5"/>
  <c r="G5" i="5"/>
  <c r="G30" i="5"/>
  <c r="G49" i="5"/>
  <c r="G53" i="5"/>
  <c r="G46" i="5"/>
  <c r="G28" i="5"/>
  <c r="G3" i="5"/>
  <c r="G39" i="5"/>
  <c r="G51" i="5"/>
  <c r="G10" i="5"/>
  <c r="G11" i="5"/>
  <c r="G24" i="5"/>
  <c r="G4" i="5"/>
  <c r="G22" i="5"/>
  <c r="G54" i="5"/>
  <c r="G48" i="5"/>
  <c r="G47" i="5"/>
  <c r="G17" i="5"/>
  <c r="G13" i="5"/>
  <c r="S37" i="3" l="1"/>
  <c r="S38" i="3"/>
  <c r="S45" i="3"/>
  <c r="S31" i="3"/>
  <c r="S20" i="3"/>
  <c r="S8" i="3"/>
  <c r="S50" i="3"/>
  <c r="S34" i="3"/>
  <c r="S36" i="3"/>
  <c r="S14" i="3"/>
  <c r="S15" i="3"/>
  <c r="S32" i="3"/>
  <c r="S26" i="3"/>
  <c r="S18" i="3"/>
  <c r="S52" i="3"/>
  <c r="S44" i="3"/>
  <c r="S19" i="3"/>
  <c r="S7" i="3"/>
  <c r="S25" i="3"/>
  <c r="S41" i="3"/>
  <c r="S35" i="3"/>
  <c r="S12" i="3"/>
  <c r="S42" i="3"/>
  <c r="S27" i="3"/>
  <c r="S9" i="3"/>
  <c r="S43" i="3"/>
  <c r="S33" i="3"/>
  <c r="S21" i="3"/>
  <c r="S29" i="3"/>
  <c r="S23" i="3"/>
  <c r="S6" i="3"/>
  <c r="S16" i="3"/>
  <c r="S40" i="3"/>
  <c r="S5" i="3"/>
  <c r="S30" i="3"/>
  <c r="S49" i="3"/>
  <c r="S53" i="3"/>
  <c r="S46" i="3"/>
  <c r="S28" i="3"/>
  <c r="S3" i="3"/>
  <c r="S39" i="3"/>
  <c r="S51" i="3"/>
  <c r="S10" i="3"/>
  <c r="S11" i="3"/>
  <c r="S24" i="3"/>
  <c r="S4" i="3"/>
  <c r="S22" i="3"/>
  <c r="S54" i="3"/>
  <c r="S48" i="3"/>
  <c r="S47" i="3"/>
  <c r="S17" i="3"/>
  <c r="S13" i="3"/>
  <c r="Q13" i="3"/>
  <c r="Q43" i="3"/>
  <c r="Q17" i="3"/>
  <c r="Q9" i="3"/>
  <c r="Q47" i="3"/>
  <c r="Q27" i="3"/>
  <c r="Q48" i="3"/>
  <c r="Q42" i="3"/>
  <c r="Q54" i="3"/>
  <c r="Q12" i="3"/>
  <c r="Q22" i="3"/>
  <c r="Q35" i="3"/>
  <c r="O4" i="3"/>
  <c r="Q41" i="3"/>
  <c r="Q24" i="3"/>
  <c r="Q25" i="3"/>
  <c r="Q11" i="3"/>
  <c r="Q7" i="3"/>
  <c r="Q10" i="3"/>
  <c r="Q19" i="3"/>
  <c r="Q51" i="3"/>
  <c r="Q44" i="3"/>
  <c r="Q39" i="3"/>
  <c r="Q52" i="3"/>
  <c r="Q3" i="3"/>
  <c r="Q18" i="3"/>
  <c r="Q28" i="3"/>
  <c r="Q26" i="3"/>
  <c r="Q46" i="3"/>
  <c r="Q32" i="3"/>
  <c r="Q53" i="3"/>
  <c r="Q15" i="3"/>
  <c r="Q49" i="3"/>
  <c r="Q14" i="3"/>
  <c r="Q30" i="3"/>
  <c r="Q36" i="3"/>
  <c r="Q5" i="3"/>
  <c r="Q34" i="3"/>
  <c r="Q40" i="3"/>
  <c r="Q50" i="3"/>
  <c r="O16" i="3"/>
  <c r="Q8" i="3"/>
  <c r="Q6" i="3"/>
  <c r="Q20" i="3"/>
  <c r="Q23" i="3"/>
  <c r="Q31" i="3"/>
  <c r="Q29" i="3"/>
  <c r="Q45" i="3"/>
  <c r="Q21" i="3"/>
  <c r="Q38" i="3"/>
  <c r="Q33" i="3"/>
  <c r="Q37" i="3"/>
  <c r="L13" i="3"/>
  <c r="L43" i="3"/>
  <c r="L17" i="3"/>
  <c r="L9" i="3"/>
  <c r="L47" i="3"/>
  <c r="L27" i="3"/>
  <c r="L48" i="3"/>
  <c r="L42" i="3"/>
  <c r="L54" i="3"/>
  <c r="L12" i="3"/>
  <c r="L22" i="3"/>
  <c r="L35" i="3"/>
  <c r="L4" i="3"/>
  <c r="L41" i="3"/>
  <c r="L24" i="3"/>
  <c r="L25" i="3"/>
  <c r="L11" i="3"/>
  <c r="L7" i="3"/>
  <c r="L10" i="3"/>
  <c r="L19" i="3"/>
  <c r="L51" i="3"/>
  <c r="L44" i="3"/>
  <c r="L39" i="3"/>
  <c r="L52" i="3"/>
  <c r="L3" i="3"/>
  <c r="L18" i="3"/>
  <c r="L28" i="3"/>
  <c r="L26" i="3"/>
  <c r="L46" i="3"/>
  <c r="L32" i="3"/>
  <c r="L53" i="3"/>
  <c r="L15" i="3"/>
  <c r="L49" i="3"/>
  <c r="L14" i="3"/>
  <c r="L30" i="3"/>
  <c r="L36" i="3"/>
  <c r="L5" i="3"/>
  <c r="L34" i="3"/>
  <c r="L40" i="3"/>
  <c r="L50" i="3"/>
  <c r="L16" i="3"/>
  <c r="L8" i="3"/>
  <c r="L6" i="3"/>
  <c r="L20" i="3"/>
  <c r="L23" i="3"/>
  <c r="L31" i="3"/>
  <c r="L29" i="3"/>
  <c r="L45" i="3"/>
  <c r="L21" i="3"/>
  <c r="L38" i="3"/>
  <c r="L33" i="3"/>
  <c r="L37" i="3"/>
  <c r="O13" i="3" l="1"/>
  <c r="O17" i="3"/>
  <c r="O47" i="3"/>
  <c r="O48" i="3"/>
  <c r="O54" i="3"/>
  <c r="O22" i="3"/>
  <c r="O24" i="3"/>
  <c r="O11" i="3"/>
  <c r="O10" i="3"/>
  <c r="O51" i="3"/>
  <c r="O39" i="3"/>
  <c r="O3" i="3"/>
  <c r="O28" i="3"/>
  <c r="O46" i="3"/>
  <c r="O53" i="3"/>
  <c r="O49" i="3"/>
  <c r="O30" i="3"/>
  <c r="O5" i="3"/>
  <c r="O40" i="3"/>
  <c r="O6" i="3"/>
  <c r="O23" i="3"/>
  <c r="O29" i="3"/>
  <c r="O21" i="3"/>
  <c r="O33" i="3"/>
  <c r="O43" i="3"/>
  <c r="O9" i="3"/>
  <c r="O27" i="3"/>
  <c r="O42" i="3"/>
  <c r="O12" i="3"/>
  <c r="O35" i="3"/>
  <c r="O41" i="3"/>
  <c r="O25" i="3"/>
  <c r="O7" i="3"/>
  <c r="O19" i="3"/>
  <c r="O44" i="3"/>
  <c r="O52" i="3"/>
  <c r="O18" i="3"/>
  <c r="O26" i="3"/>
  <c r="O32" i="3"/>
  <c r="O15" i="3"/>
  <c r="O14" i="3"/>
  <c r="O36" i="3"/>
  <c r="O34" i="3"/>
  <c r="O50" i="3"/>
  <c r="O8" i="3"/>
  <c r="O20" i="3"/>
  <c r="O31" i="3"/>
  <c r="O45" i="3"/>
  <c r="O38" i="3"/>
  <c r="O37" i="3"/>
  <c r="G16" i="3"/>
  <c r="Q16" i="3"/>
  <c r="G4" i="3"/>
  <c r="Q4" i="3"/>
  <c r="G37" i="2"/>
  <c r="G38" i="2"/>
  <c r="G45" i="2"/>
  <c r="G31" i="2"/>
  <c r="G20" i="2"/>
  <c r="G8" i="2"/>
  <c r="G50" i="2"/>
  <c r="G34" i="2"/>
  <c r="G36" i="2"/>
  <c r="G14" i="2"/>
  <c r="G15" i="2"/>
  <c r="G32" i="2"/>
  <c r="G26" i="2"/>
  <c r="G18" i="2"/>
  <c r="G52" i="2"/>
  <c r="G44" i="2"/>
  <c r="G19" i="2"/>
  <c r="G7" i="2"/>
  <c r="G25" i="2"/>
  <c r="G41" i="2"/>
  <c r="G35" i="2"/>
  <c r="G12" i="2"/>
  <c r="G42" i="2"/>
  <c r="G27" i="2"/>
  <c r="G9" i="2"/>
  <c r="G43" i="2"/>
  <c r="G12" i="3"/>
  <c r="G8" i="3"/>
  <c r="G20" i="3"/>
  <c r="G33" i="2"/>
  <c r="G21" i="2"/>
  <c r="G29" i="2"/>
  <c r="G23" i="2"/>
  <c r="G6" i="2"/>
  <c r="G16" i="2"/>
  <c r="G40" i="2"/>
  <c r="G5" i="2"/>
  <c r="G30" i="2"/>
  <c r="G49" i="2"/>
  <c r="G53" i="2"/>
  <c r="G46" i="2"/>
  <c r="G28" i="2"/>
  <c r="G3" i="2"/>
  <c r="G39" i="2"/>
  <c r="G51" i="2"/>
  <c r="G10" i="2"/>
  <c r="G11" i="2"/>
  <c r="G24" i="2"/>
  <c r="G4" i="2"/>
  <c r="G22" i="2"/>
  <c r="G54" i="2"/>
  <c r="G48" i="2"/>
  <c r="G47" i="2"/>
  <c r="G17" i="2"/>
  <c r="G13" i="2"/>
  <c r="G13" i="3"/>
  <c r="G17" i="3"/>
  <c r="G47" i="3"/>
  <c r="G48" i="3"/>
  <c r="G54" i="3"/>
  <c r="G22" i="3"/>
  <c r="G24" i="3"/>
  <c r="G11" i="3"/>
  <c r="G10" i="3"/>
  <c r="G51" i="3"/>
  <c r="G39" i="3"/>
  <c r="G3" i="3"/>
  <c r="G28" i="3"/>
  <c r="G46" i="3"/>
  <c r="G53" i="3"/>
  <c r="G49" i="3"/>
  <c r="G30" i="3"/>
  <c r="G5" i="3"/>
  <c r="G40" i="3"/>
  <c r="G6" i="3"/>
  <c r="G23" i="3"/>
  <c r="G29" i="3"/>
  <c r="G21" i="3"/>
  <c r="G33" i="3"/>
  <c r="G43" i="3"/>
  <c r="G9" i="3"/>
  <c r="G27" i="3"/>
  <c r="G42" i="3"/>
  <c r="G35" i="3"/>
  <c r="G41" i="3"/>
  <c r="G25" i="3"/>
  <c r="G7" i="3"/>
  <c r="G19" i="3"/>
  <c r="G44" i="3"/>
  <c r="G52" i="3"/>
  <c r="G18" i="3"/>
  <c r="G26" i="3"/>
  <c r="G32" i="3"/>
  <c r="G15" i="3"/>
  <c r="G14" i="3"/>
  <c r="G36" i="3"/>
  <c r="G34" i="3"/>
  <c r="G50" i="3"/>
  <c r="G31" i="3"/>
  <c r="G45" i="3"/>
  <c r="G38" i="3"/>
  <c r="G37" i="3"/>
  <c r="L13" i="2"/>
  <c r="L37" i="2"/>
  <c r="L43" i="2" l="1"/>
  <c r="L17" i="2"/>
  <c r="L9" i="2"/>
  <c r="L47" i="2"/>
  <c r="L27" i="2"/>
  <c r="L48" i="2"/>
  <c r="L42" i="2"/>
  <c r="L54" i="2"/>
  <c r="L12" i="2"/>
  <c r="L22" i="2"/>
  <c r="L35" i="2"/>
  <c r="L4" i="2"/>
  <c r="L41" i="2"/>
  <c r="L24" i="2"/>
  <c r="L25" i="2"/>
  <c r="L11" i="2"/>
  <c r="L7" i="2"/>
  <c r="L10" i="2"/>
  <c r="L19" i="2"/>
  <c r="L51" i="2"/>
  <c r="L44" i="2"/>
  <c r="L39" i="2"/>
  <c r="L52" i="2"/>
  <c r="L3" i="2"/>
  <c r="L18" i="2"/>
  <c r="L28" i="2"/>
  <c r="L26" i="2"/>
  <c r="L46" i="2"/>
  <c r="L32" i="2"/>
  <c r="L53" i="2"/>
  <c r="L15" i="2"/>
  <c r="L49" i="2"/>
  <c r="L14" i="2"/>
  <c r="L30" i="2"/>
  <c r="L36" i="2"/>
  <c r="L5" i="2"/>
  <c r="L34" i="2"/>
  <c r="L40" i="2"/>
  <c r="L50" i="2"/>
  <c r="L16" i="2"/>
  <c r="L8" i="2"/>
  <c r="L6" i="2"/>
  <c r="L20" i="2"/>
  <c r="L23" i="2"/>
  <c r="L31" i="2"/>
  <c r="L29" i="2"/>
  <c r="L45" i="2"/>
  <c r="L21" i="2"/>
  <c r="L38" i="2"/>
  <c r="L33" i="2"/>
  <c r="C45" i="5" l="1"/>
  <c r="E45" i="5"/>
  <c r="E31" i="5"/>
  <c r="C31" i="5"/>
  <c r="C20" i="5"/>
  <c r="E20" i="5"/>
  <c r="E8" i="5"/>
  <c r="C8" i="5"/>
  <c r="C50" i="5"/>
  <c r="E50" i="5"/>
  <c r="E34" i="5"/>
  <c r="C34" i="5"/>
  <c r="C36" i="5"/>
  <c r="E36" i="5"/>
  <c r="E14" i="5"/>
  <c r="C14" i="5"/>
  <c r="C15" i="5"/>
  <c r="E15" i="5"/>
  <c r="E32" i="5"/>
  <c r="C32" i="5"/>
  <c r="E26" i="5"/>
  <c r="C26" i="5"/>
  <c r="E18" i="5"/>
  <c r="C18" i="5"/>
  <c r="C52" i="5"/>
  <c r="E52" i="5"/>
  <c r="E44" i="5"/>
  <c r="C44" i="5"/>
  <c r="C19" i="5"/>
  <c r="E19" i="5"/>
  <c r="E7" i="5"/>
  <c r="C7" i="5"/>
  <c r="C25" i="5"/>
  <c r="E25" i="5"/>
  <c r="E41" i="5"/>
  <c r="C41" i="5"/>
  <c r="C35" i="5"/>
  <c r="E35" i="5"/>
  <c r="E12" i="5"/>
  <c r="C12" i="5"/>
  <c r="C42" i="5"/>
  <c r="E42" i="5"/>
  <c r="E27" i="5"/>
  <c r="C27" i="5"/>
  <c r="C9" i="5"/>
  <c r="E9" i="5"/>
  <c r="E43" i="5"/>
  <c r="C43" i="5"/>
  <c r="E38" i="5"/>
  <c r="C38" i="5"/>
  <c r="C33" i="5"/>
  <c r="E33" i="5"/>
  <c r="E21" i="5"/>
  <c r="C21" i="5"/>
  <c r="C29" i="5"/>
  <c r="E29" i="5"/>
  <c r="E23" i="5"/>
  <c r="C23" i="5"/>
  <c r="E6" i="5"/>
  <c r="C6" i="5"/>
  <c r="E16" i="5"/>
  <c r="C16" i="5"/>
  <c r="E40" i="5"/>
  <c r="C40" i="5"/>
  <c r="E5" i="5"/>
  <c r="C5" i="5"/>
  <c r="E30" i="5"/>
  <c r="C30" i="5"/>
  <c r="E49" i="5"/>
  <c r="C49" i="5"/>
  <c r="E53" i="5"/>
  <c r="C53" i="5"/>
  <c r="E46" i="5"/>
  <c r="C46" i="5"/>
  <c r="C28" i="5"/>
  <c r="E28" i="5"/>
  <c r="E3" i="5"/>
  <c r="C3" i="5"/>
  <c r="C39" i="5"/>
  <c r="E39" i="5"/>
  <c r="E51" i="5"/>
  <c r="C51" i="5"/>
  <c r="C10" i="5"/>
  <c r="E10" i="5"/>
  <c r="E11" i="5"/>
  <c r="C11" i="5"/>
  <c r="C24" i="5"/>
  <c r="E24" i="5"/>
  <c r="E4" i="5"/>
  <c r="C4" i="5"/>
  <c r="E22" i="5"/>
  <c r="C22" i="5"/>
  <c r="E54" i="5"/>
  <c r="C54" i="5"/>
  <c r="C48" i="5"/>
  <c r="E48" i="5"/>
  <c r="E47" i="5"/>
  <c r="C47" i="5"/>
  <c r="C17" i="5"/>
  <c r="E17" i="5"/>
  <c r="E13" i="5"/>
  <c r="C13" i="5"/>
  <c r="C21" i="3"/>
  <c r="C21" i="2"/>
  <c r="E21" i="2"/>
  <c r="E21" i="3"/>
  <c r="J21" i="3"/>
  <c r="H21" i="2"/>
  <c r="H21" i="3"/>
  <c r="C29" i="3"/>
  <c r="J29" i="3"/>
  <c r="C29" i="2"/>
  <c r="E29" i="2"/>
  <c r="H29" i="3"/>
  <c r="H29" i="2"/>
  <c r="E29" i="3"/>
  <c r="C23" i="3"/>
  <c r="C23" i="2"/>
  <c r="E23" i="2"/>
  <c r="E23" i="3"/>
  <c r="J23" i="3"/>
  <c r="H23" i="2"/>
  <c r="H23" i="3"/>
  <c r="C6" i="3"/>
  <c r="J6" i="3"/>
  <c r="C6" i="2"/>
  <c r="E6" i="2"/>
  <c r="H6" i="3"/>
  <c r="H6" i="2"/>
  <c r="E6" i="3"/>
  <c r="C16" i="3"/>
  <c r="C16" i="2"/>
  <c r="E16" i="2"/>
  <c r="E16" i="3"/>
  <c r="J16" i="3"/>
  <c r="H16" i="2"/>
  <c r="H16" i="3"/>
  <c r="C40" i="3"/>
  <c r="J40" i="3"/>
  <c r="C40" i="2"/>
  <c r="E40" i="2"/>
  <c r="H40" i="3"/>
  <c r="H40" i="2"/>
  <c r="E40" i="3"/>
  <c r="C5" i="3"/>
  <c r="C5" i="2"/>
  <c r="E5" i="2"/>
  <c r="E5" i="3"/>
  <c r="J5" i="3"/>
  <c r="H5" i="2"/>
  <c r="H5" i="3"/>
  <c r="C30" i="3"/>
  <c r="J30" i="3"/>
  <c r="C30" i="2"/>
  <c r="E30" i="2"/>
  <c r="H30" i="3"/>
  <c r="H30" i="2"/>
  <c r="E30" i="3"/>
  <c r="C49" i="3"/>
  <c r="C49" i="2"/>
  <c r="E49" i="2"/>
  <c r="E49" i="3"/>
  <c r="J49" i="3"/>
  <c r="H49" i="2"/>
  <c r="H49" i="3"/>
  <c r="C53" i="3"/>
  <c r="J53" i="3"/>
  <c r="C53" i="2"/>
  <c r="E53" i="2"/>
  <c r="H53" i="3"/>
  <c r="H53" i="2"/>
  <c r="E53" i="3"/>
  <c r="C46" i="3"/>
  <c r="C46" i="2"/>
  <c r="E46" i="2"/>
  <c r="E46" i="3"/>
  <c r="J46" i="3"/>
  <c r="H46" i="2"/>
  <c r="H46" i="3"/>
  <c r="C28" i="3"/>
  <c r="J28" i="3"/>
  <c r="C28" i="2"/>
  <c r="E28" i="2"/>
  <c r="H28" i="3"/>
  <c r="H28" i="2"/>
  <c r="E28" i="3"/>
  <c r="C3" i="3"/>
  <c r="C3" i="2"/>
  <c r="E3" i="2"/>
  <c r="E3" i="3"/>
  <c r="J3" i="3"/>
  <c r="H3" i="2"/>
  <c r="H3" i="3"/>
  <c r="C39" i="3"/>
  <c r="J39" i="3"/>
  <c r="C39" i="2"/>
  <c r="E39" i="2"/>
  <c r="H39" i="3"/>
  <c r="H39" i="2"/>
  <c r="E39" i="3"/>
  <c r="C51" i="3"/>
  <c r="C51" i="2"/>
  <c r="E51" i="2"/>
  <c r="E51" i="3"/>
  <c r="J51" i="3"/>
  <c r="H51" i="2"/>
  <c r="H51" i="3"/>
  <c r="C10" i="3"/>
  <c r="J10" i="3"/>
  <c r="C10" i="2"/>
  <c r="E10" i="2"/>
  <c r="H10" i="3"/>
  <c r="H10" i="2"/>
  <c r="E10" i="3"/>
  <c r="C11" i="3"/>
  <c r="C11" i="2"/>
  <c r="E11" i="2"/>
  <c r="E11" i="3"/>
  <c r="J11" i="3"/>
  <c r="H11" i="2"/>
  <c r="H11" i="3"/>
  <c r="C24" i="3"/>
  <c r="J24" i="3"/>
  <c r="C24" i="2"/>
  <c r="E24" i="2"/>
  <c r="H24" i="3"/>
  <c r="H24" i="2"/>
  <c r="E24" i="3"/>
  <c r="C4" i="3"/>
  <c r="C4" i="2"/>
  <c r="E4" i="2"/>
  <c r="E4" i="3"/>
  <c r="J4" i="3"/>
  <c r="H4" i="2"/>
  <c r="H4" i="3"/>
  <c r="C22" i="3"/>
  <c r="J22" i="3"/>
  <c r="C22" i="2"/>
  <c r="E22" i="2"/>
  <c r="H22" i="3"/>
  <c r="H22" i="2"/>
  <c r="E22" i="3"/>
  <c r="C54" i="3"/>
  <c r="C54" i="2"/>
  <c r="E54" i="2"/>
  <c r="E54" i="3"/>
  <c r="J54" i="3"/>
  <c r="H54" i="2"/>
  <c r="H54" i="3"/>
  <c r="C48" i="3"/>
  <c r="J48" i="3"/>
  <c r="C48" i="2"/>
  <c r="E48" i="2"/>
  <c r="H48" i="3"/>
  <c r="H48" i="2"/>
  <c r="E48" i="3"/>
  <c r="C47" i="3"/>
  <c r="C47" i="2"/>
  <c r="E47" i="2"/>
  <c r="E47" i="3"/>
  <c r="J47" i="3"/>
  <c r="H47" i="2"/>
  <c r="H47" i="3"/>
  <c r="C17" i="3"/>
  <c r="J17" i="3"/>
  <c r="C17" i="2"/>
  <c r="E17" i="2"/>
  <c r="H17" i="3"/>
  <c r="H17" i="2"/>
  <c r="E17" i="3"/>
  <c r="C13" i="3"/>
  <c r="C13" i="2"/>
  <c r="E13" i="2"/>
  <c r="E13" i="3"/>
  <c r="J13" i="3"/>
  <c r="H13" i="2"/>
  <c r="H13" i="3"/>
  <c r="C33" i="3"/>
  <c r="J33" i="3"/>
  <c r="C33" i="2"/>
  <c r="E33" i="2"/>
  <c r="H33" i="3"/>
  <c r="H33" i="2"/>
  <c r="E33" i="3"/>
  <c r="C38" i="3"/>
  <c r="H38" i="2"/>
  <c r="H38" i="3"/>
  <c r="J38" i="3"/>
  <c r="C38" i="2"/>
  <c r="E38" i="2"/>
  <c r="E38" i="3"/>
  <c r="C45" i="3"/>
  <c r="J45" i="3"/>
  <c r="H45" i="2"/>
  <c r="E45" i="3"/>
  <c r="C45" i="2"/>
  <c r="E45" i="2"/>
  <c r="H45" i="3"/>
  <c r="C31" i="3"/>
  <c r="H31" i="2"/>
  <c r="H31" i="3"/>
  <c r="J31" i="3"/>
  <c r="C31" i="2"/>
  <c r="E31" i="2"/>
  <c r="E31" i="3"/>
  <c r="C20" i="3"/>
  <c r="J20" i="3"/>
  <c r="H20" i="2"/>
  <c r="E20" i="3"/>
  <c r="C20" i="2"/>
  <c r="E20" i="2"/>
  <c r="H20" i="3"/>
  <c r="C8" i="3"/>
  <c r="H8" i="2"/>
  <c r="H8" i="3"/>
  <c r="J8" i="3"/>
  <c r="C8" i="2"/>
  <c r="E8" i="2"/>
  <c r="E8" i="3"/>
  <c r="C50" i="3"/>
  <c r="J50" i="3"/>
  <c r="H50" i="2"/>
  <c r="E50" i="3"/>
  <c r="C50" i="2"/>
  <c r="E50" i="2"/>
  <c r="H50" i="3"/>
  <c r="C34" i="3"/>
  <c r="H34" i="2"/>
  <c r="H34" i="3"/>
  <c r="J34" i="3"/>
  <c r="C34" i="2"/>
  <c r="E34" i="2"/>
  <c r="E34" i="3"/>
  <c r="C36" i="3"/>
  <c r="J36" i="3"/>
  <c r="H36" i="2"/>
  <c r="E36" i="3"/>
  <c r="C36" i="2"/>
  <c r="E36" i="2"/>
  <c r="H36" i="3"/>
  <c r="C14" i="3"/>
  <c r="H14" i="2"/>
  <c r="H14" i="3"/>
  <c r="J14" i="3"/>
  <c r="C14" i="2"/>
  <c r="E14" i="2"/>
  <c r="E14" i="3"/>
  <c r="C15" i="3"/>
  <c r="J15" i="3"/>
  <c r="H15" i="2"/>
  <c r="E15" i="3"/>
  <c r="C15" i="2"/>
  <c r="E15" i="2"/>
  <c r="H15" i="3"/>
  <c r="C32" i="3"/>
  <c r="H32" i="2"/>
  <c r="H32" i="3"/>
  <c r="J32" i="3"/>
  <c r="C32" i="2"/>
  <c r="E32" i="2"/>
  <c r="E32" i="3"/>
  <c r="C26" i="3"/>
  <c r="J26" i="3"/>
  <c r="H26" i="2"/>
  <c r="E26" i="3"/>
  <c r="C26" i="2"/>
  <c r="E26" i="2"/>
  <c r="H26" i="3"/>
  <c r="C18" i="3"/>
  <c r="H18" i="2"/>
  <c r="H18" i="3"/>
  <c r="J18" i="3"/>
  <c r="C18" i="2"/>
  <c r="E18" i="2"/>
  <c r="E18" i="3"/>
  <c r="C52" i="3"/>
  <c r="J52" i="3"/>
  <c r="H52" i="2"/>
  <c r="E52" i="3"/>
  <c r="C52" i="2"/>
  <c r="E52" i="2"/>
  <c r="H52" i="3"/>
  <c r="C44" i="3"/>
  <c r="H44" i="2"/>
  <c r="H44" i="3"/>
  <c r="J44" i="3"/>
  <c r="C44" i="2"/>
  <c r="E44" i="2"/>
  <c r="E44" i="3"/>
  <c r="C19" i="3"/>
  <c r="J19" i="3"/>
  <c r="H19" i="2"/>
  <c r="E19" i="3"/>
  <c r="C19" i="2"/>
  <c r="E19" i="2"/>
  <c r="H19" i="3"/>
  <c r="C7" i="3"/>
  <c r="H7" i="2"/>
  <c r="H7" i="3"/>
  <c r="J7" i="3"/>
  <c r="C7" i="2"/>
  <c r="E7" i="2"/>
  <c r="E7" i="3"/>
  <c r="C25" i="3"/>
  <c r="J25" i="3"/>
  <c r="H25" i="2"/>
  <c r="E25" i="3"/>
  <c r="C25" i="2"/>
  <c r="E25" i="2"/>
  <c r="H25" i="3"/>
  <c r="C41" i="3"/>
  <c r="H41" i="2"/>
  <c r="H41" i="3"/>
  <c r="J41" i="3"/>
  <c r="C41" i="2"/>
  <c r="E41" i="2"/>
  <c r="E41" i="3"/>
  <c r="C35" i="3"/>
  <c r="J35" i="3"/>
  <c r="H35" i="2"/>
  <c r="E35" i="3"/>
  <c r="C35" i="2"/>
  <c r="E35" i="2"/>
  <c r="H35" i="3"/>
  <c r="C12" i="3"/>
  <c r="H12" i="2"/>
  <c r="H12" i="3"/>
  <c r="J12" i="3"/>
  <c r="C12" i="2"/>
  <c r="E12" i="2"/>
  <c r="E12" i="3"/>
  <c r="C42" i="3"/>
  <c r="J42" i="3"/>
  <c r="H42" i="2"/>
  <c r="E42" i="3"/>
  <c r="C42" i="2"/>
  <c r="E42" i="2"/>
  <c r="H42" i="3"/>
  <c r="C27" i="3"/>
  <c r="H27" i="2"/>
  <c r="H27" i="3"/>
  <c r="J27" i="3"/>
  <c r="C27" i="2"/>
  <c r="E27" i="2"/>
  <c r="E27" i="3"/>
  <c r="C9" i="3"/>
  <c r="J9" i="3"/>
  <c r="H9" i="2"/>
  <c r="E9" i="3"/>
  <c r="C9" i="2"/>
  <c r="E9" i="2"/>
  <c r="H9" i="3"/>
  <c r="C43" i="3"/>
  <c r="H43" i="2"/>
  <c r="H43" i="3"/>
  <c r="J43" i="3"/>
  <c r="C43" i="2"/>
  <c r="E43" i="2"/>
  <c r="E43" i="3"/>
  <c r="C37" i="3"/>
  <c r="J37" i="3"/>
  <c r="H37" i="2"/>
  <c r="E37" i="3"/>
  <c r="C37" i="2"/>
  <c r="E37" i="2"/>
  <c r="H37" i="3"/>
  <c r="J37" i="2"/>
  <c r="J43" i="2"/>
  <c r="J9" i="2"/>
  <c r="J27" i="2"/>
  <c r="J42" i="2"/>
  <c r="J12" i="2"/>
  <c r="J35" i="2"/>
  <c r="J41" i="2"/>
  <c r="J25" i="2"/>
  <c r="J7" i="2"/>
  <c r="J19" i="2"/>
  <c r="J44" i="2"/>
  <c r="J52" i="2"/>
  <c r="J18" i="2"/>
  <c r="J26" i="2"/>
  <c r="J32" i="2"/>
  <c r="J15" i="2"/>
  <c r="J14" i="2"/>
  <c r="J36" i="2"/>
  <c r="J34" i="2"/>
  <c r="J50" i="2"/>
  <c r="J8" i="2"/>
  <c r="J20" i="2"/>
  <c r="J31" i="2"/>
  <c r="J45" i="2"/>
  <c r="J38" i="2"/>
  <c r="J13" i="2"/>
  <c r="J17" i="2"/>
  <c r="J47" i="2"/>
  <c r="J48" i="2"/>
  <c r="J54" i="2"/>
  <c r="J22" i="2"/>
  <c r="J4" i="2"/>
  <c r="J24" i="2"/>
  <c r="J11" i="2"/>
  <c r="J10" i="2"/>
  <c r="J51" i="2"/>
  <c r="J39" i="2"/>
  <c r="J3" i="2"/>
  <c r="J28" i="2"/>
  <c r="J46" i="2"/>
  <c r="J53" i="2"/>
  <c r="J49" i="2"/>
  <c r="J30" i="2"/>
  <c r="J5" i="2"/>
  <c r="J40" i="2"/>
  <c r="J16" i="2"/>
  <c r="J6" i="2"/>
  <c r="J23" i="2"/>
  <c r="J29" i="2"/>
  <c r="J21" i="2"/>
  <c r="J33" i="2"/>
</calcChain>
</file>

<file path=xl/sharedStrings.xml><?xml version="1.0" encoding="utf-8"?>
<sst xmlns="http://schemas.openxmlformats.org/spreadsheetml/2006/main" count="567" uniqueCount="187">
  <si>
    <t>Code</t>
  </si>
  <si>
    <t xml:space="preserve">State </t>
  </si>
  <si>
    <t>Population</t>
  </si>
  <si>
    <t xml:space="preserve">Potentially Eligible Population </t>
  </si>
  <si>
    <t xml:space="preserve">Eligible Population </t>
  </si>
  <si>
    <t>Recipients</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</si>
  <si>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</si>
  <si>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</si>
  <si>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</si>
  <si>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</si>
  <si>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</si>
  <si>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</si>
  <si>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</si>
  <si>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</si>
  <si>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</si>
  <si>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</si>
  <si>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</si>
  <si>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</si>
  <si>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</si>
  <si>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</si>
  <si>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</si>
  <si>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</si>
  <si>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</si>
  <si>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</si>
  <si>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</si>
  <si>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</si>
  <si>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</si>
  <si>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</si>
  <si>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</si>
  <si>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</si>
  <si>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</si>
  <si>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</si>
  <si>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</si>
  <si>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</si>
  <si>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</si>
  <si>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</si>
  <si>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</si>
  <si>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</si>
  <si>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</si>
  <si>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</si>
  <si>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</si>
  <si>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</si>
  <si>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</si>
  <si>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</si>
  <si>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</si>
  <si>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</si>
  <si>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</si>
  <si>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</si>
  <si>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</si>
  <si>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</si>
  <si>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</si>
  <si>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</si>
  <si>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</si>
  <si>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</si>
  <si>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</si>
  <si>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</si>
  <si>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</si>
  <si>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</si>
  <si>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</si>
  <si>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</si>
  <si>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</si>
  <si>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</si>
  <si>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</si>
  <si>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</si>
  <si>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</si>
  <si>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</si>
  <si>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</si>
  <si>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</si>
  <si>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</si>
  <si>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</si>
  <si>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</si>
  <si>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</si>
  <si>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</si>
  <si>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</si>
  <si>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</si>
  <si>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</si>
  <si>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</si>
  <si>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</si>
  <si>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</si>
  <si>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</si>
  <si>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</si>
  <si>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</si>
  <si>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</si>
  <si>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</si>
  <si>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</si>
  <si>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</si>
  <si>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</si>
  <si>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</si>
  <si>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</si>
  <si>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</si>
  <si>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</si>
  <si>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</si>
  <si>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</si>
  <si>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</si>
  <si>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</si>
  <si>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</si>
  <si>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</si>
  <si>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</si>
  <si>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</si>
  <si>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</si>
  <si>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</si>
  <si>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</si>
  <si>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</si>
  <si>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</si>
  <si>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</si>
  <si>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</si>
  <si>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</si>
  <si>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</si>
  <si>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</si>
  <si>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</si>
  <si>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(1)</t>
  </si>
  <si>
    <t>(2)</t>
  </si>
  <si>
    <t>Spending Per Capita</t>
  </si>
  <si>
    <t>=</t>
  </si>
  <si>
    <t>Recipient Per Capita</t>
  </si>
  <si>
    <t>*</t>
  </si>
  <si>
    <t>Spending Per Recipient</t>
  </si>
  <si>
    <t>Recipients Per Capita</t>
  </si>
  <si>
    <t>Potentially Eligible Population Per Capita</t>
  </si>
  <si>
    <t>Eligible Population Per Potentially Elegible Population</t>
  </si>
  <si>
    <t xml:space="preserve">Recipient Per Eligible Population </t>
  </si>
  <si>
    <t xml:space="preserve">Term </t>
  </si>
  <si>
    <t>Source</t>
  </si>
  <si>
    <t>Potentially Eligible Population</t>
  </si>
  <si>
    <t>Eligible Population</t>
  </si>
  <si>
    <t>Ratios</t>
  </si>
  <si>
    <t>Spending per capita</t>
  </si>
  <si>
    <t>Function of how many people are enrolled and how much money is being spent per enrollee.</t>
  </si>
  <si>
    <t>Recipients per capita</t>
  </si>
  <si>
    <t>Function of demographics, eligibility rules, and takeup rate.</t>
  </si>
  <si>
    <t>Spending per recipient</t>
  </si>
  <si>
    <t>Potentially Eligible Population/Population</t>
  </si>
  <si>
    <t>Function of demographic conditions, i.e. the number of people who likely need services</t>
  </si>
  <si>
    <t>Eligible Population Per Potentially Eligible Population</t>
  </si>
  <si>
    <t>Function of generosity of state eligibility rules</t>
  </si>
  <si>
    <t>Recipient per Eligible Population</t>
  </si>
  <si>
    <t>Recipients/Eligible Population</t>
  </si>
  <si>
    <t>Takeup rate, function of state outreach and application practices, as well as other internal conditions unique to each state.</t>
  </si>
  <si>
    <t xml:space="preserve">Description </t>
  </si>
  <si>
    <t>Units</t>
  </si>
  <si>
    <t>(3)</t>
  </si>
  <si>
    <t>Unit Per Recipient</t>
  </si>
  <si>
    <t>Spending Per Unit</t>
  </si>
  <si>
    <t>Link</t>
  </si>
  <si>
    <t>http://www.census.gov/cps/data/cpstablecreator.html</t>
  </si>
  <si>
    <t>U.S. Bureau of the Census. Current Population Survey. Annual Social and Economic Supplement, 2011 - 2012 (2-Year Average).</t>
  </si>
  <si>
    <t>Notes</t>
  </si>
  <si>
    <t>TANF: Temporary Assistance for Needy Families (i.e. "welfare")</t>
  </si>
  <si>
    <t>Program</t>
  </si>
  <si>
    <t>Expenditures</t>
  </si>
  <si>
    <t xml:space="preserve">http://www.acf.hhs.gov/programs/ofa/resource/tanf-financial-data-fy-2012 </t>
  </si>
  <si>
    <t>U.S. Department of Health and Human Services Department. Office of the Administration for Children and Families. Office of Family Asssistance. TANF Financial Data - FY 2012.</t>
  </si>
  <si>
    <t>CCDF: Child Care and Development Fund (i.e. "child care")</t>
  </si>
  <si>
    <t xml:space="preserve">http://www.acf.hhs.gov/programs/occ/resource/fy-2012-ccdf-data-tables-final </t>
  </si>
  <si>
    <t xml:space="preserve">http://www.acf.hhs.gov/programs/occ/resource/ccdf-expenditure-data-all-years </t>
  </si>
  <si>
    <t>CCDF is not the only funding source of state spending on subsidized child care. Both TANF and SSBG, for example, provide varying levels of funding for child care services by state. We chose to decompose CCDF as its own program, rather than to aggregate the sources of child care spending, in order to more accurately decompose program spending by caseload.</t>
  </si>
  <si>
    <t>U.S. Department of Health and Human Services Department. Office of the Administration for Children and Families. Office of Family Asssistance. FY 2012 CCDF Expenditure Data.</t>
  </si>
  <si>
    <t>Persons in poverty universe, by state and U.S. total</t>
  </si>
  <si>
    <t>Persons in poverty universe with household income below 200% FPL and with at least one related child under age 18 in the household, by state and U.S. total</t>
  </si>
  <si>
    <t>The persons eligible for TANF under current state and federal eligibility rules, by state and U.S. total</t>
  </si>
  <si>
    <t>Federal TANF and State MOE Expenditures in FY 2012, excluding transfers to CCDF or SSBG, by state and U.S. total</t>
  </si>
  <si>
    <t>Total CCDF expenditures, including TANF transfers, by state and U.S. total</t>
  </si>
  <si>
    <t>Total number of child care providers receiving CCDF funds, by state and U.S. total</t>
  </si>
  <si>
    <t>U.S. Department of Health and Human Services Department. Office of the Administration for Children and Families. Office of Family Asssistance. FY 2012 CCDF Data Tables.</t>
  </si>
  <si>
    <t>We selected a 2-year average to approximate FY 2012 which runs from October 2011 - September 2012. CPS data are subject to margins of error.</t>
  </si>
  <si>
    <t>Survey participants report age data for the current survey year and income-to-poverty ratio data for the prior year. We selected a 2-year average to approximate FY 2012 which runs from October 2011 - September 2012. CPS data are subject to margins of error.</t>
  </si>
  <si>
    <t>SSBG: Social Services Block Grant (i.e. "community services")</t>
  </si>
  <si>
    <t>Total number of recipients of SSBG funding, all ages, all programs</t>
  </si>
  <si>
    <r>
      <t xml:space="preserve">U.S. Department of Health and Human Services. Office of Community Services. Administration for Children and Families. </t>
    </r>
    <r>
      <rPr>
        <i/>
        <sz val="11"/>
        <color theme="1"/>
        <rFont val="Calibri"/>
        <family val="2"/>
        <scheme val="minor"/>
      </rPr>
      <t>Social Services Block Grant Program 2012 Annual Report</t>
    </r>
    <r>
      <rPr>
        <sz val="11"/>
        <color theme="1"/>
        <rFont val="Calibri"/>
        <family val="2"/>
        <scheme val="minor"/>
      </rPr>
      <t xml:space="preserve">. </t>
    </r>
  </si>
  <si>
    <t>http://www.acf.hhs.gov/programs/ocs/resource/ssbg-2012-annual-report</t>
  </si>
  <si>
    <t>We do not decompose SSBG spending further because of the diverse array of programs that fall under this funding source.</t>
  </si>
  <si>
    <t>Program Expenditures/Population</t>
  </si>
  <si>
    <t>Prgoram Recipients/Population</t>
  </si>
  <si>
    <t>Program Expenditures/Recipients</t>
  </si>
  <si>
    <t>Program 1: TANF - "Welfare"</t>
  </si>
  <si>
    <t>Program 2: CCDF - "Child Care"</t>
  </si>
  <si>
    <t>Total Population</t>
  </si>
  <si>
    <t>Program 3: SSBG (Total)</t>
  </si>
  <si>
    <t>Urban Institute TRIM3 estimates, using CPS, CY 2011 and 2012 2-year average</t>
  </si>
  <si>
    <t>Recipients of federal TANF and State MOE benefits in FY 2012</t>
  </si>
  <si>
    <t>Administrative data adjusted to match the TRIM3 and CPS eligibility universe, CY 2011 - 2012 average</t>
  </si>
  <si>
    <t>http://trim3.urban.org/T3Welcome.php</t>
  </si>
  <si>
    <t>Income and Benefits Policey Center</t>
  </si>
  <si>
    <t>We selected a 2-year average to approximate FY 2012 which runs from October 2011 - September 2012.</t>
  </si>
  <si>
    <t>The persons eligible for CCDFunder current state and federal eligibility rules, by state and U.S. total</t>
  </si>
  <si>
    <t>CCDF recipients (average monthly person count)</t>
  </si>
  <si>
    <t>Sum of SSBG expenditures, TANF transfers, and federal, state, and local funds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</si>
</sst>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quot;$&quot;* #,##0_);_(&quot;$&quot;* \(#,##0\);_(&quot;$&quot;* &quot;-&quot;??_);_(@_)"/>
    <numFmt numFmtId="166" formatCode="0.000"/>
    <numFmt numFmtId="167" formatCode="_(* #,##0.000_);_(* \(#,##0.000\);_(* &quot;-&quot;??_);_(@_)"/>
  </numFmts>
  <fonts count="7" x14ac:knownFonts="1">
    <font>
      <sz val="11"/>
      <color theme="1"/>
      <name val="Calibri"/>
      <family val="2"/>
      <scheme val="minor"/>
    </font>
    <font>
      <sz val="11"/>
      <color theme="1"/>
      <name val="Calibri"/>
      <family val="2"/>
      <scheme val="minor"/>
    </font>
    <font>
      <b/>
      <sz val="11"/>
      <name val="Cambria"/>
      <family val="1"/>
      <scheme val="major"/>
    </font>
    <font>
      <sz val="11"/>
      <name val="Cambria"/>
      <family val="1"/>
      <scheme val="major"/>
    </font>
    <font>
      <b/>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25">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auto="1"/>
      </right>
      <top/>
      <bottom/>
      <diagonal/>
    </border>
    <border>
      <left style="thin">
        <color indexed="64"/>
      </left>
      <right style="thick">
        <color auto="1"/>
      </right>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130">
    <xf numFmtId="0" fontId="0" fillId="0" borderId="0" xfId="0"/>
    <xf numFmtId="0" fontId="2" fillId="0" borderId="3" xfId="0" applyFont="1" applyBorder="1" applyAlignment="1">
      <alignment horizontal="center"/>
    </xf>
    <xf numFmtId="0" fontId="2" fillId="0" borderId="3" xfId="0" applyFont="1" applyBorder="1" applyAlignment="1">
      <alignment horizontal="center" wrapText="1"/>
    </xf>
    <xf numFmtId="0" fontId="0" fillId="0" borderId="0" xfId="0" applyAlignment="1">
      <alignment wrapText="1"/>
    </xf>
    <xf numFmtId="165" fontId="0" fillId="0" borderId="10" xfId="1" applyNumberFormat="1" applyFont="1" applyBorder="1"/>
    <xf numFmtId="43" fontId="0" fillId="0" borderId="0" xfId="1" applyFont="1" applyBorder="1"/>
    <xf numFmtId="43" fontId="0" fillId="0" borderId="8" xfId="1" applyFont="1" applyBorder="1"/>
    <xf numFmtId="43" fontId="0" fillId="0" borderId="1" xfId="1" applyFont="1" applyBorder="1"/>
    <xf numFmtId="165" fontId="0" fillId="0" borderId="0" xfId="0" applyNumberFormat="1"/>
    <xf numFmtId="0" fontId="2" fillId="0" borderId="13" xfId="0" applyFont="1" applyBorder="1" applyAlignment="1">
      <alignment horizontal="center"/>
    </xf>
    <xf numFmtId="164" fontId="0" fillId="0" borderId="0" xfId="1" applyNumberFormat="1" applyFont="1" applyBorder="1"/>
    <xf numFmtId="164" fontId="0" fillId="0" borderId="8" xfId="1" applyNumberFormat="1" applyFont="1" applyBorder="1"/>
    <xf numFmtId="164" fontId="0" fillId="0" borderId="1" xfId="1" applyNumberFormat="1" applyFont="1" applyBorder="1"/>
    <xf numFmtId="0" fontId="2" fillId="0" borderId="3" xfId="0" applyFont="1" applyBorder="1" applyAlignment="1">
      <alignment horizontal="left"/>
    </xf>
    <xf numFmtId="0" fontId="0" fillId="0" borderId="0" xfId="0" applyAlignment="1">
      <alignment horizontal="left"/>
    </xf>
    <xf numFmtId="0" fontId="4" fillId="0" borderId="0" xfId="0" applyFont="1" applyAlignment="1"/>
    <xf numFmtId="0" fontId="0" fillId="0" borderId="0" xfId="0" applyAlignment="1"/>
    <xf numFmtId="0" fontId="0" fillId="0" borderId="0" xfId="0" applyBorder="1"/>
    <xf numFmtId="0" fontId="0" fillId="0" borderId="0" xfId="0" applyBorder="1" applyAlignment="1">
      <alignment wrapText="1"/>
    </xf>
    <xf numFmtId="0" fontId="0" fillId="0" borderId="0" xfId="0" applyFill="1" applyBorder="1" applyAlignment="1">
      <alignment wrapText="1"/>
    </xf>
    <xf numFmtId="0" fontId="3" fillId="0" borderId="7" xfId="0" applyFont="1" applyBorder="1"/>
    <xf numFmtId="0" fontId="3" fillId="0" borderId="8" xfId="0" applyFont="1" applyBorder="1"/>
    <xf numFmtId="0" fontId="3" fillId="0" borderId="10" xfId="0" applyFont="1" applyBorder="1"/>
    <xf numFmtId="0" fontId="3" fillId="0" borderId="0" xfId="0" applyFont="1" applyBorder="1"/>
    <xf numFmtId="0" fontId="3" fillId="0" borderId="12" xfId="0" applyFont="1" applyBorder="1"/>
    <xf numFmtId="0" fontId="3" fillId="0" borderId="1" xfId="0" applyFont="1" applyBorder="1"/>
    <xf numFmtId="0" fontId="2" fillId="0" borderId="7" xfId="0" applyFont="1" applyBorder="1"/>
    <xf numFmtId="0" fontId="2" fillId="0" borderId="10" xfId="0" applyFont="1" applyBorder="1"/>
    <xf numFmtId="0" fontId="2" fillId="0" borderId="12" xfId="0" applyFont="1" applyBorder="1"/>
    <xf numFmtId="165" fontId="0" fillId="0" borderId="7" xfId="1" applyNumberFormat="1" applyFont="1" applyBorder="1"/>
    <xf numFmtId="165" fontId="0" fillId="0" borderId="12" xfId="1" applyNumberFormat="1" applyFont="1" applyBorder="1"/>
    <xf numFmtId="0" fontId="0" fillId="0" borderId="8" xfId="0" applyBorder="1" applyAlignment="1"/>
    <xf numFmtId="0" fontId="0" fillId="0" borderId="8" xfId="0" applyBorder="1" applyAlignment="1">
      <alignment wrapText="1"/>
    </xf>
    <xf numFmtId="0" fontId="0" fillId="0" borderId="9" xfId="0" applyBorder="1" applyAlignment="1">
      <alignment wrapText="1"/>
    </xf>
    <xf numFmtId="0" fontId="0" fillId="0" borderId="11" xfId="0" applyFill="1" applyBorder="1" applyAlignment="1">
      <alignment wrapText="1"/>
    </xf>
    <xf numFmtId="0" fontId="0" fillId="0" borderId="11" xfId="0"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0" xfId="0" applyBorder="1" applyAlignment="1"/>
    <xf numFmtId="0" fontId="0" fillId="0" borderId="8" xfId="0" applyFill="1" applyBorder="1" applyAlignment="1">
      <alignment wrapText="1"/>
    </xf>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9" xfId="1" applyNumberFormat="1" applyFont="1" applyBorder="1"/>
    <xf numFmtId="0" fontId="2" fillId="0" borderId="13" xfId="0" applyFont="1" applyBorder="1" applyAlignment="1">
      <alignment horizontal="center" wrapText="1"/>
    </xf>
    <xf numFmtId="165" fontId="2" fillId="0" borderId="13" xfId="0" applyNumberFormat="1" applyFont="1" applyBorder="1" applyAlignment="1">
      <alignment horizontal="center" wrapText="1"/>
    </xf>
    <xf numFmtId="0" fontId="2" fillId="0" borderId="8" xfId="0" applyFont="1" applyBorder="1"/>
    <xf numFmtId="2" fontId="0" fillId="0" borderId="8" xfId="1" applyNumberFormat="1" applyFont="1" applyBorder="1"/>
    <xf numFmtId="0" fontId="2" fillId="0" borderId="0" xfId="0" applyFont="1" applyBorder="1"/>
    <xf numFmtId="2" fontId="0" fillId="0" borderId="0" xfId="1" applyNumberFormat="1" applyFont="1" applyBorder="1"/>
    <xf numFmtId="0" fontId="2" fillId="0" borderId="1" xfId="0" applyFont="1" applyBorder="1"/>
    <xf numFmtId="2" fontId="0" fillId="0" borderId="1" xfId="1" applyNumberFormat="1" applyFont="1" applyBorder="1"/>
    <xf numFmtId="166" fontId="0" fillId="0" borderId="0" xfId="0" applyNumberFormat="1"/>
    <xf numFmtId="166" fontId="0" fillId="0" borderId="0" xfId="1" applyNumberFormat="1" applyFont="1" applyBorder="1"/>
    <xf numFmtId="166" fontId="0" fillId="0" borderId="1" xfId="1" applyNumberFormat="1" applyFont="1" applyBorder="1"/>
    <xf numFmtId="167" fontId="0" fillId="0" borderId="0" xfId="1" applyNumberFormat="1" applyFont="1"/>
    <xf numFmtId="167" fontId="2" fillId="0" borderId="13" xfId="1" applyNumberFormat="1" applyFont="1" applyBorder="1" applyAlignment="1">
      <alignment horizontal="center" wrapText="1"/>
    </xf>
    <xf numFmtId="167" fontId="0" fillId="0" borderId="0" xfId="1" applyNumberFormat="1" applyFont="1" applyBorder="1"/>
    <xf numFmtId="167" fontId="0" fillId="0" borderId="8" xfId="1" applyNumberFormat="1" applyFont="1" applyBorder="1"/>
    <xf numFmtId="167" fontId="0" fillId="0" borderId="1" xfId="1" applyNumberFormat="1" applyFont="1" applyBorder="1"/>
    <xf numFmtId="165" fontId="0" fillId="0" borderId="0" xfId="1" applyNumberFormat="1" applyFont="1" applyBorder="1"/>
    <xf numFmtId="2" fontId="0" fillId="0" borderId="0" xfId="0" applyNumberFormat="1"/>
    <xf numFmtId="165" fontId="0" fillId="0" borderId="8" xfId="1" applyNumberFormat="1" applyFont="1" applyBorder="1"/>
    <xf numFmtId="165" fontId="0" fillId="0" borderId="1" xfId="1" applyNumberFormat="1" applyFont="1" applyBorder="1"/>
    <xf numFmtId="164" fontId="0" fillId="0" borderId="16" xfId="1" applyNumberFormat="1" applyFont="1" applyBorder="1"/>
    <xf numFmtId="164" fontId="0" fillId="0" borderId="17" xfId="1" applyNumberFormat="1" applyFont="1" applyBorder="1"/>
    <xf numFmtId="164" fontId="0" fillId="0" borderId="18" xfId="1" applyNumberFormat="1" applyFont="1" applyBorder="1"/>
    <xf numFmtId="165" fontId="2" fillId="0" borderId="5" xfId="0" applyNumberFormat="1" applyFont="1" applyBorder="1" applyAlignment="1">
      <alignment horizontal="center" wrapText="1"/>
    </xf>
    <xf numFmtId="2" fontId="2" fillId="0" borderId="5" xfId="0" applyNumberFormat="1" applyFont="1" applyBorder="1" applyAlignment="1">
      <alignment horizontal="center" wrapText="1"/>
    </xf>
    <xf numFmtId="165" fontId="2" fillId="0" borderId="6" xfId="0" applyNumberFormat="1" applyFont="1" applyBorder="1" applyAlignment="1">
      <alignment horizontal="center" wrapText="1"/>
    </xf>
    <xf numFmtId="0" fontId="2" fillId="0" borderId="7"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166" fontId="2" fillId="0" borderId="5" xfId="0" applyNumberFormat="1" applyFont="1" applyBorder="1" applyAlignment="1">
      <alignment horizontal="center" wrapText="1"/>
    </xf>
    <xf numFmtId="167" fontId="2" fillId="0" borderId="3" xfId="1" applyNumberFormat="1" applyFont="1" applyBorder="1" applyAlignment="1">
      <alignment horizontal="center" wrapText="1"/>
    </xf>
    <xf numFmtId="165" fontId="2" fillId="0" borderId="20" xfId="0" applyNumberFormat="1" applyFont="1" applyBorder="1" applyAlignment="1">
      <alignment horizontal="center" wrapText="1"/>
    </xf>
    <xf numFmtId="164" fontId="2" fillId="0" borderId="18" xfId="1" applyNumberFormat="1" applyFont="1" applyBorder="1" applyAlignment="1">
      <alignment horizontal="center"/>
    </xf>
    <xf numFmtId="0" fontId="2" fillId="0" borderId="9" xfId="0" applyFont="1" applyBorder="1" applyAlignment="1">
      <alignment horizontal="center"/>
    </xf>
    <xf numFmtId="0" fontId="2" fillId="0" borderId="22" xfId="0" applyFont="1" applyBorder="1" applyAlignment="1">
      <alignment horizontal="center"/>
    </xf>
    <xf numFmtId="0" fontId="4" fillId="0" borderId="0" xfId="0" applyFont="1"/>
    <xf numFmtId="0" fontId="2" fillId="0" borderId="9" xfId="0" applyFont="1" applyBorder="1" applyAlignment="1">
      <alignment horizontal="center"/>
    </xf>
    <xf numFmtId="165" fontId="2" fillId="0" borderId="9" xfId="0" applyNumberFormat="1" applyFont="1" applyBorder="1" applyAlignment="1">
      <alignment horizontal="center" wrapText="1"/>
    </xf>
    <xf numFmtId="0" fontId="2" fillId="0" borderId="4" xfId="0" applyFont="1" applyBorder="1" applyAlignment="1">
      <alignment horizontal="left"/>
    </xf>
    <xf numFmtId="164" fontId="2" fillId="0" borderId="22" xfId="1" applyNumberFormat="1" applyFont="1" applyBorder="1" applyAlignment="1">
      <alignment horizontal="center"/>
    </xf>
    <xf numFmtId="164" fontId="0" fillId="0" borderId="23" xfId="1" applyNumberFormat="1" applyFont="1" applyBorder="1"/>
    <xf numFmtId="164" fontId="0" fillId="0" borderId="24" xfId="1" applyNumberFormat="1" applyFont="1" applyBorder="1"/>
    <xf numFmtId="0" fontId="0" fillId="0" borderId="17" xfId="0" applyBorder="1"/>
    <xf numFmtId="165" fontId="2" fillId="0" borderId="22" xfId="0" applyNumberFormat="1" applyFont="1" applyBorder="1" applyAlignment="1">
      <alignment horizontal="center" wrapText="1"/>
    </xf>
    <xf numFmtId="0" fontId="2" fillId="0" borderId="22" xfId="0" applyFont="1" applyBorder="1" applyAlignment="1">
      <alignment horizontal="center" wrapText="1"/>
    </xf>
    <xf numFmtId="2" fontId="0" fillId="0" borderId="16" xfId="1" applyNumberFormat="1" applyFont="1" applyBorder="1"/>
    <xf numFmtId="2" fontId="0" fillId="0" borderId="17" xfId="1" applyNumberFormat="1" applyFont="1" applyBorder="1"/>
    <xf numFmtId="2" fontId="0" fillId="0" borderId="18" xfId="1" applyNumberFormat="1" applyFont="1" applyBorder="1"/>
    <xf numFmtId="0" fontId="2" fillId="0" borderId="9" xfId="0" applyFont="1" applyBorder="1" applyAlignment="1">
      <alignment horizontal="center"/>
    </xf>
    <xf numFmtId="166" fontId="0" fillId="0" borderId="17" xfId="1" applyNumberFormat="1" applyFont="1" applyBorder="1"/>
    <xf numFmtId="166" fontId="0" fillId="0" borderId="18" xfId="1" applyNumberFormat="1" applyFont="1" applyBorder="1"/>
    <xf numFmtId="165" fontId="2" fillId="0" borderId="3" xfId="0" applyNumberFormat="1" applyFont="1" applyBorder="1" applyAlignment="1">
      <alignment horizontal="center" wrapText="1"/>
    </xf>
    <xf numFmtId="0" fontId="5" fillId="0" borderId="0" xfId="2" applyBorder="1" applyAlignment="1"/>
    <xf numFmtId="0" fontId="5" fillId="0" borderId="0" xfId="2" applyBorder="1"/>
    <xf numFmtId="0" fontId="5" fillId="0" borderId="8" xfId="2" applyBorder="1" applyAlignment="1"/>
    <xf numFmtId="0" fontId="0" fillId="0" borderId="1" xfId="0" applyBorder="1" applyAlignment="1"/>
    <xf numFmtId="0" fontId="5" fillId="0" borderId="1" xfId="2" applyBorder="1"/>
    <xf numFmtId="0" fontId="4" fillId="0" borderId="0" xfId="0" applyFont="1" applyAlignment="1">
      <alignment wrapText="1"/>
    </xf>
    <xf numFmtId="0" fontId="5" fillId="0" borderId="1" xfId="2" applyBorder="1" applyAlignment="1"/>
    <xf numFmtId="0" fontId="5" fillId="0" borderId="8" xfId="2"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19"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xf>
    <xf numFmtId="0" fontId="2" fillId="0" borderId="21"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165" fontId="2" fillId="0" borderId="7" xfId="0" applyNumberFormat="1" applyFont="1" applyBorder="1" applyAlignment="1">
      <alignment horizontal="center" wrapText="1"/>
    </xf>
    <xf numFmtId="165" fontId="2" fillId="0" borderId="8" xfId="0" applyNumberFormat="1" applyFont="1" applyBorder="1" applyAlignment="1">
      <alignment horizontal="center" wrapText="1"/>
    </xf>
    <xf numFmtId="165" fontId="2" fillId="0" borderId="9" xfId="0" applyNumberFormat="1" applyFont="1" applyBorder="1" applyAlignment="1">
      <alignment horizontal="center" wrapText="1"/>
    </xf>
    <xf numFmtId="0" fontId="2" fillId="0" borderId="6" xfId="0" applyFont="1" applyBorder="1" applyAlignment="1">
      <alignment horizont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1" xfId="0"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PC/CENTER/SLFI/WebInteractive/Webtool%20Data/TRIM%20Eligibility%20and%20Participation%20Estima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PC/CENTER/SLFI/WebInteractive/Webtool%20Data/Public%20Welfare/TANF%20-%20CCDF%20-%20SSBG/TANF%20and%20CCDF/TANF%20and%20CCDF%20Spending%20FY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PC/CENTER/SLFI/WebInteractive/Webtool%20Data/Public%20Welfare/TANF%20-%20CCDF%20-%20SSBG/TANF%20and%20CCDF/Familial%20and%20Income%20Status_CPS%202011%20-%20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PC/CENTER/SLFI/WebInteractive/Webtool%20Data/Public%20Welfare/TANF%20-%20CCDF%20-%20SSBG/SSBG%20-%20Community%20Services/SSBG%20Expenditures%20and%20Recipients%20FY%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DF"/>
      <sheetName val="CCDF - Totals"/>
      <sheetName val="SSI-elderly"/>
      <sheetName val="SSI-disabled"/>
      <sheetName val="SSI - Totals"/>
      <sheetName val="TANF"/>
      <sheetName val="TANF - Totals"/>
      <sheetName val="Mcd-children"/>
      <sheetName val="Mcd-adults"/>
      <sheetName val="Mcd-disabled"/>
      <sheetName val="Mcd-elderly"/>
      <sheetName val="Medicaid - Totals"/>
      <sheetName val="Notes"/>
    </sheetNames>
    <sheetDataSet>
      <sheetData sheetId="0" refreshError="1"/>
      <sheetData sheetId="1" refreshError="1">
        <row r="3">
          <cell r="A3" t="str">
            <v>Alabama</v>
          </cell>
          <cell r="B3">
            <v>90684</v>
          </cell>
          <cell r="C3">
            <v>26550</v>
          </cell>
        </row>
        <row r="4">
          <cell r="A4" t="str">
            <v>Alaska</v>
          </cell>
          <cell r="B4">
            <v>25795.5</v>
          </cell>
          <cell r="C4">
            <v>4200</v>
          </cell>
        </row>
        <row r="5">
          <cell r="A5" t="str">
            <v>Arizona</v>
          </cell>
          <cell r="B5">
            <v>173482</v>
          </cell>
          <cell r="C5">
            <v>26750</v>
          </cell>
        </row>
        <row r="6">
          <cell r="A6" t="str">
            <v>Arkansas</v>
          </cell>
          <cell r="B6">
            <v>78088.5</v>
          </cell>
          <cell r="C6">
            <v>8050</v>
          </cell>
        </row>
        <row r="7">
          <cell r="A7" t="str">
            <v>California</v>
          </cell>
          <cell r="B7">
            <v>1247105</v>
          </cell>
          <cell r="C7">
            <v>107850</v>
          </cell>
        </row>
        <row r="8">
          <cell r="A8" t="str">
            <v>Colorado</v>
          </cell>
          <cell r="B8">
            <v>123367.5</v>
          </cell>
          <cell r="C8">
            <v>16350</v>
          </cell>
        </row>
        <row r="9">
          <cell r="A9" t="str">
            <v>Connecticut</v>
          </cell>
          <cell r="B9">
            <v>86091</v>
          </cell>
          <cell r="C9">
            <v>9550</v>
          </cell>
        </row>
        <row r="10">
          <cell r="A10" t="str">
            <v>Delaware</v>
          </cell>
          <cell r="B10">
            <v>31515.5</v>
          </cell>
          <cell r="C10">
            <v>6900</v>
          </cell>
        </row>
        <row r="11">
          <cell r="A11" t="str">
            <v>District of Columbia</v>
          </cell>
          <cell r="B11">
            <v>18333</v>
          </cell>
          <cell r="C11">
            <v>1300</v>
          </cell>
        </row>
        <row r="12">
          <cell r="A12" t="str">
            <v>Florida</v>
          </cell>
          <cell r="B12">
            <v>404005.5</v>
          </cell>
          <cell r="C12">
            <v>88200</v>
          </cell>
        </row>
        <row r="13">
          <cell r="A13" t="str">
            <v>Georgia</v>
          </cell>
          <cell r="B13">
            <v>237606.5</v>
          </cell>
          <cell r="C13">
            <v>53450</v>
          </cell>
        </row>
        <row r="14">
          <cell r="A14" t="str">
            <v>Hawaii</v>
          </cell>
          <cell r="B14">
            <v>53409</v>
          </cell>
          <cell r="C14">
            <v>9000</v>
          </cell>
        </row>
        <row r="15">
          <cell r="A15" t="str">
            <v>Idaho</v>
          </cell>
          <cell r="B15">
            <v>31686</v>
          </cell>
          <cell r="C15">
            <v>6400</v>
          </cell>
        </row>
        <row r="16">
          <cell r="A16" t="str">
            <v>Illinois</v>
          </cell>
          <cell r="B16">
            <v>450497.5</v>
          </cell>
          <cell r="C16">
            <v>57900</v>
          </cell>
        </row>
        <row r="17">
          <cell r="A17" t="str">
            <v>Indiana</v>
          </cell>
          <cell r="B17">
            <v>157879</v>
          </cell>
          <cell r="C17">
            <v>33300</v>
          </cell>
        </row>
        <row r="18">
          <cell r="A18" t="str">
            <v>Iowa</v>
          </cell>
          <cell r="B18">
            <v>54937.5</v>
          </cell>
          <cell r="C18">
            <v>15900</v>
          </cell>
        </row>
        <row r="19">
          <cell r="A19" t="str">
            <v>Kansas</v>
          </cell>
          <cell r="B19">
            <v>96548.5</v>
          </cell>
          <cell r="C19">
            <v>19700</v>
          </cell>
        </row>
        <row r="20">
          <cell r="A20" t="str">
            <v>Kentucky</v>
          </cell>
          <cell r="B20">
            <v>121103</v>
          </cell>
          <cell r="C20">
            <v>27650</v>
          </cell>
        </row>
        <row r="21">
          <cell r="A21" t="str">
            <v>Louisiana</v>
          </cell>
          <cell r="B21">
            <v>145551.5</v>
          </cell>
          <cell r="C21">
            <v>32350</v>
          </cell>
        </row>
        <row r="22">
          <cell r="A22" t="str">
            <v>Maine</v>
          </cell>
          <cell r="B22">
            <v>41549.5</v>
          </cell>
          <cell r="C22">
            <v>2650</v>
          </cell>
        </row>
        <row r="23">
          <cell r="A23" t="str">
            <v>Maryland</v>
          </cell>
          <cell r="B23">
            <v>108108</v>
          </cell>
          <cell r="C23">
            <v>21650</v>
          </cell>
        </row>
        <row r="24">
          <cell r="A24" t="str">
            <v>Massachusetts</v>
          </cell>
          <cell r="B24">
            <v>133369</v>
          </cell>
          <cell r="C24">
            <v>28250</v>
          </cell>
        </row>
        <row r="25">
          <cell r="A25" t="str">
            <v>Michigan</v>
          </cell>
          <cell r="B25">
            <v>170642</v>
          </cell>
          <cell r="C25">
            <v>53550</v>
          </cell>
        </row>
        <row r="26">
          <cell r="A26" t="str">
            <v>Minnesota</v>
          </cell>
          <cell r="B26">
            <v>114158.5</v>
          </cell>
          <cell r="C26">
            <v>28450</v>
          </cell>
        </row>
        <row r="27">
          <cell r="A27" t="str">
            <v>Mississippi</v>
          </cell>
          <cell r="B27">
            <v>107528.5</v>
          </cell>
          <cell r="C27">
            <v>21650</v>
          </cell>
        </row>
        <row r="28">
          <cell r="A28" t="str">
            <v>Missouri</v>
          </cell>
          <cell r="B28">
            <v>121261</v>
          </cell>
          <cell r="C28">
            <v>44600</v>
          </cell>
        </row>
        <row r="29">
          <cell r="A29" t="str">
            <v>Montana</v>
          </cell>
          <cell r="B29">
            <v>17034.5</v>
          </cell>
          <cell r="C29">
            <v>4300</v>
          </cell>
        </row>
        <row r="30">
          <cell r="A30" t="str">
            <v>Nebraska</v>
          </cell>
          <cell r="B30">
            <v>36488</v>
          </cell>
          <cell r="C30">
            <v>11600</v>
          </cell>
        </row>
        <row r="31">
          <cell r="A31" t="str">
            <v>Nevada</v>
          </cell>
          <cell r="B31">
            <v>119017</v>
          </cell>
          <cell r="C31">
            <v>6050</v>
          </cell>
        </row>
        <row r="32">
          <cell r="A32" t="str">
            <v>New Hampshire</v>
          </cell>
          <cell r="B32">
            <v>28039.5</v>
          </cell>
          <cell r="C32">
            <v>4900</v>
          </cell>
        </row>
        <row r="33">
          <cell r="A33" t="str">
            <v>New Jersey</v>
          </cell>
          <cell r="B33">
            <v>192153</v>
          </cell>
          <cell r="C33">
            <v>33850</v>
          </cell>
        </row>
        <row r="34">
          <cell r="A34" t="str">
            <v>New Mexico</v>
          </cell>
          <cell r="B34">
            <v>96017</v>
          </cell>
          <cell r="C34">
            <v>20150</v>
          </cell>
        </row>
        <row r="35">
          <cell r="A35" t="str">
            <v>New York</v>
          </cell>
          <cell r="B35">
            <v>519486.5</v>
          </cell>
          <cell r="C35">
            <v>126750</v>
          </cell>
        </row>
        <row r="36">
          <cell r="A36" t="str">
            <v>North Carolina</v>
          </cell>
          <cell r="B36">
            <v>323670.5</v>
          </cell>
          <cell r="C36">
            <v>76050</v>
          </cell>
        </row>
        <row r="37">
          <cell r="A37" t="str">
            <v>North Dakota</v>
          </cell>
          <cell r="B37">
            <v>15302.5</v>
          </cell>
          <cell r="C37">
            <v>3000</v>
          </cell>
        </row>
        <row r="38">
          <cell r="A38" t="str">
            <v>Ohio</v>
          </cell>
          <cell r="B38">
            <v>236044.5</v>
          </cell>
          <cell r="C38">
            <v>47000</v>
          </cell>
        </row>
        <row r="39">
          <cell r="A39" t="str">
            <v>Oklahoma</v>
          </cell>
          <cell r="B39">
            <v>142013.5</v>
          </cell>
          <cell r="C39">
            <v>26400</v>
          </cell>
        </row>
        <row r="40">
          <cell r="A40" t="str">
            <v>Oregon</v>
          </cell>
          <cell r="B40">
            <v>79285</v>
          </cell>
          <cell r="C40">
            <v>16300</v>
          </cell>
        </row>
        <row r="41">
          <cell r="A41" t="str">
            <v>Pennsylvania</v>
          </cell>
          <cell r="B41">
            <v>301853</v>
          </cell>
          <cell r="C41">
            <v>98350</v>
          </cell>
        </row>
        <row r="42">
          <cell r="A42" t="str">
            <v>Rhode Island</v>
          </cell>
          <cell r="B42">
            <v>22910.5</v>
          </cell>
          <cell r="C42">
            <v>5600</v>
          </cell>
        </row>
        <row r="43">
          <cell r="A43" t="str">
            <v>South Carolina</v>
          </cell>
          <cell r="B43">
            <v>115603</v>
          </cell>
          <cell r="C43">
            <v>16750</v>
          </cell>
        </row>
        <row r="44">
          <cell r="A44" t="str">
            <v>South Dakota</v>
          </cell>
          <cell r="B44">
            <v>23764.5</v>
          </cell>
          <cell r="C44">
            <v>5600</v>
          </cell>
        </row>
        <row r="45">
          <cell r="A45" t="str">
            <v>Tennessee</v>
          </cell>
          <cell r="B45">
            <v>164645</v>
          </cell>
          <cell r="C45">
            <v>42500</v>
          </cell>
        </row>
        <row r="46">
          <cell r="A46" t="str">
            <v>Texas</v>
          </cell>
          <cell r="B46">
            <v>1123915</v>
          </cell>
          <cell r="C46">
            <v>126550</v>
          </cell>
        </row>
        <row r="47">
          <cell r="A47" t="str">
            <v>Utah</v>
          </cell>
          <cell r="B47">
            <v>79918.5</v>
          </cell>
          <cell r="C47">
            <v>12200</v>
          </cell>
        </row>
        <row r="48">
          <cell r="A48" t="str">
            <v>Vermont</v>
          </cell>
          <cell r="B48">
            <v>14290</v>
          </cell>
          <cell r="C48">
            <v>4500</v>
          </cell>
        </row>
        <row r="49">
          <cell r="A49" t="str">
            <v>Virginia</v>
          </cell>
          <cell r="B49">
            <v>162780</v>
          </cell>
          <cell r="C49">
            <v>22250</v>
          </cell>
        </row>
        <row r="50">
          <cell r="A50" t="str">
            <v>Washington</v>
          </cell>
          <cell r="B50">
            <v>174441</v>
          </cell>
          <cell r="C50">
            <v>41950</v>
          </cell>
        </row>
        <row r="51">
          <cell r="A51" t="str">
            <v>West Virginia</v>
          </cell>
          <cell r="B51">
            <v>41468.5</v>
          </cell>
          <cell r="C51">
            <v>7550</v>
          </cell>
        </row>
        <row r="52">
          <cell r="A52" t="str">
            <v>Wisconsin</v>
          </cell>
          <cell r="B52">
            <v>154359</v>
          </cell>
          <cell r="C52">
            <v>30300</v>
          </cell>
        </row>
        <row r="53">
          <cell r="A53" t="str">
            <v>Wyoming</v>
          </cell>
          <cell r="B53">
            <v>22009.5</v>
          </cell>
          <cell r="C53">
            <v>4900</v>
          </cell>
        </row>
        <row r="54">
          <cell r="A54" t="str">
            <v>United States</v>
          </cell>
          <cell r="B54">
            <v>8630810</v>
          </cell>
          <cell r="C54">
            <v>1547500</v>
          </cell>
        </row>
      </sheetData>
      <sheetData sheetId="2" refreshError="1"/>
      <sheetData sheetId="3" refreshError="1"/>
      <sheetData sheetId="4" refreshError="1"/>
      <sheetData sheetId="5" refreshError="1"/>
      <sheetData sheetId="6" refreshError="1">
        <row r="3">
          <cell r="A3" t="str">
            <v>Alabama</v>
          </cell>
          <cell r="B3">
            <v>219561</v>
          </cell>
          <cell r="C3">
            <v>53303.126363841671</v>
          </cell>
        </row>
        <row r="4">
          <cell r="A4" t="str">
            <v>Alaska</v>
          </cell>
          <cell r="B4">
            <v>60956.5</v>
          </cell>
          <cell r="C4">
            <v>10046.223215676668</v>
          </cell>
        </row>
        <row r="5">
          <cell r="A5" t="str">
            <v>Arizona</v>
          </cell>
          <cell r="B5">
            <v>286473</v>
          </cell>
          <cell r="C5">
            <v>39967.404939200002</v>
          </cell>
        </row>
        <row r="6">
          <cell r="A6" t="str">
            <v>Arkansas</v>
          </cell>
          <cell r="B6">
            <v>119406</v>
          </cell>
          <cell r="C6">
            <v>17326.847942722918</v>
          </cell>
        </row>
        <row r="7">
          <cell r="A7" t="str">
            <v>California</v>
          </cell>
          <cell r="B7">
            <v>2334800</v>
          </cell>
          <cell r="C7">
            <v>1415711.1069324065</v>
          </cell>
        </row>
        <row r="8">
          <cell r="A8" t="str">
            <v>Colorado</v>
          </cell>
          <cell r="B8">
            <v>138033</v>
          </cell>
          <cell r="C8">
            <v>33995.460592628333</v>
          </cell>
        </row>
        <row r="9">
          <cell r="A9" t="str">
            <v>Connecticut</v>
          </cell>
          <cell r="B9">
            <v>78370.5</v>
          </cell>
          <cell r="C9">
            <v>30480.708596074997</v>
          </cell>
        </row>
        <row r="10">
          <cell r="A10" t="str">
            <v>Delaware</v>
          </cell>
          <cell r="B10">
            <v>46207.5</v>
          </cell>
          <cell r="C10">
            <v>15120.837893860058</v>
          </cell>
        </row>
        <row r="11">
          <cell r="A11" t="str">
            <v>District of Columbia</v>
          </cell>
          <cell r="B11">
            <v>42034.5</v>
          </cell>
          <cell r="C11">
            <v>18733.833333333332</v>
          </cell>
        </row>
        <row r="12">
          <cell r="A12" t="str">
            <v>Florida</v>
          </cell>
          <cell r="B12">
            <v>565607.5</v>
          </cell>
          <cell r="C12">
            <v>93943.791666666657</v>
          </cell>
        </row>
        <row r="13">
          <cell r="A13" t="str">
            <v>Georgia</v>
          </cell>
          <cell r="B13">
            <v>456925.5</v>
          </cell>
          <cell r="C13">
            <v>36467.484884317921</v>
          </cell>
        </row>
        <row r="14">
          <cell r="A14" t="str">
            <v>Hawaii</v>
          </cell>
          <cell r="B14">
            <v>118502.5</v>
          </cell>
          <cell r="C14">
            <v>29045.3103353185</v>
          </cell>
        </row>
        <row r="15">
          <cell r="A15" t="str">
            <v>Idaho</v>
          </cell>
          <cell r="B15">
            <v>65069</v>
          </cell>
          <cell r="C15">
            <v>2870.1052683512862</v>
          </cell>
        </row>
        <row r="16">
          <cell r="A16" t="str">
            <v>Illinois</v>
          </cell>
          <cell r="B16">
            <v>399284</v>
          </cell>
          <cell r="C16">
            <v>87641.374999999985</v>
          </cell>
        </row>
        <row r="17">
          <cell r="A17" t="str">
            <v>Indiana</v>
          </cell>
          <cell r="B17">
            <v>274677.5</v>
          </cell>
          <cell r="C17">
            <v>47115.931456824997</v>
          </cell>
        </row>
        <row r="18">
          <cell r="A18" t="str">
            <v>Iowa</v>
          </cell>
          <cell r="B18">
            <v>88455</v>
          </cell>
          <cell r="C18">
            <v>42481.974984603745</v>
          </cell>
        </row>
        <row r="19">
          <cell r="A19" t="str">
            <v>Kansas</v>
          </cell>
          <cell r="B19">
            <v>103164</v>
          </cell>
          <cell r="C19">
            <v>31142.294727016666</v>
          </cell>
        </row>
        <row r="20">
          <cell r="A20" t="str">
            <v>Kentucky</v>
          </cell>
          <cell r="B20">
            <v>198749</v>
          </cell>
          <cell r="C20">
            <v>62093.431587499996</v>
          </cell>
        </row>
        <row r="21">
          <cell r="A21" t="str">
            <v>Louisiana</v>
          </cell>
          <cell r="B21">
            <v>212775</v>
          </cell>
          <cell r="C21">
            <v>21816.176659766665</v>
          </cell>
        </row>
        <row r="22">
          <cell r="A22" t="str">
            <v>Maine</v>
          </cell>
          <cell r="B22">
            <v>48656</v>
          </cell>
          <cell r="C22">
            <v>44535.27157120833</v>
          </cell>
        </row>
        <row r="23">
          <cell r="A23" t="str">
            <v>Maryland</v>
          </cell>
          <cell r="B23">
            <v>201562</v>
          </cell>
          <cell r="C23">
            <v>58903.497142566666</v>
          </cell>
        </row>
        <row r="24">
          <cell r="A24" t="str">
            <v>Massachusetts</v>
          </cell>
          <cell r="B24">
            <v>238012</v>
          </cell>
          <cell r="C24">
            <v>97775.356680712488</v>
          </cell>
        </row>
        <row r="25">
          <cell r="A25" t="str">
            <v>Michigan</v>
          </cell>
          <cell r="B25">
            <v>489251.5</v>
          </cell>
          <cell r="C25">
            <v>127883.11637454333</v>
          </cell>
        </row>
        <row r="26">
          <cell r="A26" t="str">
            <v>Minnesota</v>
          </cell>
          <cell r="B26">
            <v>134698.5</v>
          </cell>
          <cell r="C26">
            <v>48065.131127400004</v>
          </cell>
        </row>
        <row r="27">
          <cell r="A27" t="str">
            <v>Mississippi</v>
          </cell>
          <cell r="B27">
            <v>157882.5</v>
          </cell>
          <cell r="C27">
            <v>24251.958333333332</v>
          </cell>
        </row>
        <row r="28">
          <cell r="A28" t="str">
            <v>Missouri</v>
          </cell>
          <cell r="B28">
            <v>265363.5</v>
          </cell>
          <cell r="C28">
            <v>92010.578553687505</v>
          </cell>
        </row>
        <row r="29">
          <cell r="A29" t="str">
            <v>Montana</v>
          </cell>
          <cell r="B29">
            <v>51653.5</v>
          </cell>
          <cell r="C29">
            <v>8129.1909633949999</v>
          </cell>
        </row>
        <row r="30">
          <cell r="A30" t="str">
            <v>Nebraska</v>
          </cell>
          <cell r="B30">
            <v>81260.5</v>
          </cell>
          <cell r="C30">
            <v>18101.313425053864</v>
          </cell>
        </row>
        <row r="31">
          <cell r="A31" t="str">
            <v>Nevada</v>
          </cell>
          <cell r="B31">
            <v>167542</v>
          </cell>
          <cell r="C31">
            <v>27226.128836270833</v>
          </cell>
        </row>
        <row r="32">
          <cell r="A32" t="str">
            <v>New Hampshire</v>
          </cell>
          <cell r="B32">
            <v>22174.5</v>
          </cell>
          <cell r="C32">
            <v>14927.625741666665</v>
          </cell>
        </row>
        <row r="33">
          <cell r="A33" t="str">
            <v>New Jersey</v>
          </cell>
          <cell r="B33">
            <v>260875</v>
          </cell>
          <cell r="C33">
            <v>83072.600275000004</v>
          </cell>
        </row>
        <row r="34">
          <cell r="A34" t="str">
            <v>New Mexico</v>
          </cell>
          <cell r="B34">
            <v>137289</v>
          </cell>
          <cell r="C34">
            <v>46711.228915665</v>
          </cell>
        </row>
        <row r="35">
          <cell r="A35" t="str">
            <v>New York</v>
          </cell>
          <cell r="B35">
            <v>1018380</v>
          </cell>
          <cell r="C35">
            <v>389161.70534358744</v>
          </cell>
        </row>
        <row r="36">
          <cell r="A36" t="str">
            <v>North Carolina</v>
          </cell>
          <cell r="B36">
            <v>450817</v>
          </cell>
          <cell r="C36">
            <v>42296.043432863327</v>
          </cell>
        </row>
        <row r="37">
          <cell r="A37" t="str">
            <v>North Dakota</v>
          </cell>
          <cell r="B37">
            <v>30723</v>
          </cell>
          <cell r="C37">
            <v>4243.6777486664396</v>
          </cell>
        </row>
        <row r="38">
          <cell r="A38" t="str">
            <v>Ohio</v>
          </cell>
          <cell r="B38">
            <v>557572</v>
          </cell>
          <cell r="C38">
            <v>185942.65321547771</v>
          </cell>
        </row>
        <row r="39">
          <cell r="A39" t="str">
            <v>Oklahoma</v>
          </cell>
          <cell r="B39">
            <v>175738</v>
          </cell>
          <cell r="C39">
            <v>19379.118337833333</v>
          </cell>
        </row>
        <row r="40">
          <cell r="A40" t="str">
            <v>Oregon</v>
          </cell>
          <cell r="B40">
            <v>150494</v>
          </cell>
          <cell r="C40">
            <v>94292.133698414167</v>
          </cell>
        </row>
        <row r="41">
          <cell r="A41" t="str">
            <v>Pennsylvania</v>
          </cell>
          <cell r="B41">
            <v>486191</v>
          </cell>
          <cell r="C41">
            <v>174082.12384671997</v>
          </cell>
        </row>
        <row r="42">
          <cell r="A42" t="str">
            <v>Rhode Island</v>
          </cell>
          <cell r="B42">
            <v>47314.5</v>
          </cell>
          <cell r="C42">
            <v>15422.569006621665</v>
          </cell>
        </row>
        <row r="43">
          <cell r="A43" t="str">
            <v>South Carolina</v>
          </cell>
          <cell r="B43">
            <v>293137</v>
          </cell>
          <cell r="C43">
            <v>35660.167662499996</v>
          </cell>
        </row>
        <row r="44">
          <cell r="A44" t="str">
            <v>South Dakota</v>
          </cell>
          <cell r="B44">
            <v>36613</v>
          </cell>
          <cell r="C44">
            <v>6754.3333333333358</v>
          </cell>
        </row>
        <row r="45">
          <cell r="A45" t="str">
            <v>Tennessee</v>
          </cell>
          <cell r="B45">
            <v>438801</v>
          </cell>
          <cell r="C45">
            <v>146870.61957263335</v>
          </cell>
        </row>
        <row r="46">
          <cell r="A46" t="str">
            <v>Texas</v>
          </cell>
          <cell r="B46">
            <v>1090080</v>
          </cell>
          <cell r="C46">
            <v>105736.46123333334</v>
          </cell>
        </row>
        <row r="47">
          <cell r="A47" t="str">
            <v>Utah</v>
          </cell>
          <cell r="B47">
            <v>76856.5</v>
          </cell>
          <cell r="C47">
            <v>13485.179475003333</v>
          </cell>
        </row>
        <row r="48">
          <cell r="A48" t="str">
            <v>Vermont</v>
          </cell>
          <cell r="B48">
            <v>19781.5</v>
          </cell>
          <cell r="C48">
            <v>7979.057476973333</v>
          </cell>
        </row>
        <row r="49">
          <cell r="A49" t="str">
            <v>Virginia</v>
          </cell>
          <cell r="B49">
            <v>215224</v>
          </cell>
          <cell r="C49">
            <v>74813.612038772932</v>
          </cell>
        </row>
        <row r="50">
          <cell r="A50" t="str">
            <v>Washington</v>
          </cell>
          <cell r="B50">
            <v>255643</v>
          </cell>
          <cell r="C50">
            <v>126826.94177192666</v>
          </cell>
        </row>
        <row r="51">
          <cell r="A51" t="str">
            <v>West Virginia</v>
          </cell>
          <cell r="B51">
            <v>83167</v>
          </cell>
          <cell r="C51">
            <v>21866.166666666668</v>
          </cell>
        </row>
        <row r="52">
          <cell r="A52" t="str">
            <v>Wisconsin</v>
          </cell>
          <cell r="B52">
            <v>209292</v>
          </cell>
          <cell r="C52">
            <v>63019.242766666663</v>
          </cell>
        </row>
        <row r="53">
          <cell r="A53" t="str">
            <v>Wyoming</v>
          </cell>
          <cell r="B53">
            <v>20155</v>
          </cell>
          <cell r="C53">
            <v>615.04166666666652</v>
          </cell>
        </row>
        <row r="54">
          <cell r="A54" t="str">
            <v>United States</v>
          </cell>
          <cell r="B54">
            <v>13721250</v>
          </cell>
          <cell r="C54">
            <v>4309343.2726152744</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sheetName val="Expenditures"/>
      <sheetName val="Recipients"/>
      <sheetName val="Units"/>
      <sheetName val="Childcare Expenditures"/>
    </sheetNames>
    <sheetDataSet>
      <sheetData sheetId="0" refreshError="1"/>
      <sheetData sheetId="1" refreshError="1">
        <row r="2">
          <cell r="A2" t="str">
            <v>US</v>
          </cell>
          <cell r="B2" t="str">
            <v>United States</v>
          </cell>
          <cell r="C2">
            <v>28867299691</v>
          </cell>
          <cell r="D2">
            <v>8641383022</v>
          </cell>
          <cell r="E2">
            <v>37508682713</v>
          </cell>
        </row>
        <row r="3">
          <cell r="A3" t="str">
            <v>AL</v>
          </cell>
          <cell r="B3" t="str">
            <v>Alabama</v>
          </cell>
          <cell r="C3">
            <v>168393567</v>
          </cell>
          <cell r="D3">
            <v>103709173</v>
          </cell>
          <cell r="E3">
            <v>272102740</v>
          </cell>
        </row>
        <row r="4">
          <cell r="A4" t="str">
            <v>AK</v>
          </cell>
          <cell r="B4" t="str">
            <v>Alaska</v>
          </cell>
          <cell r="C4">
            <v>71922274</v>
          </cell>
          <cell r="D4">
            <v>29369052</v>
          </cell>
          <cell r="E4">
            <v>101291326</v>
          </cell>
        </row>
        <row r="5">
          <cell r="A5" t="str">
            <v>AZ</v>
          </cell>
          <cell r="B5" t="str">
            <v>Arizona</v>
          </cell>
          <cell r="C5">
            <v>325893863</v>
          </cell>
          <cell r="D5">
            <v>141734693</v>
          </cell>
          <cell r="E5">
            <v>467628556</v>
          </cell>
        </row>
        <row r="6">
          <cell r="A6" t="str">
            <v>AR</v>
          </cell>
          <cell r="B6" t="str">
            <v>Arkansas</v>
          </cell>
          <cell r="C6">
            <v>174595479</v>
          </cell>
          <cell r="D6">
            <v>58653229</v>
          </cell>
          <cell r="E6">
            <v>233248708</v>
          </cell>
        </row>
        <row r="7">
          <cell r="A7" t="str">
            <v>CA</v>
          </cell>
          <cell r="B7" t="str">
            <v>California</v>
          </cell>
          <cell r="C7">
            <v>6115366791</v>
          </cell>
          <cell r="D7">
            <v>854786411</v>
          </cell>
          <cell r="E7">
            <v>6970153202</v>
          </cell>
        </row>
        <row r="8">
          <cell r="A8" t="str">
            <v>CO</v>
          </cell>
          <cell r="B8" t="str">
            <v>Colorado</v>
          </cell>
          <cell r="C8">
            <v>306472672</v>
          </cell>
          <cell r="D8">
            <v>106078625</v>
          </cell>
          <cell r="E8">
            <v>412551297</v>
          </cell>
        </row>
        <row r="9">
          <cell r="A9" t="str">
            <v>CT</v>
          </cell>
          <cell r="B9" t="str">
            <v>Connecticut</v>
          </cell>
          <cell r="C9">
            <v>466987848</v>
          </cell>
          <cell r="D9">
            <v>118055789</v>
          </cell>
          <cell r="E9">
            <v>585043637</v>
          </cell>
        </row>
        <row r="10">
          <cell r="A10" t="str">
            <v>DE</v>
          </cell>
          <cell r="B10" t="str">
            <v>Delaware</v>
          </cell>
          <cell r="C10">
            <v>88066769</v>
          </cell>
          <cell r="D10">
            <v>24173362</v>
          </cell>
          <cell r="E10">
            <v>112240131</v>
          </cell>
        </row>
        <row r="11">
          <cell r="A11" t="str">
            <v>DC</v>
          </cell>
          <cell r="B11" t="str">
            <v>District of Columbia</v>
          </cell>
          <cell r="C11">
            <v>170407886</v>
          </cell>
          <cell r="D11">
            <v>15420944</v>
          </cell>
          <cell r="E11">
            <v>185828830</v>
          </cell>
        </row>
        <row r="12">
          <cell r="A12" t="str">
            <v>FL</v>
          </cell>
          <cell r="B12" t="str">
            <v>Florida</v>
          </cell>
          <cell r="C12">
            <v>813782221</v>
          </cell>
          <cell r="D12">
            <v>465255803</v>
          </cell>
          <cell r="E12">
            <v>1279038024</v>
          </cell>
        </row>
        <row r="13">
          <cell r="A13" t="str">
            <v>GA</v>
          </cell>
          <cell r="B13" t="str">
            <v>Georgia</v>
          </cell>
          <cell r="C13">
            <v>522679427</v>
          </cell>
          <cell r="D13">
            <v>178490512</v>
          </cell>
          <cell r="E13">
            <v>701169939</v>
          </cell>
        </row>
        <row r="14">
          <cell r="A14" t="str">
            <v>HI</v>
          </cell>
          <cell r="B14" t="str">
            <v>Hawaii</v>
          </cell>
          <cell r="C14">
            <v>242120272</v>
          </cell>
          <cell r="D14">
            <v>46572781</v>
          </cell>
          <cell r="E14">
            <v>288693053</v>
          </cell>
        </row>
        <row r="15">
          <cell r="A15" t="str">
            <v>ID</v>
          </cell>
          <cell r="B15" t="str">
            <v>Idaho</v>
          </cell>
          <cell r="C15">
            <v>33893537</v>
          </cell>
          <cell r="D15">
            <v>22335724</v>
          </cell>
          <cell r="E15">
            <v>56229261</v>
          </cell>
        </row>
        <row r="16">
          <cell r="A16" t="str">
            <v>IL</v>
          </cell>
          <cell r="B16" t="str">
            <v>Illinois</v>
          </cell>
          <cell r="C16">
            <v>1184511907</v>
          </cell>
          <cell r="D16">
            <v>336342929</v>
          </cell>
          <cell r="E16">
            <v>1520854836</v>
          </cell>
        </row>
        <row r="17">
          <cell r="A17" t="str">
            <v>IN</v>
          </cell>
          <cell r="B17" t="str">
            <v>Indiana</v>
          </cell>
          <cell r="C17">
            <v>222319316</v>
          </cell>
          <cell r="D17">
            <v>173082008</v>
          </cell>
          <cell r="E17">
            <v>395401324</v>
          </cell>
        </row>
        <row r="18">
          <cell r="A18" t="str">
            <v>IA</v>
          </cell>
          <cell r="B18" t="str">
            <v>Iowa</v>
          </cell>
          <cell r="C18">
            <v>190824351</v>
          </cell>
          <cell r="D18">
            <v>83595913</v>
          </cell>
          <cell r="E18">
            <v>274420264</v>
          </cell>
        </row>
        <row r="19">
          <cell r="A19" t="str">
            <v>KS</v>
          </cell>
          <cell r="B19" t="str">
            <v>Kansas</v>
          </cell>
          <cell r="C19">
            <v>159101842</v>
          </cell>
          <cell r="D19">
            <v>86143965</v>
          </cell>
          <cell r="E19">
            <v>245245807</v>
          </cell>
        </row>
        <row r="20">
          <cell r="A20" t="str">
            <v>KY</v>
          </cell>
          <cell r="B20" t="str">
            <v>Kentucky</v>
          </cell>
          <cell r="C20">
            <v>259632263</v>
          </cell>
          <cell r="D20">
            <v>144573075</v>
          </cell>
          <cell r="E20">
            <v>404205338</v>
          </cell>
        </row>
        <row r="21">
          <cell r="A21" t="str">
            <v>LA</v>
          </cell>
          <cell r="B21" t="str">
            <v>Louisiana</v>
          </cell>
          <cell r="C21">
            <v>244652270</v>
          </cell>
          <cell r="D21">
            <v>103949677</v>
          </cell>
          <cell r="E21">
            <v>348601947</v>
          </cell>
        </row>
        <row r="22">
          <cell r="A22" t="str">
            <v>ME</v>
          </cell>
          <cell r="B22" t="str">
            <v>Maine</v>
          </cell>
          <cell r="C22">
            <v>114998911</v>
          </cell>
          <cell r="D22">
            <v>20638418</v>
          </cell>
          <cell r="E22">
            <v>135637329</v>
          </cell>
        </row>
        <row r="23">
          <cell r="A23" t="str">
            <v>MD</v>
          </cell>
          <cell r="B23" t="str">
            <v>Maryland</v>
          </cell>
          <cell r="C23">
            <v>546728083</v>
          </cell>
          <cell r="D23">
            <v>131472461</v>
          </cell>
          <cell r="E23">
            <v>678200544</v>
          </cell>
        </row>
        <row r="24">
          <cell r="A24" t="str">
            <v>MA</v>
          </cell>
          <cell r="B24" t="str">
            <v>Massachusetts</v>
          </cell>
          <cell r="C24">
            <v>1029478218</v>
          </cell>
          <cell r="D24">
            <v>272668307</v>
          </cell>
          <cell r="E24">
            <v>1302146525</v>
          </cell>
        </row>
        <row r="25">
          <cell r="A25" t="str">
            <v>MI</v>
          </cell>
          <cell r="B25" t="str">
            <v>Michigan</v>
          </cell>
          <cell r="C25">
            <v>1506417836</v>
          </cell>
          <cell r="D25">
            <v>205911629</v>
          </cell>
          <cell r="E25">
            <v>1712329465</v>
          </cell>
        </row>
        <row r="26">
          <cell r="A26" t="str">
            <v>MN</v>
          </cell>
          <cell r="B26" t="str">
            <v>Minnesota</v>
          </cell>
          <cell r="C26">
            <v>438366696</v>
          </cell>
          <cell r="D26">
            <v>195003687</v>
          </cell>
          <cell r="E26">
            <v>633370383</v>
          </cell>
        </row>
        <row r="27">
          <cell r="A27" t="str">
            <v>MS</v>
          </cell>
          <cell r="B27" t="str">
            <v>Mississippi</v>
          </cell>
          <cell r="C27">
            <v>80534667</v>
          </cell>
          <cell r="D27">
            <v>80754242</v>
          </cell>
          <cell r="E27">
            <v>161288909</v>
          </cell>
        </row>
        <row r="28">
          <cell r="A28" t="str">
            <v>MO</v>
          </cell>
          <cell r="B28" t="str">
            <v>Missouri</v>
          </cell>
          <cell r="C28">
            <v>368340641</v>
          </cell>
          <cell r="D28">
            <v>160072544</v>
          </cell>
          <cell r="E28">
            <v>528413185</v>
          </cell>
        </row>
        <row r="29">
          <cell r="A29" t="str">
            <v>MT</v>
          </cell>
          <cell r="B29" t="str">
            <v>Montana</v>
          </cell>
          <cell r="C29">
            <v>45127402</v>
          </cell>
          <cell r="D29">
            <v>28060669</v>
          </cell>
          <cell r="E29">
            <v>73188071</v>
          </cell>
        </row>
        <row r="30">
          <cell r="A30" t="str">
            <v>NE</v>
          </cell>
          <cell r="B30" t="str">
            <v>Nebraska</v>
          </cell>
          <cell r="C30">
            <v>93396650</v>
          </cell>
          <cell r="D30">
            <v>104634536</v>
          </cell>
          <cell r="E30">
            <v>198031186</v>
          </cell>
        </row>
        <row r="31">
          <cell r="A31" t="str">
            <v>NV</v>
          </cell>
          <cell r="B31" t="str">
            <v>Nevada</v>
          </cell>
          <cell r="C31">
            <v>98196278</v>
          </cell>
          <cell r="D31">
            <v>49988025</v>
          </cell>
          <cell r="E31">
            <v>148184303</v>
          </cell>
        </row>
        <row r="32">
          <cell r="A32" t="str">
            <v>NH</v>
          </cell>
          <cell r="B32" t="str">
            <v>New Hampshire</v>
          </cell>
          <cell r="C32">
            <v>73934762</v>
          </cell>
          <cell r="D32">
            <v>27821106</v>
          </cell>
          <cell r="E32">
            <v>101755868</v>
          </cell>
        </row>
        <row r="33">
          <cell r="A33" t="str">
            <v>NJ</v>
          </cell>
          <cell r="B33" t="str">
            <v>New Jersey</v>
          </cell>
          <cell r="C33">
            <v>1036994382</v>
          </cell>
          <cell r="D33">
            <v>251733104</v>
          </cell>
          <cell r="E33">
            <v>1288727486</v>
          </cell>
        </row>
        <row r="34">
          <cell r="A34" t="str">
            <v>NM</v>
          </cell>
          <cell r="B34" t="str">
            <v>New Mexico</v>
          </cell>
          <cell r="C34">
            <v>182229930</v>
          </cell>
          <cell r="D34">
            <v>72364694</v>
          </cell>
          <cell r="E34">
            <v>254594624</v>
          </cell>
        </row>
        <row r="35">
          <cell r="A35" t="str">
            <v>NY</v>
          </cell>
          <cell r="B35" t="str">
            <v>New York</v>
          </cell>
          <cell r="C35">
            <v>4841951246</v>
          </cell>
          <cell r="D35">
            <v>853066855</v>
          </cell>
          <cell r="E35">
            <v>5695018101</v>
          </cell>
        </row>
        <row r="36">
          <cell r="A36" t="str">
            <v>NC</v>
          </cell>
          <cell r="B36" t="str">
            <v>North Carolina</v>
          </cell>
          <cell r="C36">
            <v>530537770</v>
          </cell>
          <cell r="D36">
            <v>341984653</v>
          </cell>
          <cell r="E36">
            <v>872522423</v>
          </cell>
        </row>
        <row r="37">
          <cell r="A37" t="str">
            <v>ND</v>
          </cell>
          <cell r="B37" t="str">
            <v>North Dakota</v>
          </cell>
          <cell r="C37">
            <v>37338692</v>
          </cell>
          <cell r="D37">
            <v>11103519</v>
          </cell>
          <cell r="E37">
            <v>48442211</v>
          </cell>
        </row>
        <row r="38">
          <cell r="A38" t="str">
            <v>OH</v>
          </cell>
          <cell r="B38" t="str">
            <v>Ohio</v>
          </cell>
          <cell r="C38">
            <v>1040358151</v>
          </cell>
          <cell r="D38">
            <v>297875215</v>
          </cell>
          <cell r="E38">
            <v>1338233366</v>
          </cell>
        </row>
        <row r="39">
          <cell r="A39" t="str">
            <v>OK</v>
          </cell>
          <cell r="B39" t="str">
            <v>Oklahoma</v>
          </cell>
          <cell r="C39">
            <v>148559348</v>
          </cell>
          <cell r="D39">
            <v>132550279</v>
          </cell>
          <cell r="E39">
            <v>281109627</v>
          </cell>
        </row>
        <row r="40">
          <cell r="A40" t="str">
            <v>OR</v>
          </cell>
          <cell r="B40" t="str">
            <v>Oregon</v>
          </cell>
          <cell r="C40">
            <v>344749684</v>
          </cell>
          <cell r="D40">
            <v>85585790</v>
          </cell>
          <cell r="E40">
            <v>430335474</v>
          </cell>
        </row>
        <row r="41">
          <cell r="A41" t="str">
            <v>PA</v>
          </cell>
          <cell r="B41" t="str">
            <v>Pennsylvania</v>
          </cell>
          <cell r="C41">
            <v>904981027</v>
          </cell>
          <cell r="D41">
            <v>434540592</v>
          </cell>
          <cell r="E41">
            <v>1339521619</v>
          </cell>
        </row>
        <row r="42">
          <cell r="A42" t="str">
            <v>RI</v>
          </cell>
          <cell r="B42" t="str">
            <v>Rhode Island</v>
          </cell>
          <cell r="C42">
            <v>142201667</v>
          </cell>
          <cell r="D42">
            <v>37819337</v>
          </cell>
          <cell r="E42">
            <v>180021004</v>
          </cell>
        </row>
        <row r="43">
          <cell r="A43" t="str">
            <v>SC</v>
          </cell>
          <cell r="B43" t="str">
            <v>South Carolina</v>
          </cell>
          <cell r="C43">
            <v>148538270</v>
          </cell>
          <cell r="D43">
            <v>88987884</v>
          </cell>
          <cell r="E43">
            <v>237526154</v>
          </cell>
        </row>
        <row r="44">
          <cell r="A44" t="str">
            <v>SD</v>
          </cell>
          <cell r="B44" t="str">
            <v>South Dakota</v>
          </cell>
          <cell r="C44">
            <v>27331954</v>
          </cell>
          <cell r="D44">
            <v>14957561</v>
          </cell>
          <cell r="E44">
            <v>42289515</v>
          </cell>
        </row>
        <row r="45">
          <cell r="A45" t="str">
            <v>TN</v>
          </cell>
          <cell r="B45" t="str">
            <v>Tennessee</v>
          </cell>
          <cell r="C45">
            <v>340342279</v>
          </cell>
          <cell r="D45">
            <v>193693380</v>
          </cell>
          <cell r="E45">
            <v>534035659</v>
          </cell>
        </row>
        <row r="46">
          <cell r="A46" t="str">
            <v>TX</v>
          </cell>
          <cell r="B46" t="str">
            <v>Texas</v>
          </cell>
          <cell r="C46">
            <v>880911345</v>
          </cell>
          <cell r="D46">
            <v>612061218</v>
          </cell>
          <cell r="E46">
            <v>1492972563</v>
          </cell>
        </row>
        <row r="47">
          <cell r="A47" t="str">
            <v>UT</v>
          </cell>
          <cell r="B47" t="str">
            <v>Utah</v>
          </cell>
          <cell r="C47">
            <v>96422648</v>
          </cell>
          <cell r="D47">
            <v>62939545</v>
          </cell>
          <cell r="E47">
            <v>159362193</v>
          </cell>
        </row>
        <row r="48">
          <cell r="A48" t="str">
            <v>VT</v>
          </cell>
          <cell r="B48" t="str">
            <v>Vermont</v>
          </cell>
          <cell r="C48">
            <v>68069903</v>
          </cell>
          <cell r="D48">
            <v>26039094</v>
          </cell>
          <cell r="E48">
            <v>94108997</v>
          </cell>
        </row>
        <row r="49">
          <cell r="A49" t="str">
            <v>VA</v>
          </cell>
          <cell r="B49" t="str">
            <v>Virginia</v>
          </cell>
          <cell r="C49">
            <v>272734583</v>
          </cell>
          <cell r="D49">
            <v>176943505</v>
          </cell>
          <cell r="E49">
            <v>449678088</v>
          </cell>
        </row>
        <row r="50">
          <cell r="A50" t="str">
            <v>WA</v>
          </cell>
          <cell r="B50" t="str">
            <v>Washington</v>
          </cell>
          <cell r="C50">
            <v>977742101</v>
          </cell>
          <cell r="D50">
            <v>268614153</v>
          </cell>
          <cell r="E50">
            <v>1246356254</v>
          </cell>
        </row>
        <row r="51">
          <cell r="A51" t="str">
            <v>WV</v>
          </cell>
          <cell r="B51" t="str">
            <v>West Virginia</v>
          </cell>
          <cell r="C51">
            <v>133593982</v>
          </cell>
          <cell r="D51">
            <v>42452232</v>
          </cell>
          <cell r="E51">
            <v>176046214</v>
          </cell>
        </row>
        <row r="52">
          <cell r="A52" t="str">
            <v>WI</v>
          </cell>
          <cell r="B52" t="str">
            <v>Wisconsin</v>
          </cell>
          <cell r="C52">
            <v>525042852</v>
          </cell>
          <cell r="D52">
            <v>190381364</v>
          </cell>
          <cell r="E52">
            <v>715424216</v>
          </cell>
        </row>
        <row r="53">
          <cell r="A53" t="str">
            <v>WY</v>
          </cell>
          <cell r="B53" t="str">
            <v>Wyoming</v>
          </cell>
          <cell r="C53">
            <v>29523178</v>
          </cell>
          <cell r="D53">
            <v>19698365</v>
          </cell>
          <cell r="E53">
            <v>49221543</v>
          </cell>
        </row>
      </sheetData>
      <sheetData sheetId="2" refreshError="1"/>
      <sheetData sheetId="3" refreshError="1">
        <row r="2">
          <cell r="A2" t="str">
            <v>US</v>
          </cell>
          <cell r="B2" t="str">
            <v>United States</v>
          </cell>
          <cell r="C2">
            <v>461513</v>
          </cell>
        </row>
        <row r="3">
          <cell r="A3" t="str">
            <v>AL</v>
          </cell>
          <cell r="B3" t="str">
            <v>Alabama</v>
          </cell>
          <cell r="C3">
            <v>2491</v>
          </cell>
        </row>
        <row r="4">
          <cell r="A4" t="str">
            <v>AK</v>
          </cell>
          <cell r="B4" t="str">
            <v>Alaska</v>
          </cell>
          <cell r="C4">
            <v>1077</v>
          </cell>
        </row>
        <row r="5">
          <cell r="A5" t="str">
            <v>AZ</v>
          </cell>
          <cell r="B5" t="str">
            <v>Arizona</v>
          </cell>
          <cell r="C5">
            <v>3781</v>
          </cell>
        </row>
        <row r="6">
          <cell r="A6" t="str">
            <v>AR</v>
          </cell>
          <cell r="B6" t="str">
            <v>Arkansas</v>
          </cell>
          <cell r="C6">
            <v>1113</v>
          </cell>
        </row>
        <row r="7">
          <cell r="A7" t="str">
            <v>CA</v>
          </cell>
          <cell r="B7" t="str">
            <v>California</v>
          </cell>
          <cell r="C7">
            <v>58177</v>
          </cell>
        </row>
        <row r="8">
          <cell r="A8" t="str">
            <v>CO</v>
          </cell>
          <cell r="B8" t="str">
            <v>Colorado</v>
          </cell>
          <cell r="C8">
            <v>2565</v>
          </cell>
        </row>
        <row r="9">
          <cell r="A9" t="str">
            <v>CT</v>
          </cell>
          <cell r="B9" t="str">
            <v>Connecticut</v>
          </cell>
          <cell r="C9">
            <v>9701</v>
          </cell>
        </row>
        <row r="10">
          <cell r="A10" t="str">
            <v>DE</v>
          </cell>
          <cell r="B10" t="str">
            <v>Delaware</v>
          </cell>
          <cell r="C10">
            <v>1423</v>
          </cell>
        </row>
        <row r="11">
          <cell r="A11" t="str">
            <v>DC</v>
          </cell>
          <cell r="B11" t="str">
            <v>District of Columbia</v>
          </cell>
          <cell r="C11">
            <v>232</v>
          </cell>
        </row>
        <row r="12">
          <cell r="A12" t="str">
            <v>FL</v>
          </cell>
          <cell r="B12" t="str">
            <v>Florida</v>
          </cell>
          <cell r="C12">
            <v>9840</v>
          </cell>
        </row>
        <row r="13">
          <cell r="A13" t="str">
            <v>GA</v>
          </cell>
          <cell r="B13" t="str">
            <v>Georgia</v>
          </cell>
          <cell r="C13">
            <v>5022</v>
          </cell>
        </row>
        <row r="14">
          <cell r="A14" t="str">
            <v>HI</v>
          </cell>
          <cell r="B14" t="str">
            <v>Hawaii</v>
          </cell>
          <cell r="C14">
            <v>7547</v>
          </cell>
        </row>
        <row r="15">
          <cell r="A15" t="str">
            <v>ID</v>
          </cell>
          <cell r="B15" t="str">
            <v>Idaho</v>
          </cell>
          <cell r="C15">
            <v>1011</v>
          </cell>
        </row>
        <row r="16">
          <cell r="A16" t="str">
            <v>IL</v>
          </cell>
          <cell r="B16" t="str">
            <v>Illinois</v>
          </cell>
          <cell r="C16">
            <v>66350</v>
          </cell>
        </row>
        <row r="17">
          <cell r="A17" t="str">
            <v>IN</v>
          </cell>
          <cell r="B17" t="str">
            <v>Indiana</v>
          </cell>
          <cell r="C17">
            <v>3942</v>
          </cell>
        </row>
        <row r="18">
          <cell r="A18" t="str">
            <v>IA</v>
          </cell>
          <cell r="B18" t="str">
            <v>Iowa</v>
          </cell>
          <cell r="C18">
            <v>5906</v>
          </cell>
        </row>
        <row r="19">
          <cell r="A19" t="str">
            <v>KS</v>
          </cell>
          <cell r="B19" t="str">
            <v>Kansas</v>
          </cell>
          <cell r="C19">
            <v>5435</v>
          </cell>
        </row>
        <row r="20">
          <cell r="A20" t="str">
            <v>KY</v>
          </cell>
          <cell r="B20" t="str">
            <v>Kentucky</v>
          </cell>
          <cell r="C20">
            <v>3668</v>
          </cell>
        </row>
        <row r="21">
          <cell r="A21" t="str">
            <v>LA</v>
          </cell>
          <cell r="B21" t="str">
            <v>Louisiana</v>
          </cell>
          <cell r="C21">
            <v>3382</v>
          </cell>
        </row>
        <row r="22">
          <cell r="A22" t="str">
            <v>ME</v>
          </cell>
          <cell r="B22" t="str">
            <v>Maine</v>
          </cell>
          <cell r="C22">
            <v>1041</v>
          </cell>
        </row>
        <row r="23">
          <cell r="A23" t="str">
            <v>MD</v>
          </cell>
          <cell r="B23" t="str">
            <v>Maryland</v>
          </cell>
          <cell r="C23">
            <v>6965</v>
          </cell>
        </row>
        <row r="24">
          <cell r="A24" t="str">
            <v>MA</v>
          </cell>
          <cell r="B24" t="str">
            <v>Massachusetts</v>
          </cell>
          <cell r="C24">
            <v>14517</v>
          </cell>
        </row>
        <row r="25">
          <cell r="A25" t="str">
            <v>MI</v>
          </cell>
          <cell r="B25" t="str">
            <v>Michigan</v>
          </cell>
          <cell r="C25">
            <v>23539</v>
          </cell>
        </row>
        <row r="26">
          <cell r="A26" t="str">
            <v>MN</v>
          </cell>
          <cell r="B26" t="str">
            <v>Minnesota</v>
          </cell>
          <cell r="C26">
            <v>9497</v>
          </cell>
        </row>
        <row r="27">
          <cell r="A27" t="str">
            <v>MS</v>
          </cell>
          <cell r="B27" t="str">
            <v>Mississippi</v>
          </cell>
          <cell r="C27">
            <v>3083</v>
          </cell>
        </row>
        <row r="28">
          <cell r="A28" t="str">
            <v>MO</v>
          </cell>
          <cell r="B28" t="str">
            <v>Missouri</v>
          </cell>
          <cell r="C28">
            <v>8044</v>
          </cell>
        </row>
        <row r="29">
          <cell r="A29" t="str">
            <v>MT</v>
          </cell>
          <cell r="B29" t="str">
            <v>Montana</v>
          </cell>
          <cell r="C29">
            <v>1640</v>
          </cell>
        </row>
        <row r="30">
          <cell r="A30" t="str">
            <v>NE</v>
          </cell>
          <cell r="B30" t="str">
            <v>Nebraska</v>
          </cell>
          <cell r="C30">
            <v>3330</v>
          </cell>
        </row>
        <row r="31">
          <cell r="A31" t="str">
            <v>NV</v>
          </cell>
          <cell r="B31" t="str">
            <v>Nevada</v>
          </cell>
          <cell r="C31">
            <v>1845</v>
          </cell>
        </row>
        <row r="32">
          <cell r="A32" t="str">
            <v>NH</v>
          </cell>
          <cell r="B32" t="str">
            <v>New Hampshire</v>
          </cell>
          <cell r="C32">
            <v>1177</v>
          </cell>
        </row>
        <row r="33">
          <cell r="A33" t="str">
            <v>NJ</v>
          </cell>
          <cell r="B33" t="str">
            <v>New Jersey</v>
          </cell>
          <cell r="C33">
            <v>6180</v>
          </cell>
        </row>
        <row r="34">
          <cell r="A34" t="str">
            <v>NM</v>
          </cell>
          <cell r="B34" t="str">
            <v>New Mexico</v>
          </cell>
          <cell r="C34">
            <v>3095</v>
          </cell>
        </row>
        <row r="35">
          <cell r="A35" t="str">
            <v>NY</v>
          </cell>
          <cell r="B35" t="str">
            <v>New York</v>
          </cell>
          <cell r="C35">
            <v>63012</v>
          </cell>
        </row>
        <row r="36">
          <cell r="A36" t="str">
            <v>NC</v>
          </cell>
          <cell r="B36" t="str">
            <v>North Carolina</v>
          </cell>
          <cell r="C36">
            <v>6251</v>
          </cell>
        </row>
        <row r="37">
          <cell r="A37" t="str">
            <v>ND</v>
          </cell>
          <cell r="B37" t="str">
            <v>North Dakota</v>
          </cell>
          <cell r="C37">
            <v>1587</v>
          </cell>
        </row>
        <row r="38">
          <cell r="A38" t="str">
            <v>OH</v>
          </cell>
          <cell r="B38" t="str">
            <v>Ohio</v>
          </cell>
          <cell r="C38">
            <v>15620</v>
          </cell>
        </row>
        <row r="39">
          <cell r="A39" t="str">
            <v>OK</v>
          </cell>
          <cell r="B39" t="str">
            <v>Oklahoma</v>
          </cell>
          <cell r="C39">
            <v>2553</v>
          </cell>
        </row>
        <row r="40">
          <cell r="A40" t="str">
            <v>OR</v>
          </cell>
          <cell r="B40" t="str">
            <v>Oregon</v>
          </cell>
          <cell r="C40">
            <v>8800</v>
          </cell>
        </row>
        <row r="41">
          <cell r="A41" t="str">
            <v>PA</v>
          </cell>
          <cell r="B41" t="str">
            <v>Pennsylvania</v>
          </cell>
          <cell r="C41">
            <v>25112</v>
          </cell>
        </row>
        <row r="42">
          <cell r="A42" t="str">
            <v>RI</v>
          </cell>
          <cell r="B42" t="str">
            <v>Rhode Island</v>
          </cell>
          <cell r="C42">
            <v>937</v>
          </cell>
        </row>
        <row r="43">
          <cell r="A43" t="str">
            <v>SC</v>
          </cell>
          <cell r="B43" t="str">
            <v>South Carolina</v>
          </cell>
          <cell r="C43">
            <v>3070</v>
          </cell>
        </row>
        <row r="44">
          <cell r="A44" t="str">
            <v>SD</v>
          </cell>
          <cell r="B44" t="str">
            <v>South Dakota</v>
          </cell>
          <cell r="C44">
            <v>2113</v>
          </cell>
        </row>
        <row r="45">
          <cell r="A45" t="str">
            <v>TN</v>
          </cell>
          <cell r="B45" t="str">
            <v>Tennessee</v>
          </cell>
          <cell r="C45">
            <v>6290</v>
          </cell>
        </row>
        <row r="46">
          <cell r="A46" t="str">
            <v>TX</v>
          </cell>
          <cell r="B46" t="str">
            <v>Texas</v>
          </cell>
          <cell r="C46">
            <v>10558</v>
          </cell>
        </row>
        <row r="47">
          <cell r="A47" t="str">
            <v>UT</v>
          </cell>
          <cell r="B47" t="str">
            <v>Utah</v>
          </cell>
          <cell r="C47">
            <v>5550</v>
          </cell>
        </row>
        <row r="48">
          <cell r="A48" t="str">
            <v>VT</v>
          </cell>
          <cell r="B48" t="str">
            <v>Vermont</v>
          </cell>
          <cell r="C48">
            <v>2200</v>
          </cell>
        </row>
        <row r="49">
          <cell r="A49" t="str">
            <v>VA</v>
          </cell>
          <cell r="B49" t="str">
            <v>Virginia</v>
          </cell>
          <cell r="C49">
            <v>3362</v>
          </cell>
        </row>
        <row r="50">
          <cell r="A50" t="str">
            <v>WA</v>
          </cell>
          <cell r="B50" t="str">
            <v>Washington</v>
          </cell>
          <cell r="C50">
            <v>12642</v>
          </cell>
        </row>
        <row r="51">
          <cell r="A51" t="str">
            <v>WV</v>
          </cell>
          <cell r="B51" t="str">
            <v>West Virginia</v>
          </cell>
          <cell r="C51">
            <v>2304</v>
          </cell>
        </row>
        <row r="52">
          <cell r="A52" t="str">
            <v>WI</v>
          </cell>
          <cell r="B52" t="str">
            <v>Wisconsin</v>
          </cell>
          <cell r="C52">
            <v>5944</v>
          </cell>
        </row>
        <row r="53">
          <cell r="A53" t="str">
            <v>WY</v>
          </cell>
          <cell r="B53" t="str">
            <v>Wyoming</v>
          </cell>
          <cell r="C53">
            <v>1033</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Data"/>
      <sheetName val="Sheet3"/>
    </sheetNames>
    <sheetDataSet>
      <sheetData sheetId="0"/>
      <sheetData sheetId="1">
        <row r="2">
          <cell r="A2" t="str">
            <v>US</v>
          </cell>
          <cell r="B2" t="str">
            <v>United States</v>
          </cell>
          <cell r="C2">
            <v>307293146</v>
          </cell>
          <cell r="D2">
            <v>31532704</v>
          </cell>
        </row>
        <row r="3">
          <cell r="A3" t="str">
            <v>AL</v>
          </cell>
          <cell r="B3" t="str">
            <v>Alabama</v>
          </cell>
          <cell r="C3">
            <v>4741168</v>
          </cell>
          <cell r="D3">
            <v>514887</v>
          </cell>
        </row>
        <row r="4">
          <cell r="A4" t="str">
            <v>AK</v>
          </cell>
          <cell r="B4" t="str">
            <v>Alaska</v>
          </cell>
          <cell r="C4">
            <v>703664</v>
          </cell>
          <cell r="D4">
            <v>66974</v>
          </cell>
        </row>
        <row r="5">
          <cell r="A5" t="str">
            <v>AZ</v>
          </cell>
          <cell r="B5" t="str">
            <v>Arizona</v>
          </cell>
          <cell r="C5">
            <v>6486779</v>
          </cell>
          <cell r="D5">
            <v>814271</v>
          </cell>
        </row>
        <row r="6">
          <cell r="A6" t="str">
            <v>AR</v>
          </cell>
          <cell r="B6" t="str">
            <v>Arkansas</v>
          </cell>
          <cell r="C6">
            <v>2894186</v>
          </cell>
          <cell r="D6">
            <v>359919</v>
          </cell>
        </row>
        <row r="7">
          <cell r="A7" t="str">
            <v>CA</v>
          </cell>
          <cell r="B7" t="str">
            <v>California</v>
          </cell>
          <cell r="C7">
            <v>37416200</v>
          </cell>
          <cell r="D7">
            <v>4320531</v>
          </cell>
        </row>
        <row r="8">
          <cell r="A8" t="str">
            <v>CO</v>
          </cell>
          <cell r="B8" t="str">
            <v>Colorado</v>
          </cell>
          <cell r="C8">
            <v>5005726</v>
          </cell>
          <cell r="D8">
            <v>407347</v>
          </cell>
        </row>
        <row r="9">
          <cell r="A9" t="str">
            <v>CT</v>
          </cell>
          <cell r="B9" t="str">
            <v>Connecticut</v>
          </cell>
          <cell r="C9">
            <v>3527450</v>
          </cell>
          <cell r="D9">
            <v>232111</v>
          </cell>
        </row>
        <row r="10">
          <cell r="A10" t="str">
            <v>DE</v>
          </cell>
          <cell r="B10" t="str">
            <v>Delaware</v>
          </cell>
          <cell r="C10">
            <v>895790</v>
          </cell>
          <cell r="D10">
            <v>83036</v>
          </cell>
        </row>
        <row r="11">
          <cell r="A11" t="str">
            <v>DC</v>
          </cell>
          <cell r="B11" t="str">
            <v>District of Columbia</v>
          </cell>
          <cell r="C11">
            <v>611791</v>
          </cell>
          <cell r="D11">
            <v>52899</v>
          </cell>
        </row>
        <row r="12">
          <cell r="A12" t="str">
            <v>FL</v>
          </cell>
          <cell r="B12" t="str">
            <v>Florida</v>
          </cell>
          <cell r="C12">
            <v>18872654</v>
          </cell>
          <cell r="D12">
            <v>1766158</v>
          </cell>
        </row>
        <row r="13">
          <cell r="A13" t="str">
            <v>GA</v>
          </cell>
          <cell r="B13" t="str">
            <v>Georgia</v>
          </cell>
          <cell r="C13">
            <v>9665300</v>
          </cell>
          <cell r="D13">
            <v>1172181</v>
          </cell>
        </row>
        <row r="14">
          <cell r="A14" t="str">
            <v>HI</v>
          </cell>
          <cell r="B14" t="str">
            <v>Hawaii</v>
          </cell>
          <cell r="C14">
            <v>1323882</v>
          </cell>
          <cell r="D14">
            <v>129180</v>
          </cell>
        </row>
        <row r="15">
          <cell r="A15" t="str">
            <v>ID</v>
          </cell>
          <cell r="B15" t="str">
            <v>Idaho</v>
          </cell>
          <cell r="C15">
            <v>1558441</v>
          </cell>
          <cell r="D15">
            <v>221841</v>
          </cell>
        </row>
        <row r="16">
          <cell r="A16" t="str">
            <v>IL</v>
          </cell>
          <cell r="B16" t="str">
            <v>Illinois</v>
          </cell>
          <cell r="C16">
            <v>12740532</v>
          </cell>
          <cell r="D16">
            <v>1348953</v>
          </cell>
        </row>
        <row r="17">
          <cell r="A17" t="str">
            <v>IN</v>
          </cell>
          <cell r="B17" t="str">
            <v>Indiana</v>
          </cell>
          <cell r="C17">
            <v>6367286</v>
          </cell>
          <cell r="D17">
            <v>690081</v>
          </cell>
        </row>
        <row r="18">
          <cell r="A18" t="str">
            <v>IA</v>
          </cell>
          <cell r="B18" t="str">
            <v>Iowa</v>
          </cell>
          <cell r="C18">
            <v>3002080</v>
          </cell>
          <cell r="D18">
            <v>248684</v>
          </cell>
        </row>
        <row r="19">
          <cell r="A19" t="str">
            <v>KS</v>
          </cell>
          <cell r="B19" t="str">
            <v>Kansas</v>
          </cell>
          <cell r="C19">
            <v>2786644</v>
          </cell>
          <cell r="D19">
            <v>318198</v>
          </cell>
        </row>
        <row r="20">
          <cell r="A20" t="str">
            <v>KY</v>
          </cell>
          <cell r="B20" t="str">
            <v>Kentucky</v>
          </cell>
          <cell r="C20">
            <v>4286246</v>
          </cell>
          <cell r="D20">
            <v>474229</v>
          </cell>
        </row>
        <row r="21">
          <cell r="A21" t="str">
            <v>LA</v>
          </cell>
          <cell r="B21" t="str">
            <v>Louisiana</v>
          </cell>
          <cell r="C21">
            <v>4455553</v>
          </cell>
          <cell r="D21">
            <v>563393</v>
          </cell>
        </row>
        <row r="22">
          <cell r="A22" t="str">
            <v>ME</v>
          </cell>
          <cell r="B22" t="str">
            <v>Maine</v>
          </cell>
          <cell r="C22">
            <v>1312694</v>
          </cell>
          <cell r="D22">
            <v>99802</v>
          </cell>
        </row>
        <row r="23">
          <cell r="A23" t="str">
            <v>MD</v>
          </cell>
          <cell r="B23" t="str">
            <v>Maryland</v>
          </cell>
          <cell r="C23">
            <v>5796348</v>
          </cell>
          <cell r="D23">
            <v>403984</v>
          </cell>
        </row>
        <row r="24">
          <cell r="A24" t="str">
            <v>MA</v>
          </cell>
          <cell r="B24" t="str">
            <v>Massachusetts</v>
          </cell>
          <cell r="C24">
            <v>6522847</v>
          </cell>
          <cell r="D24">
            <v>418498</v>
          </cell>
        </row>
        <row r="25">
          <cell r="A25" t="str">
            <v>MI</v>
          </cell>
          <cell r="B25" t="str">
            <v>Michigan</v>
          </cell>
          <cell r="C25">
            <v>9719749</v>
          </cell>
          <cell r="D25">
            <v>929462</v>
          </cell>
        </row>
        <row r="26">
          <cell r="A26" t="str">
            <v>MN</v>
          </cell>
          <cell r="B26" t="str">
            <v>Minnesota</v>
          </cell>
          <cell r="C26">
            <v>5246631</v>
          </cell>
          <cell r="D26">
            <v>384662</v>
          </cell>
        </row>
        <row r="27">
          <cell r="A27" t="str">
            <v>MS</v>
          </cell>
          <cell r="B27" t="str">
            <v>Mississippi</v>
          </cell>
          <cell r="C27">
            <v>2926062</v>
          </cell>
          <cell r="D27">
            <v>392947</v>
          </cell>
        </row>
        <row r="28">
          <cell r="A28" t="str">
            <v>MO</v>
          </cell>
          <cell r="B28" t="str">
            <v>Missouri</v>
          </cell>
          <cell r="C28">
            <v>5910653</v>
          </cell>
          <cell r="D28">
            <v>569570</v>
          </cell>
        </row>
        <row r="29">
          <cell r="A29" t="str">
            <v>MT</v>
          </cell>
          <cell r="B29" t="str">
            <v>Montana</v>
          </cell>
          <cell r="C29">
            <v>982430</v>
          </cell>
          <cell r="D29">
            <v>101087</v>
          </cell>
        </row>
        <row r="30">
          <cell r="A30" t="str">
            <v>NE</v>
          </cell>
          <cell r="B30" t="str">
            <v>Nebraska</v>
          </cell>
          <cell r="C30">
            <v>1813472</v>
          </cell>
          <cell r="D30">
            <v>151582</v>
          </cell>
        </row>
        <row r="31">
          <cell r="A31" t="str">
            <v>NV</v>
          </cell>
          <cell r="B31" t="str">
            <v>Nevada</v>
          </cell>
          <cell r="C31">
            <v>2688753</v>
          </cell>
          <cell r="D31">
            <v>311400</v>
          </cell>
        </row>
        <row r="32">
          <cell r="A32" t="str">
            <v>NH</v>
          </cell>
          <cell r="B32" t="str">
            <v>New Hampshire</v>
          </cell>
          <cell r="C32">
            <v>1297178</v>
          </cell>
          <cell r="D32">
            <v>52976</v>
          </cell>
        </row>
        <row r="33">
          <cell r="A33" t="str">
            <v>NJ</v>
          </cell>
          <cell r="B33" t="str">
            <v>New Jersey</v>
          </cell>
          <cell r="C33">
            <v>8687645</v>
          </cell>
          <cell r="D33">
            <v>625653</v>
          </cell>
        </row>
        <row r="34">
          <cell r="A34" t="str">
            <v>NM</v>
          </cell>
          <cell r="B34" t="str">
            <v>New Mexico</v>
          </cell>
          <cell r="C34">
            <v>2035177</v>
          </cell>
          <cell r="D34">
            <v>265955</v>
          </cell>
        </row>
        <row r="35">
          <cell r="A35" t="str">
            <v>NY</v>
          </cell>
          <cell r="B35" t="str">
            <v>New York</v>
          </cell>
          <cell r="C35">
            <v>19222730</v>
          </cell>
          <cell r="D35">
            <v>1793596</v>
          </cell>
        </row>
        <row r="36">
          <cell r="A36" t="str">
            <v>NC</v>
          </cell>
          <cell r="B36" t="str">
            <v>North Carolina</v>
          </cell>
          <cell r="C36">
            <v>9431181</v>
          </cell>
          <cell r="D36">
            <v>1085931</v>
          </cell>
        </row>
        <row r="37">
          <cell r="A37" t="str">
            <v>ND</v>
          </cell>
          <cell r="B37" t="str">
            <v>North Dakota</v>
          </cell>
          <cell r="C37">
            <v>663613</v>
          </cell>
          <cell r="D37">
            <v>44303</v>
          </cell>
        </row>
        <row r="38">
          <cell r="A38" t="str">
            <v>OH</v>
          </cell>
          <cell r="B38" t="str">
            <v>Ohio</v>
          </cell>
          <cell r="C38">
            <v>11325109</v>
          </cell>
          <cell r="D38">
            <v>1116751</v>
          </cell>
        </row>
        <row r="39">
          <cell r="A39" t="str">
            <v>OK</v>
          </cell>
          <cell r="B39" t="str">
            <v>Oklahoma</v>
          </cell>
          <cell r="C39">
            <v>3730027</v>
          </cell>
          <cell r="D39">
            <v>453666</v>
          </cell>
        </row>
        <row r="40">
          <cell r="A40" t="str">
            <v>OR</v>
          </cell>
          <cell r="B40" t="str">
            <v>Oregon</v>
          </cell>
          <cell r="C40">
            <v>3800785</v>
          </cell>
          <cell r="D40">
            <v>361704</v>
          </cell>
        </row>
        <row r="41">
          <cell r="A41" t="str">
            <v>PA</v>
          </cell>
          <cell r="B41" t="str">
            <v>Pennsylvania</v>
          </cell>
          <cell r="C41">
            <v>12613651</v>
          </cell>
          <cell r="D41">
            <v>978962</v>
          </cell>
        </row>
        <row r="42">
          <cell r="A42" t="str">
            <v>RI</v>
          </cell>
          <cell r="B42" t="str">
            <v>Rhode Island</v>
          </cell>
          <cell r="C42">
            <v>1039686</v>
          </cell>
          <cell r="D42">
            <v>82474</v>
          </cell>
        </row>
        <row r="43">
          <cell r="A43" t="str">
            <v>SC</v>
          </cell>
          <cell r="B43" t="str">
            <v>South Carolina</v>
          </cell>
          <cell r="C43">
            <v>4584063</v>
          </cell>
          <cell r="D43">
            <v>518681</v>
          </cell>
        </row>
        <row r="44">
          <cell r="A44" t="str">
            <v>SD</v>
          </cell>
          <cell r="B44" t="str">
            <v>South Dakota</v>
          </cell>
          <cell r="C44">
            <v>803726</v>
          </cell>
          <cell r="D44">
            <v>82559</v>
          </cell>
        </row>
        <row r="45">
          <cell r="A45" t="str">
            <v>TN</v>
          </cell>
          <cell r="B45" t="str">
            <v>Tennessee</v>
          </cell>
          <cell r="C45">
            <v>6319241</v>
          </cell>
          <cell r="D45">
            <v>666651</v>
          </cell>
        </row>
        <row r="46">
          <cell r="A46" t="str">
            <v>TX</v>
          </cell>
          <cell r="B46" t="str">
            <v>Texas</v>
          </cell>
          <cell r="C46">
            <v>25377089</v>
          </cell>
          <cell r="D46">
            <v>3549528</v>
          </cell>
        </row>
        <row r="47">
          <cell r="A47" t="str">
            <v>UT</v>
          </cell>
          <cell r="B47" t="str">
            <v>Utah</v>
          </cell>
          <cell r="C47">
            <v>2790241</v>
          </cell>
          <cell r="D47">
            <v>332420</v>
          </cell>
        </row>
        <row r="48">
          <cell r="A48" t="str">
            <v>VT</v>
          </cell>
          <cell r="B48" t="str">
            <v>Vermont</v>
          </cell>
          <cell r="C48">
            <v>619450</v>
          </cell>
          <cell r="D48">
            <v>39034</v>
          </cell>
        </row>
        <row r="49">
          <cell r="A49" t="str">
            <v>VA</v>
          </cell>
          <cell r="B49" t="str">
            <v>Virginia</v>
          </cell>
          <cell r="C49">
            <v>7903990</v>
          </cell>
          <cell r="D49">
            <v>560302</v>
          </cell>
        </row>
        <row r="50">
          <cell r="A50" t="str">
            <v>WA</v>
          </cell>
          <cell r="B50" t="str">
            <v>Washington</v>
          </cell>
          <cell r="C50">
            <v>6762579</v>
          </cell>
          <cell r="D50">
            <v>669895</v>
          </cell>
        </row>
        <row r="51">
          <cell r="A51" t="str">
            <v>WV</v>
          </cell>
          <cell r="B51" t="str">
            <v>West Virginia</v>
          </cell>
          <cell r="C51">
            <v>1817945</v>
          </cell>
          <cell r="D51">
            <v>174180</v>
          </cell>
        </row>
        <row r="52">
          <cell r="A52" t="str">
            <v>WI</v>
          </cell>
          <cell r="B52" t="str">
            <v>Wisconsin</v>
          </cell>
          <cell r="C52">
            <v>5650970</v>
          </cell>
          <cell r="D52">
            <v>482293</v>
          </cell>
        </row>
        <row r="53">
          <cell r="A53" t="str">
            <v>WY</v>
          </cell>
          <cell r="B53" t="str">
            <v>Wyoming</v>
          </cell>
          <cell r="C53">
            <v>556063</v>
          </cell>
          <cell r="D53">
            <v>47325</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 Exp12"/>
      <sheetName val="Raw - Rec12"/>
      <sheetName val="Expenditures"/>
      <sheetName val="Recipients"/>
    </sheetNames>
    <sheetDataSet>
      <sheetData sheetId="0" refreshError="1"/>
      <sheetData sheetId="1" refreshError="1"/>
      <sheetData sheetId="2" refreshError="1">
        <row r="2">
          <cell r="B2" t="str">
            <v xml:space="preserve">State </v>
          </cell>
          <cell r="C2" t="str">
            <v>Total Expenditures</v>
          </cell>
          <cell r="D2" t="str">
            <v>Foster Care Expenditures</v>
          </cell>
          <cell r="E2" t="str">
            <v>Adoption Expenditures</v>
          </cell>
        </row>
        <row r="3">
          <cell r="B3" t="str">
            <v>United States</v>
          </cell>
          <cell r="C3">
            <v>27577053693</v>
          </cell>
          <cell r="D3">
            <v>3570807267</v>
          </cell>
          <cell r="E3">
            <v>331237873</v>
          </cell>
        </row>
        <row r="4">
          <cell r="B4" t="str">
            <v>Alabama</v>
          </cell>
          <cell r="C4">
            <v>427221019</v>
          </cell>
          <cell r="D4">
            <v>0</v>
          </cell>
          <cell r="E4">
            <v>0</v>
          </cell>
        </row>
        <row r="5">
          <cell r="B5" t="str">
            <v>Alaska</v>
          </cell>
          <cell r="C5">
            <v>113304126</v>
          </cell>
          <cell r="D5">
            <v>26879686</v>
          </cell>
          <cell r="E5">
            <v>25834106</v>
          </cell>
        </row>
        <row r="6">
          <cell r="B6" t="str">
            <v>Arizona</v>
          </cell>
          <cell r="C6">
            <v>1389250003</v>
          </cell>
          <cell r="D6">
            <v>184262113</v>
          </cell>
          <cell r="E6">
            <v>0</v>
          </cell>
        </row>
        <row r="7">
          <cell r="B7" t="str">
            <v>Arkansas</v>
          </cell>
          <cell r="C7">
            <v>17248603</v>
          </cell>
          <cell r="D7">
            <v>0</v>
          </cell>
          <cell r="E7">
            <v>91926</v>
          </cell>
        </row>
        <row r="8">
          <cell r="B8" t="str">
            <v>California</v>
          </cell>
          <cell r="C8">
            <v>5824230604</v>
          </cell>
          <cell r="D8">
            <v>966472000</v>
          </cell>
          <cell r="E8">
            <v>0</v>
          </cell>
        </row>
        <row r="9">
          <cell r="B9" t="str">
            <v>Colorado</v>
          </cell>
          <cell r="C9">
            <v>87347911</v>
          </cell>
          <cell r="D9">
            <v>78537855</v>
          </cell>
          <cell r="E9">
            <v>0</v>
          </cell>
        </row>
        <row r="10">
          <cell r="B10" t="str">
            <v>Connecticut</v>
          </cell>
          <cell r="C10">
            <v>299358674</v>
          </cell>
          <cell r="D10">
            <v>0</v>
          </cell>
          <cell r="E10">
            <v>0</v>
          </cell>
        </row>
        <row r="11">
          <cell r="B11" t="str">
            <v>Delaware</v>
          </cell>
          <cell r="C11">
            <v>58987529</v>
          </cell>
          <cell r="D11">
            <v>12035842</v>
          </cell>
          <cell r="E11">
            <v>0</v>
          </cell>
        </row>
        <row r="12">
          <cell r="B12" t="str">
            <v>District of Columbia</v>
          </cell>
          <cell r="C12">
            <v>167238731</v>
          </cell>
          <cell r="D12">
            <v>0</v>
          </cell>
          <cell r="E12">
            <v>0</v>
          </cell>
        </row>
        <row r="13">
          <cell r="B13" t="str">
            <v>Florida</v>
          </cell>
          <cell r="C13">
            <v>528557214</v>
          </cell>
          <cell r="D13">
            <v>156305483</v>
          </cell>
          <cell r="E13">
            <v>336556</v>
          </cell>
        </row>
        <row r="14">
          <cell r="B14" t="str">
            <v>Georgia</v>
          </cell>
          <cell r="C14">
            <v>92732186</v>
          </cell>
          <cell r="D14">
            <v>0</v>
          </cell>
          <cell r="E14">
            <v>0</v>
          </cell>
        </row>
        <row r="15">
          <cell r="B15" t="str">
            <v>Hawaii</v>
          </cell>
          <cell r="C15">
            <v>64031800</v>
          </cell>
          <cell r="D15">
            <v>0</v>
          </cell>
          <cell r="E15">
            <v>0</v>
          </cell>
        </row>
        <row r="16">
          <cell r="B16" t="str">
            <v>Idaho</v>
          </cell>
          <cell r="C16">
            <v>67752816</v>
          </cell>
          <cell r="D16">
            <v>6905810</v>
          </cell>
          <cell r="E16">
            <v>8614175</v>
          </cell>
        </row>
        <row r="17">
          <cell r="B17" t="str">
            <v>Illinois</v>
          </cell>
          <cell r="C17">
            <v>1775028572</v>
          </cell>
          <cell r="D17">
            <v>0</v>
          </cell>
          <cell r="E17">
            <v>0</v>
          </cell>
        </row>
        <row r="18">
          <cell r="B18" t="str">
            <v>Indiana</v>
          </cell>
          <cell r="C18">
            <v>902373374</v>
          </cell>
          <cell r="D18">
            <v>451575860</v>
          </cell>
          <cell r="E18">
            <v>0</v>
          </cell>
        </row>
        <row r="19">
          <cell r="B19" t="str">
            <v>Iowa</v>
          </cell>
          <cell r="C19">
            <v>380731834</v>
          </cell>
          <cell r="D19">
            <v>4360474</v>
          </cell>
          <cell r="E19">
            <v>0</v>
          </cell>
        </row>
        <row r="20">
          <cell r="B20" t="str">
            <v>Kansas</v>
          </cell>
          <cell r="C20">
            <v>232024640</v>
          </cell>
          <cell r="D20">
            <v>135247871</v>
          </cell>
          <cell r="E20">
            <v>0</v>
          </cell>
        </row>
        <row r="21">
          <cell r="B21" t="str">
            <v>Kentucky</v>
          </cell>
          <cell r="C21">
            <v>144640992</v>
          </cell>
          <cell r="D21">
            <v>0</v>
          </cell>
          <cell r="E21">
            <v>0</v>
          </cell>
        </row>
        <row r="22">
          <cell r="B22" t="str">
            <v>Louisiana</v>
          </cell>
          <cell r="C22">
            <v>237107145</v>
          </cell>
          <cell r="D22">
            <v>115675744</v>
          </cell>
          <cell r="E22" t="str">
            <v>$    21,421,434</v>
          </cell>
        </row>
        <row r="23">
          <cell r="B23" t="str">
            <v>Maine</v>
          </cell>
          <cell r="C23">
            <v>36426343</v>
          </cell>
          <cell r="D23">
            <v>0</v>
          </cell>
          <cell r="E23">
            <v>0</v>
          </cell>
        </row>
        <row r="24">
          <cell r="B24" t="str">
            <v>Maryland</v>
          </cell>
          <cell r="C24">
            <v>248514725</v>
          </cell>
          <cell r="D24">
            <v>81658097</v>
          </cell>
          <cell r="E24">
            <v>8732829</v>
          </cell>
        </row>
        <row r="25">
          <cell r="B25" t="str">
            <v>Massachusetts</v>
          </cell>
          <cell r="C25">
            <v>379057669</v>
          </cell>
          <cell r="D25">
            <v>132819813</v>
          </cell>
          <cell r="E25">
            <v>0</v>
          </cell>
        </row>
        <row r="26">
          <cell r="B26" t="str">
            <v>Michigan</v>
          </cell>
          <cell r="C26">
            <v>157696195</v>
          </cell>
          <cell r="D26">
            <v>59884597</v>
          </cell>
          <cell r="E26">
            <v>5046676</v>
          </cell>
        </row>
        <row r="27">
          <cell r="B27" t="str">
            <v>Minnesota</v>
          </cell>
          <cell r="C27">
            <v>367674206</v>
          </cell>
          <cell r="D27">
            <v>64789530</v>
          </cell>
          <cell r="E27">
            <v>3916833</v>
          </cell>
        </row>
        <row r="28">
          <cell r="B28" t="str">
            <v>Mississippi</v>
          </cell>
          <cell r="C28">
            <v>26706424</v>
          </cell>
          <cell r="D28">
            <v>52396</v>
          </cell>
          <cell r="E28">
            <v>218441</v>
          </cell>
        </row>
        <row r="29">
          <cell r="B29" t="str">
            <v>Missouri</v>
          </cell>
          <cell r="C29">
            <v>629428975</v>
          </cell>
          <cell r="D29">
            <v>46722625</v>
          </cell>
          <cell r="E29">
            <v>74790844</v>
          </cell>
        </row>
        <row r="30">
          <cell r="B30" t="str">
            <v>Montana</v>
          </cell>
          <cell r="C30">
            <v>155497266</v>
          </cell>
          <cell r="D30">
            <v>23373695</v>
          </cell>
          <cell r="E30">
            <v>0</v>
          </cell>
        </row>
        <row r="31">
          <cell r="B31" t="str">
            <v>Nebraska</v>
          </cell>
          <cell r="C31">
            <v>26928146</v>
          </cell>
          <cell r="D31">
            <v>0</v>
          </cell>
          <cell r="E31">
            <v>0</v>
          </cell>
        </row>
        <row r="32">
          <cell r="B32" t="str">
            <v>Nevada</v>
          </cell>
          <cell r="C32">
            <v>165613156</v>
          </cell>
          <cell r="D32">
            <v>81040231</v>
          </cell>
          <cell r="E32">
            <v>2336218</v>
          </cell>
        </row>
        <row r="33">
          <cell r="B33" t="str">
            <v>New Hampshire</v>
          </cell>
          <cell r="C33">
            <v>88041743</v>
          </cell>
          <cell r="D33">
            <v>1009779</v>
          </cell>
          <cell r="E33">
            <v>0</v>
          </cell>
        </row>
        <row r="34">
          <cell r="B34" t="str">
            <v>New Jersey</v>
          </cell>
          <cell r="C34">
            <v>611187444</v>
          </cell>
          <cell r="D34">
            <v>0</v>
          </cell>
          <cell r="E34">
            <v>0</v>
          </cell>
        </row>
        <row r="35">
          <cell r="B35" t="str">
            <v>New Mexico</v>
          </cell>
          <cell r="C35">
            <v>14882624</v>
          </cell>
          <cell r="D35">
            <v>4013678</v>
          </cell>
          <cell r="E35">
            <v>6106736</v>
          </cell>
        </row>
        <row r="36">
          <cell r="B36" t="str">
            <v>New York</v>
          </cell>
          <cell r="C36">
            <v>1188387188</v>
          </cell>
          <cell r="D36">
            <v>0</v>
          </cell>
          <cell r="E36">
            <v>0</v>
          </cell>
        </row>
        <row r="37">
          <cell r="B37" t="str">
            <v>North Carolina</v>
          </cell>
          <cell r="C37">
            <v>566572834</v>
          </cell>
          <cell r="D37">
            <v>85252028</v>
          </cell>
          <cell r="E37">
            <v>8558330</v>
          </cell>
        </row>
        <row r="38">
          <cell r="B38" t="str">
            <v>North Dakota</v>
          </cell>
          <cell r="C38">
            <v>11039938</v>
          </cell>
          <cell r="D38">
            <v>0</v>
          </cell>
          <cell r="E38">
            <v>0</v>
          </cell>
        </row>
        <row r="39">
          <cell r="B39" t="str">
            <v>Ohio</v>
          </cell>
          <cell r="C39">
            <v>126119705</v>
          </cell>
          <cell r="D39">
            <v>787917</v>
          </cell>
          <cell r="E39">
            <v>450776</v>
          </cell>
        </row>
        <row r="40">
          <cell r="B40" t="str">
            <v>Oklahoma</v>
          </cell>
          <cell r="C40">
            <v>207943828</v>
          </cell>
          <cell r="D40">
            <v>21055105</v>
          </cell>
          <cell r="E40">
            <v>0</v>
          </cell>
        </row>
        <row r="41">
          <cell r="B41" t="str">
            <v>Oregon</v>
          </cell>
          <cell r="C41">
            <v>340840751</v>
          </cell>
          <cell r="D41">
            <v>69297794</v>
          </cell>
          <cell r="E41">
            <v>0</v>
          </cell>
        </row>
        <row r="42">
          <cell r="B42" t="str">
            <v>Pennsylvania</v>
          </cell>
          <cell r="C42">
            <v>5290046734</v>
          </cell>
          <cell r="D42">
            <v>0</v>
          </cell>
          <cell r="E42">
            <v>0</v>
          </cell>
        </row>
        <row r="43">
          <cell r="B43" t="str">
            <v>Rhode Island</v>
          </cell>
          <cell r="C43">
            <v>20043024</v>
          </cell>
          <cell r="D43">
            <v>0</v>
          </cell>
          <cell r="E43">
            <v>0</v>
          </cell>
        </row>
        <row r="44">
          <cell r="B44" t="str">
            <v>South Carolina</v>
          </cell>
          <cell r="C44">
            <v>21049864</v>
          </cell>
          <cell r="D44">
            <v>2054814</v>
          </cell>
          <cell r="E44">
            <v>0</v>
          </cell>
        </row>
        <row r="45">
          <cell r="B45" t="str">
            <v>South Dakota</v>
          </cell>
          <cell r="C45">
            <v>38718443</v>
          </cell>
          <cell r="D45">
            <v>6602365</v>
          </cell>
          <cell r="E45">
            <v>10116025</v>
          </cell>
        </row>
        <row r="46">
          <cell r="B46" t="str">
            <v>Tennessee</v>
          </cell>
          <cell r="C46">
            <v>443419533</v>
          </cell>
          <cell r="D46">
            <v>0</v>
          </cell>
          <cell r="E46">
            <v>0</v>
          </cell>
        </row>
        <row r="47">
          <cell r="B47" t="str">
            <v>Texas</v>
          </cell>
          <cell r="C47">
            <v>1993969285</v>
          </cell>
          <cell r="D47">
            <v>414048105</v>
          </cell>
          <cell r="E47">
            <v>0</v>
          </cell>
        </row>
        <row r="48">
          <cell r="B48" t="str">
            <v>Utah</v>
          </cell>
          <cell r="C48">
            <v>355087305</v>
          </cell>
          <cell r="D48">
            <v>44892377</v>
          </cell>
          <cell r="E48">
            <v>17060717</v>
          </cell>
        </row>
        <row r="49">
          <cell r="B49" t="str">
            <v>Vermont</v>
          </cell>
          <cell r="C49">
            <v>11258157</v>
          </cell>
          <cell r="D49">
            <v>0</v>
          </cell>
          <cell r="E49">
            <v>0</v>
          </cell>
        </row>
        <row r="50">
          <cell r="B50" t="str">
            <v>Virginia</v>
          </cell>
          <cell r="C50">
            <v>160726033</v>
          </cell>
          <cell r="D50">
            <v>44036029</v>
          </cell>
          <cell r="E50">
            <v>24047562</v>
          </cell>
        </row>
        <row r="51">
          <cell r="B51" t="str">
            <v>Washington</v>
          </cell>
          <cell r="C51">
            <v>194206155</v>
          </cell>
          <cell r="D51">
            <v>49332004</v>
          </cell>
          <cell r="E51">
            <v>0</v>
          </cell>
        </row>
        <row r="52">
          <cell r="B52" t="str">
            <v>West Virginia</v>
          </cell>
          <cell r="C52">
            <v>256437810</v>
          </cell>
          <cell r="D52">
            <v>106610976</v>
          </cell>
          <cell r="E52">
            <v>39689851</v>
          </cell>
        </row>
        <row r="53">
          <cell r="B53" t="str">
            <v>Wisconsin</v>
          </cell>
          <cell r="C53">
            <v>595314770</v>
          </cell>
          <cell r="D53">
            <v>85373855</v>
          </cell>
          <cell r="E53">
            <v>92129784</v>
          </cell>
        </row>
      </sheetData>
      <sheetData sheetId="3" refreshError="1">
        <row r="2">
          <cell r="B2" t="str">
            <v>United States</v>
          </cell>
          <cell r="C2">
            <v>29518597</v>
          </cell>
          <cell r="D2">
            <v>460260</v>
          </cell>
          <cell r="E2">
            <v>109124</v>
          </cell>
        </row>
        <row r="3">
          <cell r="B3" t="str">
            <v>Alabama</v>
          </cell>
          <cell r="C3">
            <v>50787</v>
          </cell>
          <cell r="D3">
            <v>0</v>
          </cell>
          <cell r="E3">
            <v>0</v>
          </cell>
        </row>
        <row r="4">
          <cell r="B4" t="str">
            <v>Alaska</v>
          </cell>
          <cell r="C4">
            <v>40988</v>
          </cell>
          <cell r="D4">
            <v>938</v>
          </cell>
          <cell r="E4">
            <v>3103</v>
          </cell>
        </row>
        <row r="5">
          <cell r="B5" t="str">
            <v>Arizona</v>
          </cell>
          <cell r="C5">
            <v>6881667</v>
          </cell>
          <cell r="D5">
            <v>31844</v>
          </cell>
          <cell r="E5">
            <v>0</v>
          </cell>
        </row>
        <row r="6">
          <cell r="B6" t="str">
            <v>Arkansas</v>
          </cell>
          <cell r="C6">
            <v>50379</v>
          </cell>
          <cell r="D6">
            <v>0</v>
          </cell>
          <cell r="E6">
            <v>414</v>
          </cell>
        </row>
        <row r="7">
          <cell r="B7" t="str">
            <v>California</v>
          </cell>
          <cell r="C7">
            <v>3029257</v>
          </cell>
          <cell r="D7">
            <v>79385</v>
          </cell>
          <cell r="E7">
            <v>0</v>
          </cell>
        </row>
        <row r="8">
          <cell r="B8" t="str">
            <v>Colorado</v>
          </cell>
          <cell r="C8">
            <v>71396</v>
          </cell>
          <cell r="D8">
            <v>46657</v>
          </cell>
          <cell r="E8">
            <v>0</v>
          </cell>
        </row>
        <row r="9">
          <cell r="B9" t="str">
            <v>Connecticut</v>
          </cell>
          <cell r="C9">
            <v>630594</v>
          </cell>
          <cell r="D9">
            <v>0</v>
          </cell>
          <cell r="E9">
            <v>0</v>
          </cell>
        </row>
        <row r="10">
          <cell r="B10" t="str">
            <v>Delaware</v>
          </cell>
          <cell r="C10">
            <v>15390</v>
          </cell>
          <cell r="D10">
            <v>816</v>
          </cell>
          <cell r="E10">
            <v>0</v>
          </cell>
        </row>
        <row r="11">
          <cell r="B11" t="str">
            <v>District of Columbia</v>
          </cell>
          <cell r="C11">
            <v>31335</v>
          </cell>
          <cell r="D11">
            <v>0</v>
          </cell>
          <cell r="E11">
            <v>0</v>
          </cell>
        </row>
        <row r="12">
          <cell r="B12" t="str">
            <v>Florida</v>
          </cell>
          <cell r="C12">
            <v>2052227</v>
          </cell>
          <cell r="D12">
            <v>34955</v>
          </cell>
          <cell r="E12">
            <v>7780</v>
          </cell>
        </row>
        <row r="13">
          <cell r="B13" t="str">
            <v>Georgia</v>
          </cell>
          <cell r="C13">
            <v>261023</v>
          </cell>
          <cell r="D13">
            <v>0</v>
          </cell>
          <cell r="E13">
            <v>0</v>
          </cell>
        </row>
        <row r="14">
          <cell r="B14" t="str">
            <v>Hawaii</v>
          </cell>
          <cell r="C14">
            <v>11402</v>
          </cell>
          <cell r="D14">
            <v>0</v>
          </cell>
          <cell r="E14">
            <v>0</v>
          </cell>
        </row>
        <row r="15">
          <cell r="B15" t="str">
            <v>Idaho</v>
          </cell>
          <cell r="C15">
            <v>45355</v>
          </cell>
          <cell r="D15">
            <v>492</v>
          </cell>
          <cell r="E15">
            <v>678</v>
          </cell>
        </row>
        <row r="16">
          <cell r="B16" t="str">
            <v>Illinois</v>
          </cell>
          <cell r="C16">
            <v>1107855</v>
          </cell>
          <cell r="D16">
            <v>0</v>
          </cell>
          <cell r="E16">
            <v>0</v>
          </cell>
        </row>
        <row r="17">
          <cell r="B17" t="str">
            <v>Indiana</v>
          </cell>
          <cell r="C17">
            <v>529553</v>
          </cell>
          <cell r="D17">
            <v>17723</v>
          </cell>
          <cell r="E17">
            <v>0</v>
          </cell>
        </row>
        <row r="18">
          <cell r="B18" t="str">
            <v>Iowa</v>
          </cell>
          <cell r="C18">
            <v>116831</v>
          </cell>
          <cell r="D18">
            <v>3001</v>
          </cell>
          <cell r="E18">
            <v>0</v>
          </cell>
        </row>
        <row r="19">
          <cell r="B19" t="str">
            <v>Kansas</v>
          </cell>
          <cell r="C19">
            <v>71927</v>
          </cell>
          <cell r="D19">
            <v>4912</v>
          </cell>
          <cell r="E19">
            <v>0</v>
          </cell>
        </row>
        <row r="20">
          <cell r="B20" t="str">
            <v>Kentucky</v>
          </cell>
          <cell r="C20">
            <v>195821</v>
          </cell>
          <cell r="D20">
            <v>0</v>
          </cell>
          <cell r="E20">
            <v>0</v>
          </cell>
        </row>
        <row r="21">
          <cell r="B21" t="str">
            <v>Louisiana</v>
          </cell>
          <cell r="C21">
            <v>71132</v>
          </cell>
          <cell r="D21">
            <v>7939</v>
          </cell>
          <cell r="E21">
            <v>5962</v>
          </cell>
        </row>
        <row r="22">
          <cell r="B22" t="str">
            <v>Maine</v>
          </cell>
          <cell r="C22">
            <v>98325</v>
          </cell>
          <cell r="D22">
            <v>0</v>
          </cell>
          <cell r="E22">
            <v>0</v>
          </cell>
        </row>
        <row r="23">
          <cell r="B23" t="str">
            <v>Maryland</v>
          </cell>
          <cell r="C23">
            <v>102134</v>
          </cell>
          <cell r="D23">
            <v>10365</v>
          </cell>
          <cell r="E23">
            <v>8308</v>
          </cell>
        </row>
        <row r="24">
          <cell r="B24" t="str">
            <v>Massachusetts</v>
          </cell>
          <cell r="C24">
            <v>133254</v>
          </cell>
          <cell r="D24">
            <v>6958</v>
          </cell>
          <cell r="E24">
            <v>0</v>
          </cell>
        </row>
        <row r="25">
          <cell r="B25" t="str">
            <v>Michigan</v>
          </cell>
          <cell r="C25">
            <v>328441</v>
          </cell>
          <cell r="D25">
            <v>17995</v>
          </cell>
          <cell r="E25">
            <v>25867</v>
          </cell>
        </row>
        <row r="26">
          <cell r="B26" t="str">
            <v>Minnesota</v>
          </cell>
          <cell r="C26">
            <v>186778</v>
          </cell>
          <cell r="D26">
            <v>2304</v>
          </cell>
          <cell r="E26">
            <v>1329</v>
          </cell>
        </row>
        <row r="27">
          <cell r="B27" t="str">
            <v>Mississippi</v>
          </cell>
          <cell r="C27">
            <v>94757</v>
          </cell>
          <cell r="D27">
            <v>761</v>
          </cell>
          <cell r="E27">
            <v>709</v>
          </cell>
        </row>
        <row r="28">
          <cell r="B28" t="str">
            <v>Missouri</v>
          </cell>
          <cell r="C28">
            <v>133006</v>
          </cell>
          <cell r="D28">
            <v>2282</v>
          </cell>
          <cell r="E28">
            <v>7154</v>
          </cell>
        </row>
        <row r="29">
          <cell r="B29" t="str">
            <v>Montana</v>
          </cell>
          <cell r="C29">
            <v>13405</v>
          </cell>
          <cell r="D29">
            <v>2184</v>
          </cell>
          <cell r="E29">
            <v>0</v>
          </cell>
        </row>
        <row r="30">
          <cell r="B30" t="str">
            <v>Nebraska</v>
          </cell>
          <cell r="C30">
            <v>47861</v>
          </cell>
          <cell r="D30">
            <v>0</v>
          </cell>
          <cell r="E30">
            <v>0</v>
          </cell>
        </row>
        <row r="31">
          <cell r="B31" t="str">
            <v>Nevada</v>
          </cell>
          <cell r="C31">
            <v>129228</v>
          </cell>
          <cell r="D31">
            <v>5844</v>
          </cell>
          <cell r="E31">
            <v>326</v>
          </cell>
        </row>
        <row r="32">
          <cell r="B32" t="str">
            <v>New Hampshire</v>
          </cell>
          <cell r="C32">
            <v>260846</v>
          </cell>
          <cell r="D32">
            <v>10293</v>
          </cell>
          <cell r="E32">
            <v>0</v>
          </cell>
        </row>
        <row r="33">
          <cell r="B33" t="str">
            <v>New Jersey</v>
          </cell>
          <cell r="C33">
            <v>1621661</v>
          </cell>
          <cell r="D33">
            <v>0</v>
          </cell>
          <cell r="E33">
            <v>0</v>
          </cell>
        </row>
        <row r="34">
          <cell r="B34" t="str">
            <v>New Mexico</v>
          </cell>
          <cell r="C34">
            <v>25965</v>
          </cell>
          <cell r="D34">
            <v>3650</v>
          </cell>
          <cell r="E34">
            <v>1162</v>
          </cell>
        </row>
        <row r="35">
          <cell r="B35" t="str">
            <v>New York</v>
          </cell>
          <cell r="C35">
            <v>500364</v>
          </cell>
          <cell r="D35">
            <v>0</v>
          </cell>
          <cell r="E35">
            <v>0</v>
          </cell>
        </row>
        <row r="36">
          <cell r="B36" t="str">
            <v>North Carolina</v>
          </cell>
          <cell r="C36">
            <v>1178497</v>
          </cell>
          <cell r="D36">
            <v>23342</v>
          </cell>
          <cell r="E36">
            <v>22673</v>
          </cell>
        </row>
        <row r="37">
          <cell r="B37" t="str">
            <v>North Dakota</v>
          </cell>
          <cell r="C37">
            <v>5832</v>
          </cell>
          <cell r="D37">
            <v>0</v>
          </cell>
          <cell r="E37">
            <v>0</v>
          </cell>
        </row>
        <row r="38">
          <cell r="B38" t="str">
            <v>Ohio</v>
          </cell>
          <cell r="C38">
            <v>289261</v>
          </cell>
          <cell r="D38">
            <v>3903</v>
          </cell>
          <cell r="E38">
            <v>2283</v>
          </cell>
        </row>
        <row r="39">
          <cell r="B39" t="str">
            <v>Oklahoma</v>
          </cell>
          <cell r="C39">
            <v>113264</v>
          </cell>
          <cell r="D39">
            <v>9132</v>
          </cell>
          <cell r="E39">
            <v>0</v>
          </cell>
        </row>
        <row r="40">
          <cell r="B40" t="str">
            <v>Oregon</v>
          </cell>
          <cell r="C40">
            <v>46263</v>
          </cell>
          <cell r="D40">
            <v>12600</v>
          </cell>
          <cell r="E40">
            <v>0</v>
          </cell>
        </row>
        <row r="41">
          <cell r="B41" t="str">
            <v>Pennsylvania</v>
          </cell>
          <cell r="C41">
            <v>5984489</v>
          </cell>
          <cell r="D41">
            <v>0</v>
          </cell>
          <cell r="E41">
            <v>0</v>
          </cell>
        </row>
        <row r="42">
          <cell r="B42" t="str">
            <v>Rhode Island</v>
          </cell>
          <cell r="C42">
            <v>281150</v>
          </cell>
          <cell r="D42">
            <v>0</v>
          </cell>
          <cell r="E42">
            <v>0</v>
          </cell>
        </row>
        <row r="43">
          <cell r="B43" t="str">
            <v>South Carolina</v>
          </cell>
          <cell r="C43">
            <v>25435</v>
          </cell>
          <cell r="D43">
            <v>6965</v>
          </cell>
          <cell r="E43">
            <v>0</v>
          </cell>
        </row>
        <row r="44">
          <cell r="B44" t="str">
            <v>South Dakota</v>
          </cell>
          <cell r="C44">
            <v>21500</v>
          </cell>
          <cell r="D44">
            <v>2966</v>
          </cell>
          <cell r="E44">
            <v>1733</v>
          </cell>
        </row>
        <row r="45">
          <cell r="B45" t="str">
            <v>Tennessee</v>
          </cell>
          <cell r="C45">
            <v>53117</v>
          </cell>
          <cell r="D45">
            <v>0</v>
          </cell>
          <cell r="E45">
            <v>0</v>
          </cell>
        </row>
        <row r="46">
          <cell r="B46" t="str">
            <v>Texas</v>
          </cell>
          <cell r="C46">
            <v>1835941</v>
          </cell>
          <cell r="D46">
            <v>61006</v>
          </cell>
          <cell r="E46">
            <v>0</v>
          </cell>
        </row>
        <row r="47">
          <cell r="B47" t="str">
            <v>Utah</v>
          </cell>
          <cell r="C47">
            <v>275888</v>
          </cell>
          <cell r="D47">
            <v>4553</v>
          </cell>
          <cell r="E47">
            <v>3788</v>
          </cell>
        </row>
        <row r="48">
          <cell r="B48" t="str">
            <v>Vermont</v>
          </cell>
          <cell r="C48">
            <v>24747</v>
          </cell>
          <cell r="D48">
            <v>0</v>
          </cell>
          <cell r="E48">
            <v>0</v>
          </cell>
        </row>
        <row r="49">
          <cell r="B49" t="str">
            <v>Virginia</v>
          </cell>
          <cell r="C49">
            <v>52449</v>
          </cell>
          <cell r="D49">
            <v>3460</v>
          </cell>
          <cell r="E49">
            <v>5838</v>
          </cell>
        </row>
        <row r="50">
          <cell r="B50" t="str">
            <v>Washington</v>
          </cell>
          <cell r="C50">
            <v>126591</v>
          </cell>
          <cell r="D50">
            <v>17160</v>
          </cell>
          <cell r="E50">
            <v>0</v>
          </cell>
        </row>
        <row r="51">
          <cell r="B51" t="str">
            <v>West Virginia</v>
          </cell>
          <cell r="C51">
            <v>66024</v>
          </cell>
          <cell r="D51">
            <v>4540</v>
          </cell>
          <cell r="E51">
            <v>8207</v>
          </cell>
        </row>
        <row r="52">
          <cell r="B52" t="str">
            <v>Wisconsin</v>
          </cell>
          <cell r="C52">
            <v>181561</v>
          </cell>
          <cell r="D52">
            <v>17495</v>
          </cell>
          <cell r="E52">
            <v>1017</v>
          </cell>
        </row>
        <row r="53">
          <cell r="B53" t="str">
            <v>Wyoming</v>
          </cell>
          <cell r="C53">
            <v>7941</v>
          </cell>
          <cell r="D53">
            <v>1840</v>
          </cell>
          <cell r="E53">
            <v>793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www.census.gov/cps/data/cpstablecreator.html" TargetMode="External"/><Relationship Id="rId3" Type="http://schemas.openxmlformats.org/officeDocument/2006/relationships/hyperlink" Target="http://www.acf.hhs.gov/programs/ofa/resource/tanf-financial-data-fy-2012" TargetMode="External"/><Relationship Id="rId7" Type="http://schemas.openxmlformats.org/officeDocument/2006/relationships/hyperlink" Target="http://www.census.gov/cps/data/cpstablecreator.html" TargetMode="External"/><Relationship Id="rId2" Type="http://schemas.openxmlformats.org/officeDocument/2006/relationships/hyperlink" Target="http://www.census.gov/cps/data/cpstablecreator.html" TargetMode="External"/><Relationship Id="rId1" Type="http://schemas.openxmlformats.org/officeDocument/2006/relationships/hyperlink" Target="http://www.census.gov/cps/data/cpstablecreator.html" TargetMode="External"/><Relationship Id="rId6" Type="http://schemas.openxmlformats.org/officeDocument/2006/relationships/hyperlink" Target="http://www.acf.hhs.gov/programs/ocs/resource/ssbg-2012-annual-report" TargetMode="External"/><Relationship Id="rId5" Type="http://schemas.openxmlformats.org/officeDocument/2006/relationships/hyperlink" Target="http://www.acf.hhs.gov/programs/occ/resource/fy-2012-ccdf-data-tables-final" TargetMode="External"/><Relationship Id="rId4" Type="http://schemas.openxmlformats.org/officeDocument/2006/relationships/hyperlink" Target="http://www.acf.hhs.gov/programs/occ/resource/ccdf-expenditure-data-all-ye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pane xSplit="2" ySplit="1" topLeftCell="C17" activePane="bottomRight" state="frozen"/>
      <selection pane="topRight" activeCell="C1" sqref="C1"/>
      <selection pane="bottomLeft" activeCell="A2" sqref="A2"/>
      <selection pane="bottomRight" activeCell="D6" sqref="D6"/>
    </sheetView>
  </sheetViews>
  <sheetFormatPr defaultRowHeight="15" x14ac:dyDescent="0.25"/>
  <cols>
    <col min="1" max="1" width="9.140625" style="14"/>
    <col min="2" max="2" width="21.42578125" style="14" bestFit="1" customWidth="1"/>
    <col min="3" max="3" width="12.5703125" style="87" bestFit="1" customWidth="1"/>
    <col min="4" max="4" width="32.85546875" bestFit="1" customWidth="1"/>
    <col min="5" max="5" width="21.140625" bestFit="1" customWidth="1"/>
    <col min="6" max="6" width="11.7109375" bestFit="1" customWidth="1"/>
    <col min="7" max="7" width="16.28515625" style="87" bestFit="1" customWidth="1"/>
    <col min="8" max="8" width="32.85546875" bestFit="1" customWidth="1"/>
    <col min="9" max="9" width="21.140625" bestFit="1" customWidth="1"/>
    <col min="10" max="10" width="11.7109375" bestFit="1" customWidth="1"/>
    <col min="11" max="11" width="15.28515625" bestFit="1" customWidth="1"/>
    <col min="12" max="12" width="9" style="66" bestFit="1" customWidth="1"/>
    <col min="13" max="13" width="11.7109375" bestFit="1" customWidth="1"/>
    <col min="14" max="14" width="31.140625" style="87" customWidth="1"/>
  </cols>
  <sheetData>
    <row r="1" spans="1:14" x14ac:dyDescent="0.25">
      <c r="A1" s="108"/>
      <c r="B1" s="108"/>
      <c r="C1" s="109"/>
      <c r="D1" s="105" t="s">
        <v>174</v>
      </c>
      <c r="E1" s="106"/>
      <c r="F1" s="106"/>
      <c r="G1" s="107"/>
      <c r="H1" s="110" t="s">
        <v>175</v>
      </c>
      <c r="I1" s="111"/>
      <c r="J1" s="111"/>
      <c r="K1" s="111"/>
      <c r="L1" s="77"/>
      <c r="M1" s="112" t="s">
        <v>177</v>
      </c>
      <c r="N1" s="107"/>
    </row>
    <row r="2" spans="1:14" ht="29.25" x14ac:dyDescent="0.25">
      <c r="A2" s="13" t="s">
        <v>0</v>
      </c>
      <c r="B2" s="13" t="s">
        <v>1</v>
      </c>
      <c r="C2" s="89" t="s">
        <v>176</v>
      </c>
      <c r="D2" s="81" t="s">
        <v>3</v>
      </c>
      <c r="E2" s="9" t="s">
        <v>4</v>
      </c>
      <c r="F2" s="9" t="s">
        <v>5</v>
      </c>
      <c r="G2" s="79" t="s">
        <v>149</v>
      </c>
      <c r="H2" s="78" t="s">
        <v>3</v>
      </c>
      <c r="I2" s="9" t="s">
        <v>4</v>
      </c>
      <c r="J2" s="9" t="s">
        <v>5</v>
      </c>
      <c r="K2" s="9" t="s">
        <v>149</v>
      </c>
      <c r="L2" s="84" t="s">
        <v>139</v>
      </c>
      <c r="M2" s="93" t="s">
        <v>5</v>
      </c>
      <c r="N2" s="79" t="s">
        <v>149</v>
      </c>
    </row>
    <row r="3" spans="1:14" x14ac:dyDescent="0.25">
      <c r="A3" s="13" t="s">
        <v>6</v>
      </c>
      <c r="B3" s="83" t="s">
        <v>7</v>
      </c>
      <c r="C3" s="85">
        <f>VLOOKUP($A3, [3]Data!$A$2:$D$53, 3, FALSE)</f>
        <v>307293146</v>
      </c>
      <c r="D3" s="11">
        <f>VLOOKUP($A3, [3]Data!$A$2:$D$53, 4, FALSE)</f>
        <v>31532704</v>
      </c>
      <c r="E3" s="11">
        <f>VLOOKUP($B3, '[1]TANF - Totals'!$A$3:$C$54, 2, FALSE)</f>
        <v>13721250</v>
      </c>
      <c r="F3" s="11">
        <f>VLOOKUP($B3, '[1]TANF - Totals'!$A$3:$C$54, 3, FALSE)</f>
        <v>4309343.2726152744</v>
      </c>
      <c r="G3" s="41">
        <f>VLOOKUP($A3, [2]Expenditures!$A$2:$E$53, 3, FALSE)</f>
        <v>28867299691</v>
      </c>
      <c r="H3" s="11">
        <f>VLOOKUP($A3, [3]Data!$A$2:$D$53, 4, FALSE)</f>
        <v>31532704</v>
      </c>
      <c r="I3" s="11">
        <f>VLOOKUP($B3, '[1]CCDF - Totals'!$A$3:$C$54, 2, FALSE)</f>
        <v>8630810</v>
      </c>
      <c r="J3" s="11">
        <f>VLOOKUP($B3, '[1]CCDF - Totals'!$A$3:$C$54, 3, FALSE)</f>
        <v>1547500</v>
      </c>
      <c r="K3" s="63">
        <f>VLOOKUP($A3, [2]Expenditures!$A$2:$E$53, 4, FALSE)</f>
        <v>8641383022</v>
      </c>
      <c r="L3" s="65">
        <f>VLOOKUP($A3, [2]Units!$A$2:$C$53, 3, FALSE)</f>
        <v>461513</v>
      </c>
      <c r="M3" s="11">
        <f>VLOOKUP(B3, [4]Recipients!$B$2:$E$53, 2, FALSE)</f>
        <v>29518597</v>
      </c>
      <c r="N3" s="41">
        <f>VLOOKUP($B3, [4]Expenditures!$B$2:$E$53, 2, FALSE)</f>
        <v>27577053693</v>
      </c>
    </row>
    <row r="4" spans="1:14" x14ac:dyDescent="0.25">
      <c r="A4" s="13" t="s">
        <v>8</v>
      </c>
      <c r="B4" s="83" t="s">
        <v>9</v>
      </c>
      <c r="C4" s="85">
        <f>VLOOKUP($A4, [3]Data!$A$2:$D$53, 3, FALSE)</f>
        <v>4741168</v>
      </c>
      <c r="D4" s="10">
        <f>VLOOKUP($A4, [3]Data!$A$2:$D$53, 4, FALSE)</f>
        <v>514887</v>
      </c>
      <c r="E4" s="10">
        <f>VLOOKUP($B4, '[1]TANF - Totals'!$A$3:$C$54, 2, FALSE)</f>
        <v>219561</v>
      </c>
      <c r="F4" s="10">
        <f>VLOOKUP($B4, '[1]TANF - Totals'!$A$3:$C$54, 3, FALSE)</f>
        <v>53303.126363841671</v>
      </c>
      <c r="G4" s="42">
        <f>VLOOKUP($A4, [2]Expenditures!$A$2:$E$53, 3, FALSE)</f>
        <v>168393567</v>
      </c>
      <c r="H4" s="10">
        <f>VLOOKUP($A4, [3]Data!$A$2:$D$53, 4, FALSE)</f>
        <v>514887</v>
      </c>
      <c r="I4" s="10">
        <f>VLOOKUP($B4, '[1]CCDF - Totals'!$A$3:$C$54, 2, FALSE)</f>
        <v>90684</v>
      </c>
      <c r="J4" s="10">
        <f>VLOOKUP($B4, '[1]CCDF - Totals'!$A$3:$C$54, 3, FALSE)</f>
        <v>26550</v>
      </c>
      <c r="K4" s="61">
        <f>VLOOKUP($A4, [2]Expenditures!$A$2:$E$53, 4, FALSE)</f>
        <v>103709173</v>
      </c>
      <c r="L4" s="66">
        <f>VLOOKUP($A4, [2]Units!$A$2:$C$53, 3, FALSE)</f>
        <v>2491</v>
      </c>
      <c r="M4" s="10">
        <f>VLOOKUP(B4, [4]Recipients!$B$2:$E$53, 2, FALSE)</f>
        <v>50787</v>
      </c>
      <c r="N4" s="42">
        <f>VLOOKUP($B4, [4]Expenditures!$B$2:$E$53, 2, FALSE)</f>
        <v>427221019</v>
      </c>
    </row>
    <row r="5" spans="1:14" x14ac:dyDescent="0.25">
      <c r="A5" s="13" t="s">
        <v>10</v>
      </c>
      <c r="B5" s="83" t="s">
        <v>11</v>
      </c>
      <c r="C5" s="85">
        <f>VLOOKUP($A5, [3]Data!$A$2:$D$53, 3, FALSE)</f>
        <v>703664</v>
      </c>
      <c r="D5" s="10">
        <f>VLOOKUP($A5, [3]Data!$A$2:$D$53, 4, FALSE)</f>
        <v>66974</v>
      </c>
      <c r="E5" s="10">
        <f>VLOOKUP($B5, '[1]TANF - Totals'!$A$3:$C$54, 2, FALSE)</f>
        <v>60956.5</v>
      </c>
      <c r="F5" s="10">
        <f>VLOOKUP($B5, '[1]TANF - Totals'!$A$3:$C$54, 3, FALSE)</f>
        <v>10046.223215676668</v>
      </c>
      <c r="G5" s="42">
        <f>VLOOKUP($A5, [2]Expenditures!$A$2:$E$53, 3, FALSE)</f>
        <v>71922274</v>
      </c>
      <c r="H5" s="10">
        <f>VLOOKUP($A5, [3]Data!$A$2:$D$53, 4, FALSE)</f>
        <v>66974</v>
      </c>
      <c r="I5" s="10">
        <f>VLOOKUP($B5, '[1]CCDF - Totals'!$A$3:$C$54, 2, FALSE)</f>
        <v>25795.5</v>
      </c>
      <c r="J5" s="10">
        <f>VLOOKUP($B5, '[1]CCDF - Totals'!$A$3:$C$54, 3, FALSE)</f>
        <v>4200</v>
      </c>
      <c r="K5" s="61">
        <f>VLOOKUP($A5, [2]Expenditures!$A$2:$E$53, 4, FALSE)</f>
        <v>29369052</v>
      </c>
      <c r="L5" s="66">
        <f>VLOOKUP($A5, [2]Units!$A$2:$C$53, 3, FALSE)</f>
        <v>1077</v>
      </c>
      <c r="M5" s="10">
        <f>VLOOKUP(B5, [4]Recipients!$B$2:$E$53, 2, FALSE)</f>
        <v>40988</v>
      </c>
      <c r="N5" s="42">
        <f>VLOOKUP($B5, [4]Expenditures!$B$2:$E$53, 2, FALSE)</f>
        <v>113304126</v>
      </c>
    </row>
    <row r="6" spans="1:14" x14ac:dyDescent="0.25">
      <c r="A6" s="13" t="s">
        <v>12</v>
      </c>
      <c r="B6" s="83" t="s">
        <v>13</v>
      </c>
      <c r="C6" s="85">
        <f>VLOOKUP($A6, [3]Data!$A$2:$D$53, 3, FALSE)</f>
        <v>6486779</v>
      </c>
      <c r="D6" s="10">
        <f>VLOOKUP($A6, [3]Data!$A$2:$D$53, 4, FALSE)</f>
        <v>814271</v>
      </c>
      <c r="E6" s="10">
        <f>VLOOKUP($B6, '[1]TANF - Totals'!$A$3:$C$54, 2, FALSE)</f>
        <v>286473</v>
      </c>
      <c r="F6" s="10">
        <f>VLOOKUP($B6, '[1]TANF - Totals'!$A$3:$C$54, 3, FALSE)</f>
        <v>39967.404939200002</v>
      </c>
      <c r="G6" s="42">
        <f>VLOOKUP($A6, [2]Expenditures!$A$2:$E$53, 3, FALSE)</f>
        <v>325893863</v>
      </c>
      <c r="H6" s="10">
        <f>VLOOKUP($A6, [3]Data!$A$2:$D$53, 4, FALSE)</f>
        <v>814271</v>
      </c>
      <c r="I6" s="10">
        <f>VLOOKUP($B6, '[1]CCDF - Totals'!$A$3:$C$54, 2, FALSE)</f>
        <v>173482</v>
      </c>
      <c r="J6" s="10">
        <f>VLOOKUP($B6, '[1]CCDF - Totals'!$A$3:$C$54, 3, FALSE)</f>
        <v>26750</v>
      </c>
      <c r="K6" s="61">
        <f>VLOOKUP($A6, [2]Expenditures!$A$2:$E$53, 4, FALSE)</f>
        <v>141734693</v>
      </c>
      <c r="L6" s="66">
        <f>VLOOKUP($A6, [2]Units!$A$2:$C$53, 3, FALSE)</f>
        <v>3781</v>
      </c>
      <c r="M6" s="10">
        <f>VLOOKUP(B6, [4]Recipients!$B$2:$E$53, 2, FALSE)</f>
        <v>6881667</v>
      </c>
      <c r="N6" s="42">
        <f>VLOOKUP($B6, [4]Expenditures!$B$2:$E$53, 2, FALSE)</f>
        <v>1389250003</v>
      </c>
    </row>
    <row r="7" spans="1:14" x14ac:dyDescent="0.25">
      <c r="A7" s="13" t="s">
        <v>14</v>
      </c>
      <c r="B7" s="83" t="s">
        <v>15</v>
      </c>
      <c r="C7" s="85">
        <f>VLOOKUP($A7, [3]Data!$A$2:$D$53, 3, FALSE)</f>
        <v>2894186</v>
      </c>
      <c r="D7" s="10">
        <f>VLOOKUP($A7, [3]Data!$A$2:$D$53, 4, FALSE)</f>
        <v>359919</v>
      </c>
      <c r="E7" s="10">
        <f>VLOOKUP($B7, '[1]TANF - Totals'!$A$3:$C$54, 2, FALSE)</f>
        <v>119406</v>
      </c>
      <c r="F7" s="10">
        <f>VLOOKUP($B7, '[1]TANF - Totals'!$A$3:$C$54, 3, FALSE)</f>
        <v>17326.847942722918</v>
      </c>
      <c r="G7" s="42">
        <f>VLOOKUP($A7, [2]Expenditures!$A$2:$E$53, 3, FALSE)</f>
        <v>174595479</v>
      </c>
      <c r="H7" s="10">
        <f>VLOOKUP($A7, [3]Data!$A$2:$D$53, 4, FALSE)</f>
        <v>359919</v>
      </c>
      <c r="I7" s="10">
        <f>VLOOKUP($B7, '[1]CCDF - Totals'!$A$3:$C$54, 2, FALSE)</f>
        <v>78088.5</v>
      </c>
      <c r="J7" s="10">
        <f>VLOOKUP($B7, '[1]CCDF - Totals'!$A$3:$C$54, 3, FALSE)</f>
        <v>8050</v>
      </c>
      <c r="K7" s="61">
        <f>VLOOKUP($A7, [2]Expenditures!$A$2:$E$53, 4, FALSE)</f>
        <v>58653229</v>
      </c>
      <c r="L7" s="66">
        <f>VLOOKUP($A7, [2]Units!$A$2:$C$53, 3, FALSE)</f>
        <v>1113</v>
      </c>
      <c r="M7" s="10">
        <f>VLOOKUP(B7, [4]Recipients!$B$2:$E$53, 2, FALSE)</f>
        <v>50379</v>
      </c>
      <c r="N7" s="42">
        <f>VLOOKUP($B7, [4]Expenditures!$B$2:$E$53, 2, FALSE)</f>
        <v>17248603</v>
      </c>
    </row>
    <row r="8" spans="1:14" x14ac:dyDescent="0.25">
      <c r="A8" s="13" t="s">
        <v>16</v>
      </c>
      <c r="B8" s="83" t="s">
        <v>17</v>
      </c>
      <c r="C8" s="85">
        <f>VLOOKUP($A8, [3]Data!$A$2:$D$53, 3, FALSE)</f>
        <v>37416200</v>
      </c>
      <c r="D8" s="10">
        <f>VLOOKUP($A8, [3]Data!$A$2:$D$53, 4, FALSE)</f>
        <v>4320531</v>
      </c>
      <c r="E8" s="10">
        <f>VLOOKUP($B8, '[1]TANF - Totals'!$A$3:$C$54, 2, FALSE)</f>
        <v>2334800</v>
      </c>
      <c r="F8" s="10">
        <f>VLOOKUP($B8, '[1]TANF - Totals'!$A$3:$C$54, 3, FALSE)</f>
        <v>1415711.1069324065</v>
      </c>
      <c r="G8" s="42">
        <f>VLOOKUP($A8, [2]Expenditures!$A$2:$E$53, 3, FALSE)</f>
        <v>6115366791</v>
      </c>
      <c r="H8" s="10">
        <f>VLOOKUP($A8, [3]Data!$A$2:$D$53, 4, FALSE)</f>
        <v>4320531</v>
      </c>
      <c r="I8" s="10">
        <f>VLOOKUP($B8, '[1]CCDF - Totals'!$A$3:$C$54, 2, FALSE)</f>
        <v>1247105</v>
      </c>
      <c r="J8" s="10">
        <f>VLOOKUP($B8, '[1]CCDF - Totals'!$A$3:$C$54, 3, FALSE)</f>
        <v>107850</v>
      </c>
      <c r="K8" s="61">
        <f>VLOOKUP($A8, [2]Expenditures!$A$2:$E$53, 4, FALSE)</f>
        <v>854786411</v>
      </c>
      <c r="L8" s="66">
        <f>VLOOKUP($A8, [2]Units!$A$2:$C$53, 3, FALSE)</f>
        <v>58177</v>
      </c>
      <c r="M8" s="10">
        <f>VLOOKUP(B8, [4]Recipients!$B$2:$E$53, 2, FALSE)</f>
        <v>3029257</v>
      </c>
      <c r="N8" s="42">
        <f>VLOOKUP($B8, [4]Expenditures!$B$2:$E$53, 2, FALSE)</f>
        <v>5824230604</v>
      </c>
    </row>
    <row r="9" spans="1:14" x14ac:dyDescent="0.25">
      <c r="A9" s="13" t="s">
        <v>18</v>
      </c>
      <c r="B9" s="83" t="s">
        <v>19</v>
      </c>
      <c r="C9" s="85">
        <f>VLOOKUP($A9, [3]Data!$A$2:$D$53, 3, FALSE)</f>
        <v>5005726</v>
      </c>
      <c r="D9" s="10">
        <f>VLOOKUP($A9, [3]Data!$A$2:$D$53, 4, FALSE)</f>
        <v>407347</v>
      </c>
      <c r="E9" s="10">
        <f>VLOOKUP($B9, '[1]TANF - Totals'!$A$3:$C$54, 2, FALSE)</f>
        <v>138033</v>
      </c>
      <c r="F9" s="10">
        <f>VLOOKUP($B9, '[1]TANF - Totals'!$A$3:$C$54, 3, FALSE)</f>
        <v>33995.460592628333</v>
      </c>
      <c r="G9" s="42">
        <f>VLOOKUP($A9, [2]Expenditures!$A$2:$E$53, 3, FALSE)</f>
        <v>306472672</v>
      </c>
      <c r="H9" s="10">
        <f>VLOOKUP($A9, [3]Data!$A$2:$D$53, 4, FALSE)</f>
        <v>407347</v>
      </c>
      <c r="I9" s="10">
        <f>VLOOKUP($B9, '[1]CCDF - Totals'!$A$3:$C$54, 2, FALSE)</f>
        <v>123367.5</v>
      </c>
      <c r="J9" s="10">
        <f>VLOOKUP($B9, '[1]CCDF - Totals'!$A$3:$C$54, 3, FALSE)</f>
        <v>16350</v>
      </c>
      <c r="K9" s="61">
        <f>VLOOKUP($A9, [2]Expenditures!$A$2:$E$53, 4, FALSE)</f>
        <v>106078625</v>
      </c>
      <c r="L9" s="66">
        <f>VLOOKUP($A9, [2]Units!$A$2:$C$53, 3, FALSE)</f>
        <v>2565</v>
      </c>
      <c r="M9" s="10">
        <f>VLOOKUP(B9, [4]Recipients!$B$2:$E$53, 2, FALSE)</f>
        <v>71396</v>
      </c>
      <c r="N9" s="42">
        <f>VLOOKUP($B9, [4]Expenditures!$B$2:$E$53, 2, FALSE)</f>
        <v>87347911</v>
      </c>
    </row>
    <row r="10" spans="1:14" x14ac:dyDescent="0.25">
      <c r="A10" s="13" t="s">
        <v>20</v>
      </c>
      <c r="B10" s="83" t="s">
        <v>21</v>
      </c>
      <c r="C10" s="85">
        <f>VLOOKUP($A10, [3]Data!$A$2:$D$53, 3, FALSE)</f>
        <v>3527450</v>
      </c>
      <c r="D10" s="10">
        <f>VLOOKUP($A10, [3]Data!$A$2:$D$53, 4, FALSE)</f>
        <v>232111</v>
      </c>
      <c r="E10" s="10">
        <f>VLOOKUP($B10, '[1]TANF - Totals'!$A$3:$C$54, 2, FALSE)</f>
        <v>78370.5</v>
      </c>
      <c r="F10" s="10">
        <f>VLOOKUP($B10, '[1]TANF - Totals'!$A$3:$C$54, 3, FALSE)</f>
        <v>30480.708596074997</v>
      </c>
      <c r="G10" s="42">
        <f>VLOOKUP($A10, [2]Expenditures!$A$2:$E$53, 3, FALSE)</f>
        <v>466987848</v>
      </c>
      <c r="H10" s="10">
        <f>VLOOKUP($A10, [3]Data!$A$2:$D$53, 4, FALSE)</f>
        <v>232111</v>
      </c>
      <c r="I10" s="10">
        <f>VLOOKUP($B10, '[1]CCDF - Totals'!$A$3:$C$54, 2, FALSE)</f>
        <v>86091</v>
      </c>
      <c r="J10" s="10">
        <f>VLOOKUP($B10, '[1]CCDF - Totals'!$A$3:$C$54, 3, FALSE)</f>
        <v>9550</v>
      </c>
      <c r="K10" s="61">
        <f>VLOOKUP($A10, [2]Expenditures!$A$2:$E$53, 4, FALSE)</f>
        <v>118055789</v>
      </c>
      <c r="L10" s="66">
        <f>VLOOKUP($A10, [2]Units!$A$2:$C$53, 3, FALSE)</f>
        <v>9701</v>
      </c>
      <c r="M10" s="10">
        <f>VLOOKUP(B10, [4]Recipients!$B$2:$E$53, 2, FALSE)</f>
        <v>630594</v>
      </c>
      <c r="N10" s="42">
        <f>VLOOKUP($B10, [4]Expenditures!$B$2:$E$53, 2, FALSE)</f>
        <v>299358674</v>
      </c>
    </row>
    <row r="11" spans="1:14" x14ac:dyDescent="0.25">
      <c r="A11" s="13" t="s">
        <v>22</v>
      </c>
      <c r="B11" s="83" t="s">
        <v>23</v>
      </c>
      <c r="C11" s="85">
        <f>VLOOKUP($A11, [3]Data!$A$2:$D$53, 3, FALSE)</f>
        <v>895790</v>
      </c>
      <c r="D11" s="10">
        <f>VLOOKUP($A11, [3]Data!$A$2:$D$53, 4, FALSE)</f>
        <v>83036</v>
      </c>
      <c r="E11" s="10">
        <f>VLOOKUP($B11, '[1]TANF - Totals'!$A$3:$C$54, 2, FALSE)</f>
        <v>46207.5</v>
      </c>
      <c r="F11" s="10">
        <f>VLOOKUP($B11, '[1]TANF - Totals'!$A$3:$C$54, 3, FALSE)</f>
        <v>15120.837893860058</v>
      </c>
      <c r="G11" s="42">
        <f>VLOOKUP($A11, [2]Expenditures!$A$2:$E$53, 3, FALSE)</f>
        <v>88066769</v>
      </c>
      <c r="H11" s="10">
        <f>VLOOKUP($A11, [3]Data!$A$2:$D$53, 4, FALSE)</f>
        <v>83036</v>
      </c>
      <c r="I11" s="10">
        <f>VLOOKUP($B11, '[1]CCDF - Totals'!$A$3:$C$54, 2, FALSE)</f>
        <v>31515.5</v>
      </c>
      <c r="J11" s="10">
        <f>VLOOKUP($B11, '[1]CCDF - Totals'!$A$3:$C$54, 3, FALSE)</f>
        <v>6900</v>
      </c>
      <c r="K11" s="61">
        <f>VLOOKUP($A11, [2]Expenditures!$A$2:$E$53, 4, FALSE)</f>
        <v>24173362</v>
      </c>
      <c r="L11" s="66">
        <f>VLOOKUP($A11, [2]Units!$A$2:$C$53, 3, FALSE)</f>
        <v>1423</v>
      </c>
      <c r="M11" s="10">
        <f>VLOOKUP(B11, [4]Recipients!$B$2:$E$53, 2, FALSE)</f>
        <v>15390</v>
      </c>
      <c r="N11" s="42">
        <f>VLOOKUP($B11, [4]Expenditures!$B$2:$E$53, 2, FALSE)</f>
        <v>58987529</v>
      </c>
    </row>
    <row r="12" spans="1:14" x14ac:dyDescent="0.25">
      <c r="A12" s="13" t="s">
        <v>24</v>
      </c>
      <c r="B12" s="83" t="s">
        <v>25</v>
      </c>
      <c r="C12" s="85">
        <f>VLOOKUP($A12, [3]Data!$A$2:$D$53, 3, FALSE)</f>
        <v>611791</v>
      </c>
      <c r="D12" s="10">
        <f>VLOOKUP($A12, [3]Data!$A$2:$D$53, 4, FALSE)</f>
        <v>52899</v>
      </c>
      <c r="E12" s="10">
        <f>VLOOKUP($B12, '[1]TANF - Totals'!$A$3:$C$54, 2, FALSE)</f>
        <v>42034.5</v>
      </c>
      <c r="F12" s="10">
        <f>VLOOKUP($B12, '[1]TANF - Totals'!$A$3:$C$54, 3, FALSE)</f>
        <v>18733.833333333332</v>
      </c>
      <c r="G12" s="42">
        <f>VLOOKUP($A12, [2]Expenditures!$A$2:$E$53, 3, FALSE)</f>
        <v>170407886</v>
      </c>
      <c r="H12" s="10">
        <f>VLOOKUP($A12, [3]Data!$A$2:$D$53, 4, FALSE)</f>
        <v>52899</v>
      </c>
      <c r="I12" s="10">
        <f>VLOOKUP($B12, '[1]CCDF - Totals'!$A$3:$C$54, 2, FALSE)</f>
        <v>18333</v>
      </c>
      <c r="J12" s="10">
        <f>VLOOKUP($B12, '[1]CCDF - Totals'!$A$3:$C$54, 3, FALSE)</f>
        <v>1300</v>
      </c>
      <c r="K12" s="61">
        <f>VLOOKUP($A12, [2]Expenditures!$A$2:$E$53, 4, FALSE)</f>
        <v>15420944</v>
      </c>
      <c r="L12" s="66">
        <f>VLOOKUP($A12, [2]Units!$A$2:$C$53, 3, FALSE)</f>
        <v>232</v>
      </c>
      <c r="M12" s="10">
        <f>VLOOKUP(B12, [4]Recipients!$B$2:$E$53, 2, FALSE)</f>
        <v>31335</v>
      </c>
      <c r="N12" s="42">
        <f>VLOOKUP($B12, [4]Expenditures!$B$2:$E$53, 2, FALSE)</f>
        <v>167238731</v>
      </c>
    </row>
    <row r="13" spans="1:14" x14ac:dyDescent="0.25">
      <c r="A13" s="13" t="s">
        <v>26</v>
      </c>
      <c r="B13" s="83" t="s">
        <v>27</v>
      </c>
      <c r="C13" s="85">
        <f>VLOOKUP($A13, [3]Data!$A$2:$D$53, 3, FALSE)</f>
        <v>18872654</v>
      </c>
      <c r="D13" s="10">
        <f>VLOOKUP($A13, [3]Data!$A$2:$D$53, 4, FALSE)</f>
        <v>1766158</v>
      </c>
      <c r="E13" s="10">
        <f>VLOOKUP($B13, '[1]TANF - Totals'!$A$3:$C$54, 2, FALSE)</f>
        <v>565607.5</v>
      </c>
      <c r="F13" s="10">
        <f>VLOOKUP($B13, '[1]TANF - Totals'!$A$3:$C$54, 3, FALSE)</f>
        <v>93943.791666666657</v>
      </c>
      <c r="G13" s="42">
        <f>VLOOKUP($A13, [2]Expenditures!$A$2:$E$53, 3, FALSE)</f>
        <v>813782221</v>
      </c>
      <c r="H13" s="10">
        <f>VLOOKUP($A13, [3]Data!$A$2:$D$53, 4, FALSE)</f>
        <v>1766158</v>
      </c>
      <c r="I13" s="10">
        <f>VLOOKUP($B13, '[1]CCDF - Totals'!$A$3:$C$54, 2, FALSE)</f>
        <v>404005.5</v>
      </c>
      <c r="J13" s="10">
        <f>VLOOKUP($B13, '[1]CCDF - Totals'!$A$3:$C$54, 3, FALSE)</f>
        <v>88200</v>
      </c>
      <c r="K13" s="61">
        <f>VLOOKUP($A13, [2]Expenditures!$A$2:$E$53, 4, FALSE)</f>
        <v>465255803</v>
      </c>
      <c r="L13" s="66">
        <f>VLOOKUP($A13, [2]Units!$A$2:$C$53, 3, FALSE)</f>
        <v>9840</v>
      </c>
      <c r="M13" s="10">
        <f>VLOOKUP(B13, [4]Recipients!$B$2:$E$53, 2, FALSE)</f>
        <v>2052227</v>
      </c>
      <c r="N13" s="42">
        <f>VLOOKUP($B13, [4]Expenditures!$B$2:$E$53, 2, FALSE)</f>
        <v>528557214</v>
      </c>
    </row>
    <row r="14" spans="1:14" x14ac:dyDescent="0.25">
      <c r="A14" s="13" t="s">
        <v>28</v>
      </c>
      <c r="B14" s="83" t="s">
        <v>29</v>
      </c>
      <c r="C14" s="85">
        <f>VLOOKUP($A14, [3]Data!$A$2:$D$53, 3, FALSE)</f>
        <v>9665300</v>
      </c>
      <c r="D14" s="10">
        <f>VLOOKUP($A14, [3]Data!$A$2:$D$53, 4, FALSE)</f>
        <v>1172181</v>
      </c>
      <c r="E14" s="10">
        <f>VLOOKUP($B14, '[1]TANF - Totals'!$A$3:$C$54, 2, FALSE)</f>
        <v>456925.5</v>
      </c>
      <c r="F14" s="10">
        <f>VLOOKUP($B14, '[1]TANF - Totals'!$A$3:$C$54, 3, FALSE)</f>
        <v>36467.484884317921</v>
      </c>
      <c r="G14" s="42">
        <f>VLOOKUP($A14, [2]Expenditures!$A$2:$E$53, 3, FALSE)</f>
        <v>522679427</v>
      </c>
      <c r="H14" s="10">
        <f>VLOOKUP($A14, [3]Data!$A$2:$D$53, 4, FALSE)</f>
        <v>1172181</v>
      </c>
      <c r="I14" s="10">
        <f>VLOOKUP($B14, '[1]CCDF - Totals'!$A$3:$C$54, 2, FALSE)</f>
        <v>237606.5</v>
      </c>
      <c r="J14" s="10">
        <f>VLOOKUP($B14, '[1]CCDF - Totals'!$A$3:$C$54, 3, FALSE)</f>
        <v>53450</v>
      </c>
      <c r="K14" s="61">
        <f>VLOOKUP($A14, [2]Expenditures!$A$2:$E$53, 4, FALSE)</f>
        <v>178490512</v>
      </c>
      <c r="L14" s="66">
        <f>VLOOKUP($A14, [2]Units!$A$2:$C$53, 3, FALSE)</f>
        <v>5022</v>
      </c>
      <c r="M14" s="10">
        <f>VLOOKUP(B14, [4]Recipients!$B$2:$E$53, 2, FALSE)</f>
        <v>261023</v>
      </c>
      <c r="N14" s="42">
        <f>VLOOKUP($B14, [4]Expenditures!$B$2:$E$53, 2, FALSE)</f>
        <v>92732186</v>
      </c>
    </row>
    <row r="15" spans="1:14" x14ac:dyDescent="0.25">
      <c r="A15" s="13" t="s">
        <v>30</v>
      </c>
      <c r="B15" s="83" t="s">
        <v>31</v>
      </c>
      <c r="C15" s="85">
        <f>VLOOKUP($A15, [3]Data!$A$2:$D$53, 3, FALSE)</f>
        <v>1323882</v>
      </c>
      <c r="D15" s="10">
        <f>VLOOKUP($A15, [3]Data!$A$2:$D$53, 4, FALSE)</f>
        <v>129180</v>
      </c>
      <c r="E15" s="10">
        <f>VLOOKUP($B15, '[1]TANF - Totals'!$A$3:$C$54, 2, FALSE)</f>
        <v>118502.5</v>
      </c>
      <c r="F15" s="10">
        <f>VLOOKUP($B15, '[1]TANF - Totals'!$A$3:$C$54, 3, FALSE)</f>
        <v>29045.3103353185</v>
      </c>
      <c r="G15" s="42">
        <f>VLOOKUP($A15, [2]Expenditures!$A$2:$E$53, 3, FALSE)</f>
        <v>242120272</v>
      </c>
      <c r="H15" s="10">
        <f>VLOOKUP($A15, [3]Data!$A$2:$D$53, 4, FALSE)</f>
        <v>129180</v>
      </c>
      <c r="I15" s="10">
        <f>VLOOKUP($B15, '[1]CCDF - Totals'!$A$3:$C$54, 2, FALSE)</f>
        <v>53409</v>
      </c>
      <c r="J15" s="10">
        <f>VLOOKUP($B15, '[1]CCDF - Totals'!$A$3:$C$54, 3, FALSE)</f>
        <v>9000</v>
      </c>
      <c r="K15" s="61">
        <f>VLOOKUP($A15, [2]Expenditures!$A$2:$E$53, 4, FALSE)</f>
        <v>46572781</v>
      </c>
      <c r="L15" s="66">
        <f>VLOOKUP($A15, [2]Units!$A$2:$C$53, 3, FALSE)</f>
        <v>7547</v>
      </c>
      <c r="M15" s="10">
        <f>VLOOKUP(B15, [4]Recipients!$B$2:$E$53, 2, FALSE)</f>
        <v>11402</v>
      </c>
      <c r="N15" s="42">
        <f>VLOOKUP($B15, [4]Expenditures!$B$2:$E$53, 2, FALSE)</f>
        <v>64031800</v>
      </c>
    </row>
    <row r="16" spans="1:14" x14ac:dyDescent="0.25">
      <c r="A16" s="13" t="s">
        <v>32</v>
      </c>
      <c r="B16" s="83" t="s">
        <v>33</v>
      </c>
      <c r="C16" s="85">
        <f>VLOOKUP($A16, [3]Data!$A$2:$D$53, 3, FALSE)</f>
        <v>1558441</v>
      </c>
      <c r="D16" s="10">
        <f>VLOOKUP($A16, [3]Data!$A$2:$D$53, 4, FALSE)</f>
        <v>221841</v>
      </c>
      <c r="E16" s="10">
        <f>VLOOKUP($B16, '[1]TANF - Totals'!$A$3:$C$54, 2, FALSE)</f>
        <v>65069</v>
      </c>
      <c r="F16" s="10">
        <f>VLOOKUP($B16, '[1]TANF - Totals'!$A$3:$C$54, 3, FALSE)</f>
        <v>2870.1052683512862</v>
      </c>
      <c r="G16" s="42">
        <f>VLOOKUP($A16, [2]Expenditures!$A$2:$E$53, 3, FALSE)</f>
        <v>33893537</v>
      </c>
      <c r="H16" s="10">
        <f>VLOOKUP($A16, [3]Data!$A$2:$D$53, 4, FALSE)</f>
        <v>221841</v>
      </c>
      <c r="I16" s="10">
        <f>VLOOKUP($B16, '[1]CCDF - Totals'!$A$3:$C$54, 2, FALSE)</f>
        <v>31686</v>
      </c>
      <c r="J16" s="10">
        <f>VLOOKUP($B16, '[1]CCDF - Totals'!$A$3:$C$54, 3, FALSE)</f>
        <v>6400</v>
      </c>
      <c r="K16" s="61">
        <f>VLOOKUP($A16, [2]Expenditures!$A$2:$E$53, 4, FALSE)</f>
        <v>22335724</v>
      </c>
      <c r="L16" s="66">
        <f>VLOOKUP($A16, [2]Units!$A$2:$C$53, 3, FALSE)</f>
        <v>1011</v>
      </c>
      <c r="M16" s="10">
        <f>VLOOKUP(B16, [4]Recipients!$B$2:$E$53, 2, FALSE)</f>
        <v>45355</v>
      </c>
      <c r="N16" s="42">
        <f>VLOOKUP($B16, [4]Expenditures!$B$2:$E$53, 2, FALSE)</f>
        <v>67752816</v>
      </c>
    </row>
    <row r="17" spans="1:14" x14ac:dyDescent="0.25">
      <c r="A17" s="13" t="s">
        <v>34</v>
      </c>
      <c r="B17" s="83" t="s">
        <v>35</v>
      </c>
      <c r="C17" s="85">
        <f>VLOOKUP($A17, [3]Data!$A$2:$D$53, 3, FALSE)</f>
        <v>12740532</v>
      </c>
      <c r="D17" s="10">
        <f>VLOOKUP($A17, [3]Data!$A$2:$D$53, 4, FALSE)</f>
        <v>1348953</v>
      </c>
      <c r="E17" s="10">
        <f>VLOOKUP($B17, '[1]TANF - Totals'!$A$3:$C$54, 2, FALSE)</f>
        <v>399284</v>
      </c>
      <c r="F17" s="10">
        <f>VLOOKUP($B17, '[1]TANF - Totals'!$A$3:$C$54, 3, FALSE)</f>
        <v>87641.374999999985</v>
      </c>
      <c r="G17" s="42">
        <f>VLOOKUP($A17, [2]Expenditures!$A$2:$E$53, 3, FALSE)</f>
        <v>1184511907</v>
      </c>
      <c r="H17" s="10">
        <f>VLOOKUP($A17, [3]Data!$A$2:$D$53, 4, FALSE)</f>
        <v>1348953</v>
      </c>
      <c r="I17" s="10">
        <f>VLOOKUP($B17, '[1]CCDF - Totals'!$A$3:$C$54, 2, FALSE)</f>
        <v>450497.5</v>
      </c>
      <c r="J17" s="10">
        <f>VLOOKUP($B17, '[1]CCDF - Totals'!$A$3:$C$54, 3, FALSE)</f>
        <v>57900</v>
      </c>
      <c r="K17" s="61">
        <f>VLOOKUP($A17, [2]Expenditures!$A$2:$E$53, 4, FALSE)</f>
        <v>336342929</v>
      </c>
      <c r="L17" s="66">
        <f>VLOOKUP($A17, [2]Units!$A$2:$C$53, 3, FALSE)</f>
        <v>66350</v>
      </c>
      <c r="M17" s="10">
        <f>VLOOKUP(B17, [4]Recipients!$B$2:$E$53, 2, FALSE)</f>
        <v>1107855</v>
      </c>
      <c r="N17" s="42">
        <f>VLOOKUP($B17, [4]Expenditures!$B$2:$E$53, 2, FALSE)</f>
        <v>1775028572</v>
      </c>
    </row>
    <row r="18" spans="1:14" x14ac:dyDescent="0.25">
      <c r="A18" s="13" t="s">
        <v>36</v>
      </c>
      <c r="B18" s="83" t="s">
        <v>37</v>
      </c>
      <c r="C18" s="85">
        <f>VLOOKUP($A18, [3]Data!$A$2:$D$53, 3, FALSE)</f>
        <v>6367286</v>
      </c>
      <c r="D18" s="10">
        <f>VLOOKUP($A18, [3]Data!$A$2:$D$53, 4, FALSE)</f>
        <v>690081</v>
      </c>
      <c r="E18" s="10">
        <f>VLOOKUP($B18, '[1]TANF - Totals'!$A$3:$C$54, 2, FALSE)</f>
        <v>274677.5</v>
      </c>
      <c r="F18" s="10">
        <f>VLOOKUP($B18, '[1]TANF - Totals'!$A$3:$C$54, 3, FALSE)</f>
        <v>47115.931456824997</v>
      </c>
      <c r="G18" s="42">
        <f>VLOOKUP($A18, [2]Expenditures!$A$2:$E$53, 3, FALSE)</f>
        <v>222319316</v>
      </c>
      <c r="H18" s="10">
        <f>VLOOKUP($A18, [3]Data!$A$2:$D$53, 4, FALSE)</f>
        <v>690081</v>
      </c>
      <c r="I18" s="10">
        <f>VLOOKUP($B18, '[1]CCDF - Totals'!$A$3:$C$54, 2, FALSE)</f>
        <v>157879</v>
      </c>
      <c r="J18" s="10">
        <f>VLOOKUP($B18, '[1]CCDF - Totals'!$A$3:$C$54, 3, FALSE)</f>
        <v>33300</v>
      </c>
      <c r="K18" s="61">
        <f>VLOOKUP($A18, [2]Expenditures!$A$2:$E$53, 4, FALSE)</f>
        <v>173082008</v>
      </c>
      <c r="L18" s="66">
        <f>VLOOKUP($A18, [2]Units!$A$2:$C$53, 3, FALSE)</f>
        <v>3942</v>
      </c>
      <c r="M18" s="10">
        <f>VLOOKUP(B18, [4]Recipients!$B$2:$E$53, 2, FALSE)</f>
        <v>529553</v>
      </c>
      <c r="N18" s="42">
        <f>VLOOKUP($B18, [4]Expenditures!$B$2:$E$53, 2, FALSE)</f>
        <v>902373374</v>
      </c>
    </row>
    <row r="19" spans="1:14" x14ac:dyDescent="0.25">
      <c r="A19" s="13" t="s">
        <v>38</v>
      </c>
      <c r="B19" s="83" t="s">
        <v>39</v>
      </c>
      <c r="C19" s="85">
        <f>VLOOKUP($A19, [3]Data!$A$2:$D$53, 3, FALSE)</f>
        <v>3002080</v>
      </c>
      <c r="D19" s="10">
        <f>VLOOKUP($A19, [3]Data!$A$2:$D$53, 4, FALSE)</f>
        <v>248684</v>
      </c>
      <c r="E19" s="10">
        <f>VLOOKUP($B19, '[1]TANF - Totals'!$A$3:$C$54, 2, FALSE)</f>
        <v>88455</v>
      </c>
      <c r="F19" s="10">
        <f>VLOOKUP($B19, '[1]TANF - Totals'!$A$3:$C$54, 3, FALSE)</f>
        <v>42481.974984603745</v>
      </c>
      <c r="G19" s="42">
        <f>VLOOKUP($A19, [2]Expenditures!$A$2:$E$53, 3, FALSE)</f>
        <v>190824351</v>
      </c>
      <c r="H19" s="10">
        <f>VLOOKUP($A19, [3]Data!$A$2:$D$53, 4, FALSE)</f>
        <v>248684</v>
      </c>
      <c r="I19" s="10">
        <f>VLOOKUP($B19, '[1]CCDF - Totals'!$A$3:$C$54, 2, FALSE)</f>
        <v>54937.5</v>
      </c>
      <c r="J19" s="10">
        <f>VLOOKUP($B19, '[1]CCDF - Totals'!$A$3:$C$54, 3, FALSE)</f>
        <v>15900</v>
      </c>
      <c r="K19" s="61">
        <f>VLOOKUP($A19, [2]Expenditures!$A$2:$E$53, 4, FALSE)</f>
        <v>83595913</v>
      </c>
      <c r="L19" s="66">
        <f>VLOOKUP($A19, [2]Units!$A$2:$C$53, 3, FALSE)</f>
        <v>5906</v>
      </c>
      <c r="M19" s="10">
        <f>VLOOKUP(B19, [4]Recipients!$B$2:$E$53, 2, FALSE)</f>
        <v>116831</v>
      </c>
      <c r="N19" s="42">
        <f>VLOOKUP($B19, [4]Expenditures!$B$2:$E$53, 2, FALSE)</f>
        <v>380731834</v>
      </c>
    </row>
    <row r="20" spans="1:14" x14ac:dyDescent="0.25">
      <c r="A20" s="13" t="s">
        <v>40</v>
      </c>
      <c r="B20" s="83" t="s">
        <v>41</v>
      </c>
      <c r="C20" s="85">
        <f>VLOOKUP($A20, [3]Data!$A$2:$D$53, 3, FALSE)</f>
        <v>2786644</v>
      </c>
      <c r="D20" s="10">
        <f>VLOOKUP($A20, [3]Data!$A$2:$D$53, 4, FALSE)</f>
        <v>318198</v>
      </c>
      <c r="E20" s="10">
        <f>VLOOKUP($B20, '[1]TANF - Totals'!$A$3:$C$54, 2, FALSE)</f>
        <v>103164</v>
      </c>
      <c r="F20" s="10">
        <f>VLOOKUP($B20, '[1]TANF - Totals'!$A$3:$C$54, 3, FALSE)</f>
        <v>31142.294727016666</v>
      </c>
      <c r="G20" s="42">
        <f>VLOOKUP($A20, [2]Expenditures!$A$2:$E$53, 3, FALSE)</f>
        <v>159101842</v>
      </c>
      <c r="H20" s="10">
        <f>VLOOKUP($A20, [3]Data!$A$2:$D$53, 4, FALSE)</f>
        <v>318198</v>
      </c>
      <c r="I20" s="10">
        <f>VLOOKUP($B20, '[1]CCDF - Totals'!$A$3:$C$54, 2, FALSE)</f>
        <v>96548.5</v>
      </c>
      <c r="J20" s="10">
        <f>VLOOKUP($B20, '[1]CCDF - Totals'!$A$3:$C$54, 3, FALSE)</f>
        <v>19700</v>
      </c>
      <c r="K20" s="61">
        <f>VLOOKUP($A20, [2]Expenditures!$A$2:$E$53, 4, FALSE)</f>
        <v>86143965</v>
      </c>
      <c r="L20" s="66">
        <f>VLOOKUP($A20, [2]Units!$A$2:$C$53, 3, FALSE)</f>
        <v>5435</v>
      </c>
      <c r="M20" s="10">
        <f>VLOOKUP(B20, [4]Recipients!$B$2:$E$53, 2, FALSE)</f>
        <v>71927</v>
      </c>
      <c r="N20" s="42">
        <f>VLOOKUP($B20, [4]Expenditures!$B$2:$E$53, 2, FALSE)</f>
        <v>232024640</v>
      </c>
    </row>
    <row r="21" spans="1:14" x14ac:dyDescent="0.25">
      <c r="A21" s="13" t="s">
        <v>42</v>
      </c>
      <c r="B21" s="83" t="s">
        <v>43</v>
      </c>
      <c r="C21" s="85">
        <f>VLOOKUP($A21, [3]Data!$A$2:$D$53, 3, FALSE)</f>
        <v>4286246</v>
      </c>
      <c r="D21" s="10">
        <f>VLOOKUP($A21, [3]Data!$A$2:$D$53, 4, FALSE)</f>
        <v>474229</v>
      </c>
      <c r="E21" s="10">
        <f>VLOOKUP($B21, '[1]TANF - Totals'!$A$3:$C$54, 2, FALSE)</f>
        <v>198749</v>
      </c>
      <c r="F21" s="10">
        <f>VLOOKUP($B21, '[1]TANF - Totals'!$A$3:$C$54, 3, FALSE)</f>
        <v>62093.431587499996</v>
      </c>
      <c r="G21" s="42">
        <f>VLOOKUP($A21, [2]Expenditures!$A$2:$E$53, 3, FALSE)</f>
        <v>259632263</v>
      </c>
      <c r="H21" s="10">
        <f>VLOOKUP($A21, [3]Data!$A$2:$D$53, 4, FALSE)</f>
        <v>474229</v>
      </c>
      <c r="I21" s="10">
        <f>VLOOKUP($B21, '[1]CCDF - Totals'!$A$3:$C$54, 2, FALSE)</f>
        <v>121103</v>
      </c>
      <c r="J21" s="10">
        <f>VLOOKUP($B21, '[1]CCDF - Totals'!$A$3:$C$54, 3, FALSE)</f>
        <v>27650</v>
      </c>
      <c r="K21" s="61">
        <f>VLOOKUP($A21, [2]Expenditures!$A$2:$E$53, 4, FALSE)</f>
        <v>144573075</v>
      </c>
      <c r="L21" s="66">
        <f>VLOOKUP($A21, [2]Units!$A$2:$C$53, 3, FALSE)</f>
        <v>3668</v>
      </c>
      <c r="M21" s="10">
        <f>VLOOKUP(B21, [4]Recipients!$B$2:$E$53, 2, FALSE)</f>
        <v>195821</v>
      </c>
      <c r="N21" s="42">
        <f>VLOOKUP($B21, [4]Expenditures!$B$2:$E$53, 2, FALSE)</f>
        <v>144640992</v>
      </c>
    </row>
    <row r="22" spans="1:14" x14ac:dyDescent="0.25">
      <c r="A22" s="13" t="s">
        <v>44</v>
      </c>
      <c r="B22" s="83" t="s">
        <v>45</v>
      </c>
      <c r="C22" s="85">
        <f>VLOOKUP($A22, [3]Data!$A$2:$D$53, 3, FALSE)</f>
        <v>4455553</v>
      </c>
      <c r="D22" s="10">
        <f>VLOOKUP($A22, [3]Data!$A$2:$D$53, 4, FALSE)</f>
        <v>563393</v>
      </c>
      <c r="E22" s="10">
        <f>VLOOKUP($B22, '[1]TANF - Totals'!$A$3:$C$54, 2, FALSE)</f>
        <v>212775</v>
      </c>
      <c r="F22" s="10">
        <f>VLOOKUP($B22, '[1]TANF - Totals'!$A$3:$C$54, 3, FALSE)</f>
        <v>21816.176659766665</v>
      </c>
      <c r="G22" s="42">
        <f>VLOOKUP($A22, [2]Expenditures!$A$2:$E$53, 3, FALSE)</f>
        <v>244652270</v>
      </c>
      <c r="H22" s="10">
        <f>VLOOKUP($A22, [3]Data!$A$2:$D$53, 4, FALSE)</f>
        <v>563393</v>
      </c>
      <c r="I22" s="10">
        <f>VLOOKUP($B22, '[1]CCDF - Totals'!$A$3:$C$54, 2, FALSE)</f>
        <v>145551.5</v>
      </c>
      <c r="J22" s="10">
        <f>VLOOKUP($B22, '[1]CCDF - Totals'!$A$3:$C$54, 3, FALSE)</f>
        <v>32350</v>
      </c>
      <c r="K22" s="61">
        <f>VLOOKUP($A22, [2]Expenditures!$A$2:$E$53, 4, FALSE)</f>
        <v>103949677</v>
      </c>
      <c r="L22" s="66">
        <f>VLOOKUP($A22, [2]Units!$A$2:$C$53, 3, FALSE)</f>
        <v>3382</v>
      </c>
      <c r="M22" s="10">
        <f>VLOOKUP(B22, [4]Recipients!$B$2:$E$53, 2, FALSE)</f>
        <v>71132</v>
      </c>
      <c r="N22" s="42">
        <f>VLOOKUP($B22, [4]Expenditures!$B$2:$E$53, 2, FALSE)</f>
        <v>237107145</v>
      </c>
    </row>
    <row r="23" spans="1:14" x14ac:dyDescent="0.25">
      <c r="A23" s="13" t="s">
        <v>46</v>
      </c>
      <c r="B23" s="83" t="s">
        <v>47</v>
      </c>
      <c r="C23" s="85">
        <f>VLOOKUP($A23, [3]Data!$A$2:$D$53, 3, FALSE)</f>
        <v>1312694</v>
      </c>
      <c r="D23" s="10">
        <f>VLOOKUP($A23, [3]Data!$A$2:$D$53, 4, FALSE)</f>
        <v>99802</v>
      </c>
      <c r="E23" s="10">
        <f>VLOOKUP($B23, '[1]TANF - Totals'!$A$3:$C$54, 2, FALSE)</f>
        <v>48656</v>
      </c>
      <c r="F23" s="10">
        <f>VLOOKUP($B23, '[1]TANF - Totals'!$A$3:$C$54, 3, FALSE)</f>
        <v>44535.27157120833</v>
      </c>
      <c r="G23" s="42">
        <f>VLOOKUP($A23, [2]Expenditures!$A$2:$E$53, 3, FALSE)</f>
        <v>114998911</v>
      </c>
      <c r="H23" s="10">
        <f>VLOOKUP($A23, [3]Data!$A$2:$D$53, 4, FALSE)</f>
        <v>99802</v>
      </c>
      <c r="I23" s="10">
        <f>VLOOKUP($B23, '[1]CCDF - Totals'!$A$3:$C$54, 2, FALSE)</f>
        <v>41549.5</v>
      </c>
      <c r="J23" s="10">
        <f>VLOOKUP($B23, '[1]CCDF - Totals'!$A$3:$C$54, 3, FALSE)</f>
        <v>2650</v>
      </c>
      <c r="K23" s="61">
        <f>VLOOKUP($A23, [2]Expenditures!$A$2:$E$53, 4, FALSE)</f>
        <v>20638418</v>
      </c>
      <c r="L23" s="66">
        <f>VLOOKUP($A23, [2]Units!$A$2:$C$53, 3, FALSE)</f>
        <v>1041</v>
      </c>
      <c r="M23" s="10">
        <f>VLOOKUP(B23, [4]Recipients!$B$2:$E$53, 2, FALSE)</f>
        <v>98325</v>
      </c>
      <c r="N23" s="42">
        <f>VLOOKUP($B23, [4]Expenditures!$B$2:$E$53, 2, FALSE)</f>
        <v>36426343</v>
      </c>
    </row>
    <row r="24" spans="1:14" x14ac:dyDescent="0.25">
      <c r="A24" s="13" t="s">
        <v>48</v>
      </c>
      <c r="B24" s="83" t="s">
        <v>49</v>
      </c>
      <c r="C24" s="85">
        <f>VLOOKUP($A24, [3]Data!$A$2:$D$53, 3, FALSE)</f>
        <v>5796348</v>
      </c>
      <c r="D24" s="10">
        <f>VLOOKUP($A24, [3]Data!$A$2:$D$53, 4, FALSE)</f>
        <v>403984</v>
      </c>
      <c r="E24" s="10">
        <f>VLOOKUP($B24, '[1]TANF - Totals'!$A$3:$C$54, 2, FALSE)</f>
        <v>201562</v>
      </c>
      <c r="F24" s="10">
        <f>VLOOKUP($B24, '[1]TANF - Totals'!$A$3:$C$54, 3, FALSE)</f>
        <v>58903.497142566666</v>
      </c>
      <c r="G24" s="42">
        <f>VLOOKUP($A24, [2]Expenditures!$A$2:$E$53, 3, FALSE)</f>
        <v>546728083</v>
      </c>
      <c r="H24" s="10">
        <f>VLOOKUP($A24, [3]Data!$A$2:$D$53, 4, FALSE)</f>
        <v>403984</v>
      </c>
      <c r="I24" s="10">
        <f>VLOOKUP($B24, '[1]CCDF - Totals'!$A$3:$C$54, 2, FALSE)</f>
        <v>108108</v>
      </c>
      <c r="J24" s="10">
        <f>VLOOKUP($B24, '[1]CCDF - Totals'!$A$3:$C$54, 3, FALSE)</f>
        <v>21650</v>
      </c>
      <c r="K24" s="61">
        <f>VLOOKUP($A24, [2]Expenditures!$A$2:$E$53, 4, FALSE)</f>
        <v>131472461</v>
      </c>
      <c r="L24" s="66">
        <f>VLOOKUP($A24, [2]Units!$A$2:$C$53, 3, FALSE)</f>
        <v>6965</v>
      </c>
      <c r="M24" s="10">
        <f>VLOOKUP(B24, [4]Recipients!$B$2:$E$53, 2, FALSE)</f>
        <v>102134</v>
      </c>
      <c r="N24" s="42">
        <f>VLOOKUP($B24, [4]Expenditures!$B$2:$E$53, 2, FALSE)</f>
        <v>248514725</v>
      </c>
    </row>
    <row r="25" spans="1:14" x14ac:dyDescent="0.25">
      <c r="A25" s="13" t="s">
        <v>50</v>
      </c>
      <c r="B25" s="83" t="s">
        <v>51</v>
      </c>
      <c r="C25" s="85">
        <f>VLOOKUP($A25, [3]Data!$A$2:$D$53, 3, FALSE)</f>
        <v>6522847</v>
      </c>
      <c r="D25" s="10">
        <f>VLOOKUP($A25, [3]Data!$A$2:$D$53, 4, FALSE)</f>
        <v>418498</v>
      </c>
      <c r="E25" s="10">
        <f>VLOOKUP($B25, '[1]TANF - Totals'!$A$3:$C$54, 2, FALSE)</f>
        <v>238012</v>
      </c>
      <c r="F25" s="10">
        <f>VLOOKUP($B25, '[1]TANF - Totals'!$A$3:$C$54, 3, FALSE)</f>
        <v>97775.356680712488</v>
      </c>
      <c r="G25" s="42">
        <f>VLOOKUP($A25, [2]Expenditures!$A$2:$E$53, 3, FALSE)</f>
        <v>1029478218</v>
      </c>
      <c r="H25" s="10">
        <f>VLOOKUP($A25, [3]Data!$A$2:$D$53, 4, FALSE)</f>
        <v>418498</v>
      </c>
      <c r="I25" s="10">
        <f>VLOOKUP($B25, '[1]CCDF - Totals'!$A$3:$C$54, 2, FALSE)</f>
        <v>133369</v>
      </c>
      <c r="J25" s="10">
        <f>VLOOKUP($B25, '[1]CCDF - Totals'!$A$3:$C$54, 3, FALSE)</f>
        <v>28250</v>
      </c>
      <c r="K25" s="61">
        <f>VLOOKUP($A25, [2]Expenditures!$A$2:$E$53, 4, FALSE)</f>
        <v>272668307</v>
      </c>
      <c r="L25" s="66">
        <f>VLOOKUP($A25, [2]Units!$A$2:$C$53, 3, FALSE)</f>
        <v>14517</v>
      </c>
      <c r="M25" s="10">
        <f>VLOOKUP(B25, [4]Recipients!$B$2:$E$53, 2, FALSE)</f>
        <v>133254</v>
      </c>
      <c r="N25" s="42">
        <f>VLOOKUP($B25, [4]Expenditures!$B$2:$E$53, 2, FALSE)</f>
        <v>379057669</v>
      </c>
    </row>
    <row r="26" spans="1:14" x14ac:dyDescent="0.25">
      <c r="A26" s="13" t="s">
        <v>52</v>
      </c>
      <c r="B26" s="83" t="s">
        <v>53</v>
      </c>
      <c r="C26" s="85">
        <f>VLOOKUP($A26, [3]Data!$A$2:$D$53, 3, FALSE)</f>
        <v>9719749</v>
      </c>
      <c r="D26" s="10">
        <f>VLOOKUP($A26, [3]Data!$A$2:$D$53, 4, FALSE)</f>
        <v>929462</v>
      </c>
      <c r="E26" s="10">
        <f>VLOOKUP($B26, '[1]TANF - Totals'!$A$3:$C$54, 2, FALSE)</f>
        <v>489251.5</v>
      </c>
      <c r="F26" s="10">
        <f>VLOOKUP($B26, '[1]TANF - Totals'!$A$3:$C$54, 3, FALSE)</f>
        <v>127883.11637454333</v>
      </c>
      <c r="G26" s="42">
        <f>VLOOKUP($A26, [2]Expenditures!$A$2:$E$53, 3, FALSE)</f>
        <v>1506417836</v>
      </c>
      <c r="H26" s="10">
        <f>VLOOKUP($A26, [3]Data!$A$2:$D$53, 4, FALSE)</f>
        <v>929462</v>
      </c>
      <c r="I26" s="10">
        <f>VLOOKUP($B26, '[1]CCDF - Totals'!$A$3:$C$54, 2, FALSE)</f>
        <v>170642</v>
      </c>
      <c r="J26" s="10">
        <f>VLOOKUP($B26, '[1]CCDF - Totals'!$A$3:$C$54, 3, FALSE)</f>
        <v>53550</v>
      </c>
      <c r="K26" s="61">
        <f>VLOOKUP($A26, [2]Expenditures!$A$2:$E$53, 4, FALSE)</f>
        <v>205911629</v>
      </c>
      <c r="L26" s="66">
        <f>VLOOKUP($A26, [2]Units!$A$2:$C$53, 3, FALSE)</f>
        <v>23539</v>
      </c>
      <c r="M26" s="10">
        <f>VLOOKUP(B26, [4]Recipients!$B$2:$E$53, 2, FALSE)</f>
        <v>328441</v>
      </c>
      <c r="N26" s="42">
        <f>VLOOKUP($B26, [4]Expenditures!$B$2:$E$53, 2, FALSE)</f>
        <v>157696195</v>
      </c>
    </row>
    <row r="27" spans="1:14" x14ac:dyDescent="0.25">
      <c r="A27" s="13" t="s">
        <v>54</v>
      </c>
      <c r="B27" s="83" t="s">
        <v>55</v>
      </c>
      <c r="C27" s="85">
        <f>VLOOKUP($A27, [3]Data!$A$2:$D$53, 3, FALSE)</f>
        <v>5246631</v>
      </c>
      <c r="D27" s="10">
        <f>VLOOKUP($A27, [3]Data!$A$2:$D$53, 4, FALSE)</f>
        <v>384662</v>
      </c>
      <c r="E27" s="10">
        <f>VLOOKUP($B27, '[1]TANF - Totals'!$A$3:$C$54, 2, FALSE)</f>
        <v>134698.5</v>
      </c>
      <c r="F27" s="10">
        <f>VLOOKUP($B27, '[1]TANF - Totals'!$A$3:$C$54, 3, FALSE)</f>
        <v>48065.131127400004</v>
      </c>
      <c r="G27" s="42">
        <f>VLOOKUP($A27, [2]Expenditures!$A$2:$E$53, 3, FALSE)</f>
        <v>438366696</v>
      </c>
      <c r="H27" s="10">
        <f>VLOOKUP($A27, [3]Data!$A$2:$D$53, 4, FALSE)</f>
        <v>384662</v>
      </c>
      <c r="I27" s="10">
        <f>VLOOKUP($B27, '[1]CCDF - Totals'!$A$3:$C$54, 2, FALSE)</f>
        <v>114158.5</v>
      </c>
      <c r="J27" s="10">
        <f>VLOOKUP($B27, '[1]CCDF - Totals'!$A$3:$C$54, 3, FALSE)</f>
        <v>28450</v>
      </c>
      <c r="K27" s="61">
        <f>VLOOKUP($A27, [2]Expenditures!$A$2:$E$53, 4, FALSE)</f>
        <v>195003687</v>
      </c>
      <c r="L27" s="66">
        <f>VLOOKUP($A27, [2]Units!$A$2:$C$53, 3, FALSE)</f>
        <v>9497</v>
      </c>
      <c r="M27" s="10">
        <f>VLOOKUP(B27, [4]Recipients!$B$2:$E$53, 2, FALSE)</f>
        <v>186778</v>
      </c>
      <c r="N27" s="42">
        <f>VLOOKUP($B27, [4]Expenditures!$B$2:$E$53, 2, FALSE)</f>
        <v>367674206</v>
      </c>
    </row>
    <row r="28" spans="1:14" x14ac:dyDescent="0.25">
      <c r="A28" s="13" t="s">
        <v>56</v>
      </c>
      <c r="B28" s="83" t="s">
        <v>57</v>
      </c>
      <c r="C28" s="85">
        <f>VLOOKUP($A28, [3]Data!$A$2:$D$53, 3, FALSE)</f>
        <v>2926062</v>
      </c>
      <c r="D28" s="10">
        <f>VLOOKUP($A28, [3]Data!$A$2:$D$53, 4, FALSE)</f>
        <v>392947</v>
      </c>
      <c r="E28" s="10">
        <f>VLOOKUP($B28, '[1]TANF - Totals'!$A$3:$C$54, 2, FALSE)</f>
        <v>157882.5</v>
      </c>
      <c r="F28" s="10">
        <f>VLOOKUP($B28, '[1]TANF - Totals'!$A$3:$C$54, 3, FALSE)</f>
        <v>24251.958333333332</v>
      </c>
      <c r="G28" s="42">
        <f>VLOOKUP($A28, [2]Expenditures!$A$2:$E$53, 3, FALSE)</f>
        <v>80534667</v>
      </c>
      <c r="H28" s="10">
        <f>VLOOKUP($A28, [3]Data!$A$2:$D$53, 4, FALSE)</f>
        <v>392947</v>
      </c>
      <c r="I28" s="10">
        <f>VLOOKUP($B28, '[1]CCDF - Totals'!$A$3:$C$54, 2, FALSE)</f>
        <v>107528.5</v>
      </c>
      <c r="J28" s="10">
        <f>VLOOKUP($B28, '[1]CCDF - Totals'!$A$3:$C$54, 3, FALSE)</f>
        <v>21650</v>
      </c>
      <c r="K28" s="61">
        <f>VLOOKUP($A28, [2]Expenditures!$A$2:$E$53, 4, FALSE)</f>
        <v>80754242</v>
      </c>
      <c r="L28" s="66">
        <f>VLOOKUP($A28, [2]Units!$A$2:$C$53, 3, FALSE)</f>
        <v>3083</v>
      </c>
      <c r="M28" s="10">
        <f>VLOOKUP(B28, [4]Recipients!$B$2:$E$53, 2, FALSE)</f>
        <v>94757</v>
      </c>
      <c r="N28" s="42">
        <f>VLOOKUP($B28, [4]Expenditures!$B$2:$E$53, 2, FALSE)</f>
        <v>26706424</v>
      </c>
    </row>
    <row r="29" spans="1:14" x14ac:dyDescent="0.25">
      <c r="A29" s="13" t="s">
        <v>58</v>
      </c>
      <c r="B29" s="83" t="s">
        <v>59</v>
      </c>
      <c r="C29" s="85">
        <f>VLOOKUP($A29, [3]Data!$A$2:$D$53, 3, FALSE)</f>
        <v>5910653</v>
      </c>
      <c r="D29" s="10">
        <f>VLOOKUP($A29, [3]Data!$A$2:$D$53, 4, FALSE)</f>
        <v>569570</v>
      </c>
      <c r="E29" s="10">
        <f>VLOOKUP($B29, '[1]TANF - Totals'!$A$3:$C$54, 2, FALSE)</f>
        <v>265363.5</v>
      </c>
      <c r="F29" s="10">
        <f>VLOOKUP($B29, '[1]TANF - Totals'!$A$3:$C$54, 3, FALSE)</f>
        <v>92010.578553687505</v>
      </c>
      <c r="G29" s="42">
        <f>VLOOKUP($A29, [2]Expenditures!$A$2:$E$53, 3, FALSE)</f>
        <v>368340641</v>
      </c>
      <c r="H29" s="10">
        <f>VLOOKUP($A29, [3]Data!$A$2:$D$53, 4, FALSE)</f>
        <v>569570</v>
      </c>
      <c r="I29" s="10">
        <f>VLOOKUP($B29, '[1]CCDF - Totals'!$A$3:$C$54, 2, FALSE)</f>
        <v>121261</v>
      </c>
      <c r="J29" s="10">
        <f>VLOOKUP($B29, '[1]CCDF - Totals'!$A$3:$C$54, 3, FALSE)</f>
        <v>44600</v>
      </c>
      <c r="K29" s="61">
        <f>VLOOKUP($A29, [2]Expenditures!$A$2:$E$53, 4, FALSE)</f>
        <v>160072544</v>
      </c>
      <c r="L29" s="66">
        <f>VLOOKUP($A29, [2]Units!$A$2:$C$53, 3, FALSE)</f>
        <v>8044</v>
      </c>
      <c r="M29" s="10">
        <f>VLOOKUP(B29, [4]Recipients!$B$2:$E$53, 2, FALSE)</f>
        <v>133006</v>
      </c>
      <c r="N29" s="42">
        <f>VLOOKUP($B29, [4]Expenditures!$B$2:$E$53, 2, FALSE)</f>
        <v>629428975</v>
      </c>
    </row>
    <row r="30" spans="1:14" x14ac:dyDescent="0.25">
      <c r="A30" s="13" t="s">
        <v>60</v>
      </c>
      <c r="B30" s="83" t="s">
        <v>61</v>
      </c>
      <c r="C30" s="85">
        <f>VLOOKUP($A30, [3]Data!$A$2:$D$53, 3, FALSE)</f>
        <v>982430</v>
      </c>
      <c r="D30" s="10">
        <f>VLOOKUP($A30, [3]Data!$A$2:$D$53, 4, FALSE)</f>
        <v>101087</v>
      </c>
      <c r="E30" s="10">
        <f>VLOOKUP($B30, '[1]TANF - Totals'!$A$3:$C$54, 2, FALSE)</f>
        <v>51653.5</v>
      </c>
      <c r="F30" s="10">
        <f>VLOOKUP($B30, '[1]TANF - Totals'!$A$3:$C$54, 3, FALSE)</f>
        <v>8129.1909633949999</v>
      </c>
      <c r="G30" s="42">
        <f>VLOOKUP($A30, [2]Expenditures!$A$2:$E$53, 3, FALSE)</f>
        <v>45127402</v>
      </c>
      <c r="H30" s="10">
        <f>VLOOKUP($A30, [3]Data!$A$2:$D$53, 4, FALSE)</f>
        <v>101087</v>
      </c>
      <c r="I30" s="10">
        <f>VLOOKUP($B30, '[1]CCDF - Totals'!$A$3:$C$54, 2, FALSE)</f>
        <v>17034.5</v>
      </c>
      <c r="J30" s="10">
        <f>VLOOKUP($B30, '[1]CCDF - Totals'!$A$3:$C$54, 3, FALSE)</f>
        <v>4300</v>
      </c>
      <c r="K30" s="61">
        <f>VLOOKUP($A30, [2]Expenditures!$A$2:$E$53, 4, FALSE)</f>
        <v>28060669</v>
      </c>
      <c r="L30" s="66">
        <f>VLOOKUP($A30, [2]Units!$A$2:$C$53, 3, FALSE)</f>
        <v>1640</v>
      </c>
      <c r="M30" s="10">
        <f>VLOOKUP(B30, [4]Recipients!$B$2:$E$53, 2, FALSE)</f>
        <v>13405</v>
      </c>
      <c r="N30" s="42">
        <f>VLOOKUP($B30, [4]Expenditures!$B$2:$E$53, 2, FALSE)</f>
        <v>155497266</v>
      </c>
    </row>
    <row r="31" spans="1:14" x14ac:dyDescent="0.25">
      <c r="A31" s="13" t="s">
        <v>62</v>
      </c>
      <c r="B31" s="83" t="s">
        <v>63</v>
      </c>
      <c r="C31" s="85">
        <f>VLOOKUP($A31, [3]Data!$A$2:$D$53, 3, FALSE)</f>
        <v>1813472</v>
      </c>
      <c r="D31" s="10">
        <f>VLOOKUP($A31, [3]Data!$A$2:$D$53, 4, FALSE)</f>
        <v>151582</v>
      </c>
      <c r="E31" s="10">
        <f>VLOOKUP($B31, '[1]TANF - Totals'!$A$3:$C$54, 2, FALSE)</f>
        <v>81260.5</v>
      </c>
      <c r="F31" s="10">
        <f>VLOOKUP($B31, '[1]TANF - Totals'!$A$3:$C$54, 3, FALSE)</f>
        <v>18101.313425053864</v>
      </c>
      <c r="G31" s="42">
        <f>VLOOKUP($A31, [2]Expenditures!$A$2:$E$53, 3, FALSE)</f>
        <v>93396650</v>
      </c>
      <c r="H31" s="10">
        <f>VLOOKUP($A31, [3]Data!$A$2:$D$53, 4, FALSE)</f>
        <v>151582</v>
      </c>
      <c r="I31" s="10">
        <f>VLOOKUP($B31, '[1]CCDF - Totals'!$A$3:$C$54, 2, FALSE)</f>
        <v>36488</v>
      </c>
      <c r="J31" s="10">
        <f>VLOOKUP($B31, '[1]CCDF - Totals'!$A$3:$C$54, 3, FALSE)</f>
        <v>11600</v>
      </c>
      <c r="K31" s="61">
        <f>VLOOKUP($A31, [2]Expenditures!$A$2:$E$53, 4, FALSE)</f>
        <v>104634536</v>
      </c>
      <c r="L31" s="66">
        <f>VLOOKUP($A31, [2]Units!$A$2:$C$53, 3, FALSE)</f>
        <v>3330</v>
      </c>
      <c r="M31" s="10">
        <f>VLOOKUP(B31, [4]Recipients!$B$2:$E$53, 2, FALSE)</f>
        <v>47861</v>
      </c>
      <c r="N31" s="42">
        <f>VLOOKUP($B31, [4]Expenditures!$B$2:$E$53, 2, FALSE)</f>
        <v>26928146</v>
      </c>
    </row>
    <row r="32" spans="1:14" x14ac:dyDescent="0.25">
      <c r="A32" s="13" t="s">
        <v>64</v>
      </c>
      <c r="B32" s="83" t="s">
        <v>65</v>
      </c>
      <c r="C32" s="85">
        <f>VLOOKUP($A32, [3]Data!$A$2:$D$53, 3, FALSE)</f>
        <v>2688753</v>
      </c>
      <c r="D32" s="10">
        <f>VLOOKUP($A32, [3]Data!$A$2:$D$53, 4, FALSE)</f>
        <v>311400</v>
      </c>
      <c r="E32" s="10">
        <f>VLOOKUP($B32, '[1]TANF - Totals'!$A$3:$C$54, 2, FALSE)</f>
        <v>167542</v>
      </c>
      <c r="F32" s="10">
        <f>VLOOKUP($B32, '[1]TANF - Totals'!$A$3:$C$54, 3, FALSE)</f>
        <v>27226.128836270833</v>
      </c>
      <c r="G32" s="42">
        <f>VLOOKUP($A32, [2]Expenditures!$A$2:$E$53, 3, FALSE)</f>
        <v>98196278</v>
      </c>
      <c r="H32" s="10">
        <f>VLOOKUP($A32, [3]Data!$A$2:$D$53, 4, FALSE)</f>
        <v>311400</v>
      </c>
      <c r="I32" s="10">
        <f>VLOOKUP($B32, '[1]CCDF - Totals'!$A$3:$C$54, 2, FALSE)</f>
        <v>119017</v>
      </c>
      <c r="J32" s="10">
        <f>VLOOKUP($B32, '[1]CCDF - Totals'!$A$3:$C$54, 3, FALSE)</f>
        <v>6050</v>
      </c>
      <c r="K32" s="61">
        <f>VLOOKUP($A32, [2]Expenditures!$A$2:$E$53, 4, FALSE)</f>
        <v>49988025</v>
      </c>
      <c r="L32" s="66">
        <f>VLOOKUP($A32, [2]Units!$A$2:$C$53, 3, FALSE)</f>
        <v>1845</v>
      </c>
      <c r="M32" s="10">
        <f>VLOOKUP(B32, [4]Recipients!$B$2:$E$53, 2, FALSE)</f>
        <v>129228</v>
      </c>
      <c r="N32" s="42">
        <f>VLOOKUP($B32, [4]Expenditures!$B$2:$E$53, 2, FALSE)</f>
        <v>165613156</v>
      </c>
    </row>
    <row r="33" spans="1:14" x14ac:dyDescent="0.25">
      <c r="A33" s="13" t="s">
        <v>66</v>
      </c>
      <c r="B33" s="83" t="s">
        <v>67</v>
      </c>
      <c r="C33" s="85">
        <f>VLOOKUP($A33, [3]Data!$A$2:$D$53, 3, FALSE)</f>
        <v>1297178</v>
      </c>
      <c r="D33" s="10">
        <f>VLOOKUP($A33, [3]Data!$A$2:$D$53, 4, FALSE)</f>
        <v>52976</v>
      </c>
      <c r="E33" s="10">
        <f>VLOOKUP($B33, '[1]TANF - Totals'!$A$3:$C$54, 2, FALSE)</f>
        <v>22174.5</v>
      </c>
      <c r="F33" s="10">
        <f>VLOOKUP($B33, '[1]TANF - Totals'!$A$3:$C$54, 3, FALSE)</f>
        <v>14927.625741666665</v>
      </c>
      <c r="G33" s="42">
        <f>VLOOKUP($A33, [2]Expenditures!$A$2:$E$53, 3, FALSE)</f>
        <v>73934762</v>
      </c>
      <c r="H33" s="10">
        <f>VLOOKUP($A33, [3]Data!$A$2:$D$53, 4, FALSE)</f>
        <v>52976</v>
      </c>
      <c r="I33" s="10">
        <f>VLOOKUP($B33, '[1]CCDF - Totals'!$A$3:$C$54, 2, FALSE)</f>
        <v>28039.5</v>
      </c>
      <c r="J33" s="10">
        <f>VLOOKUP($B33, '[1]CCDF - Totals'!$A$3:$C$54, 3, FALSE)</f>
        <v>4900</v>
      </c>
      <c r="K33" s="61">
        <f>VLOOKUP($A33, [2]Expenditures!$A$2:$E$53, 4, FALSE)</f>
        <v>27821106</v>
      </c>
      <c r="L33" s="66">
        <f>VLOOKUP($A33, [2]Units!$A$2:$C$53, 3, FALSE)</f>
        <v>1177</v>
      </c>
      <c r="M33" s="10">
        <f>VLOOKUP(B33, [4]Recipients!$B$2:$E$53, 2, FALSE)</f>
        <v>260846</v>
      </c>
      <c r="N33" s="42">
        <f>VLOOKUP($B33, [4]Expenditures!$B$2:$E$53, 2, FALSE)</f>
        <v>88041743</v>
      </c>
    </row>
    <row r="34" spans="1:14" x14ac:dyDescent="0.25">
      <c r="A34" s="13" t="s">
        <v>68</v>
      </c>
      <c r="B34" s="83" t="s">
        <v>69</v>
      </c>
      <c r="C34" s="85">
        <f>VLOOKUP($A34, [3]Data!$A$2:$D$53, 3, FALSE)</f>
        <v>8687645</v>
      </c>
      <c r="D34" s="10">
        <f>VLOOKUP($A34, [3]Data!$A$2:$D$53, 4, FALSE)</f>
        <v>625653</v>
      </c>
      <c r="E34" s="10">
        <f>VLOOKUP($B34, '[1]TANF - Totals'!$A$3:$C$54, 2, FALSE)</f>
        <v>260875</v>
      </c>
      <c r="F34" s="10">
        <f>VLOOKUP($B34, '[1]TANF - Totals'!$A$3:$C$54, 3, FALSE)</f>
        <v>83072.600275000004</v>
      </c>
      <c r="G34" s="42">
        <f>VLOOKUP($A34, [2]Expenditures!$A$2:$E$53, 3, FALSE)</f>
        <v>1036994382</v>
      </c>
      <c r="H34" s="10">
        <f>VLOOKUP($A34, [3]Data!$A$2:$D$53, 4, FALSE)</f>
        <v>625653</v>
      </c>
      <c r="I34" s="10">
        <f>VLOOKUP($B34, '[1]CCDF - Totals'!$A$3:$C$54, 2, FALSE)</f>
        <v>192153</v>
      </c>
      <c r="J34" s="10">
        <f>VLOOKUP($B34, '[1]CCDF - Totals'!$A$3:$C$54, 3, FALSE)</f>
        <v>33850</v>
      </c>
      <c r="K34" s="61">
        <f>VLOOKUP($A34, [2]Expenditures!$A$2:$E$53, 4, FALSE)</f>
        <v>251733104</v>
      </c>
      <c r="L34" s="66">
        <f>VLOOKUP($A34, [2]Units!$A$2:$C$53, 3, FALSE)</f>
        <v>6180</v>
      </c>
      <c r="M34" s="10">
        <f>VLOOKUP(B34, [4]Recipients!$B$2:$E$53, 2, FALSE)</f>
        <v>1621661</v>
      </c>
      <c r="N34" s="42">
        <f>VLOOKUP($B34, [4]Expenditures!$B$2:$E$53, 2, FALSE)</f>
        <v>611187444</v>
      </c>
    </row>
    <row r="35" spans="1:14" x14ac:dyDescent="0.25">
      <c r="A35" s="13" t="s">
        <v>70</v>
      </c>
      <c r="B35" s="83" t="s">
        <v>71</v>
      </c>
      <c r="C35" s="85">
        <f>VLOOKUP($A35, [3]Data!$A$2:$D$53, 3, FALSE)</f>
        <v>2035177</v>
      </c>
      <c r="D35" s="10">
        <f>VLOOKUP($A35, [3]Data!$A$2:$D$53, 4, FALSE)</f>
        <v>265955</v>
      </c>
      <c r="E35" s="10">
        <f>VLOOKUP($B35, '[1]TANF - Totals'!$A$3:$C$54, 2, FALSE)</f>
        <v>137289</v>
      </c>
      <c r="F35" s="10">
        <f>VLOOKUP($B35, '[1]TANF - Totals'!$A$3:$C$54, 3, FALSE)</f>
        <v>46711.228915665</v>
      </c>
      <c r="G35" s="42">
        <f>VLOOKUP($A35, [2]Expenditures!$A$2:$E$53, 3, FALSE)</f>
        <v>182229930</v>
      </c>
      <c r="H35" s="10">
        <f>VLOOKUP($A35, [3]Data!$A$2:$D$53, 4, FALSE)</f>
        <v>265955</v>
      </c>
      <c r="I35" s="10">
        <f>VLOOKUP($B35, '[1]CCDF - Totals'!$A$3:$C$54, 2, FALSE)</f>
        <v>96017</v>
      </c>
      <c r="J35" s="10">
        <f>VLOOKUP($B35, '[1]CCDF - Totals'!$A$3:$C$54, 3, FALSE)</f>
        <v>20150</v>
      </c>
      <c r="K35" s="61">
        <f>VLOOKUP($A35, [2]Expenditures!$A$2:$E$53, 4, FALSE)</f>
        <v>72364694</v>
      </c>
      <c r="L35" s="66">
        <f>VLOOKUP($A35, [2]Units!$A$2:$C$53, 3, FALSE)</f>
        <v>3095</v>
      </c>
      <c r="M35" s="10">
        <f>VLOOKUP(B35, [4]Recipients!$B$2:$E$53, 2, FALSE)</f>
        <v>25965</v>
      </c>
      <c r="N35" s="42">
        <f>VLOOKUP($B35, [4]Expenditures!$B$2:$E$53, 2, FALSE)</f>
        <v>14882624</v>
      </c>
    </row>
    <row r="36" spans="1:14" x14ac:dyDescent="0.25">
      <c r="A36" s="13" t="s">
        <v>72</v>
      </c>
      <c r="B36" s="83" t="s">
        <v>73</v>
      </c>
      <c r="C36" s="85">
        <f>VLOOKUP($A36, [3]Data!$A$2:$D$53, 3, FALSE)</f>
        <v>19222730</v>
      </c>
      <c r="D36" s="10">
        <f>VLOOKUP($A36, [3]Data!$A$2:$D$53, 4, FALSE)</f>
        <v>1793596</v>
      </c>
      <c r="E36" s="10">
        <f>VLOOKUP($B36, '[1]TANF - Totals'!$A$3:$C$54, 2, FALSE)</f>
        <v>1018380</v>
      </c>
      <c r="F36" s="10">
        <f>VLOOKUP($B36, '[1]TANF - Totals'!$A$3:$C$54, 3, FALSE)</f>
        <v>389161.70534358744</v>
      </c>
      <c r="G36" s="42">
        <f>VLOOKUP($A36, [2]Expenditures!$A$2:$E$53, 3, FALSE)</f>
        <v>4841951246</v>
      </c>
      <c r="H36" s="10">
        <f>VLOOKUP($A36, [3]Data!$A$2:$D$53, 4, FALSE)</f>
        <v>1793596</v>
      </c>
      <c r="I36" s="10">
        <f>VLOOKUP($B36, '[1]CCDF - Totals'!$A$3:$C$54, 2, FALSE)</f>
        <v>519486.5</v>
      </c>
      <c r="J36" s="10">
        <f>VLOOKUP($B36, '[1]CCDF - Totals'!$A$3:$C$54, 3, FALSE)</f>
        <v>126750</v>
      </c>
      <c r="K36" s="61">
        <f>VLOOKUP($A36, [2]Expenditures!$A$2:$E$53, 4, FALSE)</f>
        <v>853066855</v>
      </c>
      <c r="L36" s="66">
        <f>VLOOKUP($A36, [2]Units!$A$2:$C$53, 3, FALSE)</f>
        <v>63012</v>
      </c>
      <c r="M36" s="10">
        <f>VLOOKUP(B36, [4]Recipients!$B$2:$E$53, 2, FALSE)</f>
        <v>500364</v>
      </c>
      <c r="N36" s="42">
        <f>VLOOKUP($B36, [4]Expenditures!$B$2:$E$53, 2, FALSE)</f>
        <v>1188387188</v>
      </c>
    </row>
    <row r="37" spans="1:14" x14ac:dyDescent="0.25">
      <c r="A37" s="13" t="s">
        <v>74</v>
      </c>
      <c r="B37" s="83" t="s">
        <v>75</v>
      </c>
      <c r="C37" s="85">
        <f>VLOOKUP($A37, [3]Data!$A$2:$D$53, 3, FALSE)</f>
        <v>9431181</v>
      </c>
      <c r="D37" s="10">
        <f>VLOOKUP($A37, [3]Data!$A$2:$D$53, 4, FALSE)</f>
        <v>1085931</v>
      </c>
      <c r="E37" s="10">
        <f>VLOOKUP($B37, '[1]TANF - Totals'!$A$3:$C$54, 2, FALSE)</f>
        <v>450817</v>
      </c>
      <c r="F37" s="10">
        <f>VLOOKUP($B37, '[1]TANF - Totals'!$A$3:$C$54, 3, FALSE)</f>
        <v>42296.043432863327</v>
      </c>
      <c r="G37" s="42">
        <f>VLOOKUP($A37, [2]Expenditures!$A$2:$E$53, 3, FALSE)</f>
        <v>530537770</v>
      </c>
      <c r="H37" s="10">
        <f>VLOOKUP($A37, [3]Data!$A$2:$D$53, 4, FALSE)</f>
        <v>1085931</v>
      </c>
      <c r="I37" s="10">
        <f>VLOOKUP($B37, '[1]CCDF - Totals'!$A$3:$C$54, 2, FALSE)</f>
        <v>323670.5</v>
      </c>
      <c r="J37" s="10">
        <f>VLOOKUP($B37, '[1]CCDF - Totals'!$A$3:$C$54, 3, FALSE)</f>
        <v>76050</v>
      </c>
      <c r="K37" s="61">
        <f>VLOOKUP($A37, [2]Expenditures!$A$2:$E$53, 4, FALSE)</f>
        <v>341984653</v>
      </c>
      <c r="L37" s="66">
        <f>VLOOKUP($A37, [2]Units!$A$2:$C$53, 3, FALSE)</f>
        <v>6251</v>
      </c>
      <c r="M37" s="10">
        <f>VLOOKUP(B37, [4]Recipients!$B$2:$E$53, 2, FALSE)</f>
        <v>1178497</v>
      </c>
      <c r="N37" s="42">
        <f>VLOOKUP($B37, [4]Expenditures!$B$2:$E$53, 2, FALSE)</f>
        <v>566572834</v>
      </c>
    </row>
    <row r="38" spans="1:14" x14ac:dyDescent="0.25">
      <c r="A38" s="13" t="s">
        <v>76</v>
      </c>
      <c r="B38" s="83" t="s">
        <v>77</v>
      </c>
      <c r="C38" s="85">
        <f>VLOOKUP($A38, [3]Data!$A$2:$D$53, 3, FALSE)</f>
        <v>663613</v>
      </c>
      <c r="D38" s="10">
        <f>VLOOKUP($A38, [3]Data!$A$2:$D$53, 4, FALSE)</f>
        <v>44303</v>
      </c>
      <c r="E38" s="10">
        <f>VLOOKUP($B38, '[1]TANF - Totals'!$A$3:$C$54, 2, FALSE)</f>
        <v>30723</v>
      </c>
      <c r="F38" s="10">
        <f>VLOOKUP($B38, '[1]TANF - Totals'!$A$3:$C$54, 3, FALSE)</f>
        <v>4243.6777486664396</v>
      </c>
      <c r="G38" s="42">
        <f>VLOOKUP($A38, [2]Expenditures!$A$2:$E$53, 3, FALSE)</f>
        <v>37338692</v>
      </c>
      <c r="H38" s="10">
        <f>VLOOKUP($A38, [3]Data!$A$2:$D$53, 4, FALSE)</f>
        <v>44303</v>
      </c>
      <c r="I38" s="10">
        <f>VLOOKUP($B38, '[1]CCDF - Totals'!$A$3:$C$54, 2, FALSE)</f>
        <v>15302.5</v>
      </c>
      <c r="J38" s="10">
        <f>VLOOKUP($B38, '[1]CCDF - Totals'!$A$3:$C$54, 3, FALSE)</f>
        <v>3000</v>
      </c>
      <c r="K38" s="61">
        <f>VLOOKUP($A38, [2]Expenditures!$A$2:$E$53, 4, FALSE)</f>
        <v>11103519</v>
      </c>
      <c r="L38" s="66">
        <f>VLOOKUP($A38, [2]Units!$A$2:$C$53, 3, FALSE)</f>
        <v>1587</v>
      </c>
      <c r="M38" s="10">
        <f>VLOOKUP(B38, [4]Recipients!$B$2:$E$53, 2, FALSE)</f>
        <v>5832</v>
      </c>
      <c r="N38" s="42">
        <f>VLOOKUP($B38, [4]Expenditures!$B$2:$E$53, 2, FALSE)</f>
        <v>11039938</v>
      </c>
    </row>
    <row r="39" spans="1:14" x14ac:dyDescent="0.25">
      <c r="A39" s="13" t="s">
        <v>78</v>
      </c>
      <c r="B39" s="83" t="s">
        <v>79</v>
      </c>
      <c r="C39" s="85">
        <f>VLOOKUP($A39, [3]Data!$A$2:$D$53, 3, FALSE)</f>
        <v>11325109</v>
      </c>
      <c r="D39" s="10">
        <f>VLOOKUP($A39, [3]Data!$A$2:$D$53, 4, FALSE)</f>
        <v>1116751</v>
      </c>
      <c r="E39" s="10">
        <f>VLOOKUP($B39, '[1]TANF - Totals'!$A$3:$C$54, 2, FALSE)</f>
        <v>557572</v>
      </c>
      <c r="F39" s="10">
        <f>VLOOKUP($B39, '[1]TANF - Totals'!$A$3:$C$54, 3, FALSE)</f>
        <v>185942.65321547771</v>
      </c>
      <c r="G39" s="42">
        <f>VLOOKUP($A39, [2]Expenditures!$A$2:$E$53, 3, FALSE)</f>
        <v>1040358151</v>
      </c>
      <c r="H39" s="10">
        <f>VLOOKUP($A39, [3]Data!$A$2:$D$53, 4, FALSE)</f>
        <v>1116751</v>
      </c>
      <c r="I39" s="10">
        <f>VLOOKUP($B39, '[1]CCDF - Totals'!$A$3:$C$54, 2, FALSE)</f>
        <v>236044.5</v>
      </c>
      <c r="J39" s="10">
        <f>VLOOKUP($B39, '[1]CCDF - Totals'!$A$3:$C$54, 3, FALSE)</f>
        <v>47000</v>
      </c>
      <c r="K39" s="61">
        <f>VLOOKUP($A39, [2]Expenditures!$A$2:$E$53, 4, FALSE)</f>
        <v>297875215</v>
      </c>
      <c r="L39" s="66">
        <f>VLOOKUP($A39, [2]Units!$A$2:$C$53, 3, FALSE)</f>
        <v>15620</v>
      </c>
      <c r="M39" s="10">
        <f>VLOOKUP(B39, [4]Recipients!$B$2:$E$53, 2, FALSE)</f>
        <v>289261</v>
      </c>
      <c r="N39" s="42">
        <f>VLOOKUP($B39, [4]Expenditures!$B$2:$E$53, 2, FALSE)</f>
        <v>126119705</v>
      </c>
    </row>
    <row r="40" spans="1:14" x14ac:dyDescent="0.25">
      <c r="A40" s="13" t="s">
        <v>80</v>
      </c>
      <c r="B40" s="83" t="s">
        <v>81</v>
      </c>
      <c r="C40" s="85">
        <f>VLOOKUP($A40, [3]Data!$A$2:$D$53, 3, FALSE)</f>
        <v>3730027</v>
      </c>
      <c r="D40" s="10">
        <f>VLOOKUP($A40, [3]Data!$A$2:$D$53, 4, FALSE)</f>
        <v>453666</v>
      </c>
      <c r="E40" s="10">
        <f>VLOOKUP($B40, '[1]TANF - Totals'!$A$3:$C$54, 2, FALSE)</f>
        <v>175738</v>
      </c>
      <c r="F40" s="10">
        <f>VLOOKUP($B40, '[1]TANF - Totals'!$A$3:$C$54, 3, FALSE)</f>
        <v>19379.118337833333</v>
      </c>
      <c r="G40" s="42">
        <f>VLOOKUP($A40, [2]Expenditures!$A$2:$E$53, 3, FALSE)</f>
        <v>148559348</v>
      </c>
      <c r="H40" s="10">
        <f>VLOOKUP($A40, [3]Data!$A$2:$D$53, 4, FALSE)</f>
        <v>453666</v>
      </c>
      <c r="I40" s="10">
        <f>VLOOKUP($B40, '[1]CCDF - Totals'!$A$3:$C$54, 2, FALSE)</f>
        <v>142013.5</v>
      </c>
      <c r="J40" s="10">
        <f>VLOOKUP($B40, '[1]CCDF - Totals'!$A$3:$C$54, 3, FALSE)</f>
        <v>26400</v>
      </c>
      <c r="K40" s="61">
        <f>VLOOKUP($A40, [2]Expenditures!$A$2:$E$53, 4, FALSE)</f>
        <v>132550279</v>
      </c>
      <c r="L40" s="66">
        <f>VLOOKUP($A40, [2]Units!$A$2:$C$53, 3, FALSE)</f>
        <v>2553</v>
      </c>
      <c r="M40" s="10">
        <f>VLOOKUP(B40, [4]Recipients!$B$2:$E$53, 2, FALSE)</f>
        <v>113264</v>
      </c>
      <c r="N40" s="42">
        <f>VLOOKUP($B40, [4]Expenditures!$B$2:$E$53, 2, FALSE)</f>
        <v>207943828</v>
      </c>
    </row>
    <row r="41" spans="1:14" x14ac:dyDescent="0.25">
      <c r="A41" s="13" t="s">
        <v>82</v>
      </c>
      <c r="B41" s="83" t="s">
        <v>83</v>
      </c>
      <c r="C41" s="85">
        <f>VLOOKUP($A41, [3]Data!$A$2:$D$53, 3, FALSE)</f>
        <v>3800785</v>
      </c>
      <c r="D41" s="10">
        <f>VLOOKUP($A41, [3]Data!$A$2:$D$53, 4, FALSE)</f>
        <v>361704</v>
      </c>
      <c r="E41" s="10">
        <f>VLOOKUP($B41, '[1]TANF - Totals'!$A$3:$C$54, 2, FALSE)</f>
        <v>150494</v>
      </c>
      <c r="F41" s="10">
        <f>VLOOKUP($B41, '[1]TANF - Totals'!$A$3:$C$54, 3, FALSE)</f>
        <v>94292.133698414167</v>
      </c>
      <c r="G41" s="42">
        <f>VLOOKUP($A41, [2]Expenditures!$A$2:$E$53, 3, FALSE)</f>
        <v>344749684</v>
      </c>
      <c r="H41" s="10">
        <f>VLOOKUP($A41, [3]Data!$A$2:$D$53, 4, FALSE)</f>
        <v>361704</v>
      </c>
      <c r="I41" s="10">
        <f>VLOOKUP($B41, '[1]CCDF - Totals'!$A$3:$C$54, 2, FALSE)</f>
        <v>79285</v>
      </c>
      <c r="J41" s="10">
        <f>VLOOKUP($B41, '[1]CCDF - Totals'!$A$3:$C$54, 3, FALSE)</f>
        <v>16300</v>
      </c>
      <c r="K41" s="61">
        <f>VLOOKUP($A41, [2]Expenditures!$A$2:$E$53, 4, FALSE)</f>
        <v>85585790</v>
      </c>
      <c r="L41" s="66">
        <f>VLOOKUP($A41, [2]Units!$A$2:$C$53, 3, FALSE)</f>
        <v>8800</v>
      </c>
      <c r="M41" s="10">
        <f>VLOOKUP(B41, [4]Recipients!$B$2:$E$53, 2, FALSE)</f>
        <v>46263</v>
      </c>
      <c r="N41" s="42">
        <f>VLOOKUP($B41, [4]Expenditures!$B$2:$E$53, 2, FALSE)</f>
        <v>340840751</v>
      </c>
    </row>
    <row r="42" spans="1:14" x14ac:dyDescent="0.25">
      <c r="A42" s="13" t="s">
        <v>84</v>
      </c>
      <c r="B42" s="83" t="s">
        <v>85</v>
      </c>
      <c r="C42" s="85">
        <f>VLOOKUP($A42, [3]Data!$A$2:$D$53, 3, FALSE)</f>
        <v>12613651</v>
      </c>
      <c r="D42" s="10">
        <f>VLOOKUP($A42, [3]Data!$A$2:$D$53, 4, FALSE)</f>
        <v>978962</v>
      </c>
      <c r="E42" s="10">
        <f>VLOOKUP($B42, '[1]TANF - Totals'!$A$3:$C$54, 2, FALSE)</f>
        <v>486191</v>
      </c>
      <c r="F42" s="10">
        <f>VLOOKUP($B42, '[1]TANF - Totals'!$A$3:$C$54, 3, FALSE)</f>
        <v>174082.12384671997</v>
      </c>
      <c r="G42" s="42">
        <f>VLOOKUP($A42, [2]Expenditures!$A$2:$E$53, 3, FALSE)</f>
        <v>904981027</v>
      </c>
      <c r="H42" s="10">
        <f>VLOOKUP($A42, [3]Data!$A$2:$D$53, 4, FALSE)</f>
        <v>978962</v>
      </c>
      <c r="I42" s="10">
        <f>VLOOKUP($B42, '[1]CCDF - Totals'!$A$3:$C$54, 2, FALSE)</f>
        <v>301853</v>
      </c>
      <c r="J42" s="10">
        <f>VLOOKUP($B42, '[1]CCDF - Totals'!$A$3:$C$54, 3, FALSE)</f>
        <v>98350</v>
      </c>
      <c r="K42" s="61">
        <f>VLOOKUP($A42, [2]Expenditures!$A$2:$E$53, 4, FALSE)</f>
        <v>434540592</v>
      </c>
      <c r="L42" s="66">
        <f>VLOOKUP($A42, [2]Units!$A$2:$C$53, 3, FALSE)</f>
        <v>25112</v>
      </c>
      <c r="M42" s="10">
        <f>VLOOKUP(B42, [4]Recipients!$B$2:$E$53, 2, FALSE)</f>
        <v>5984489</v>
      </c>
      <c r="N42" s="42">
        <f>VLOOKUP($B42, [4]Expenditures!$B$2:$E$53, 2, FALSE)</f>
        <v>5290046734</v>
      </c>
    </row>
    <row r="43" spans="1:14" x14ac:dyDescent="0.25">
      <c r="A43" s="13" t="s">
        <v>86</v>
      </c>
      <c r="B43" s="83" t="s">
        <v>87</v>
      </c>
      <c r="C43" s="85">
        <f>VLOOKUP($A43, [3]Data!$A$2:$D$53, 3, FALSE)</f>
        <v>1039686</v>
      </c>
      <c r="D43" s="10">
        <f>VLOOKUP($A43, [3]Data!$A$2:$D$53, 4, FALSE)</f>
        <v>82474</v>
      </c>
      <c r="E43" s="10">
        <f>VLOOKUP($B43, '[1]TANF - Totals'!$A$3:$C$54, 2, FALSE)</f>
        <v>47314.5</v>
      </c>
      <c r="F43" s="10">
        <f>VLOOKUP($B43, '[1]TANF - Totals'!$A$3:$C$54, 3, FALSE)</f>
        <v>15422.569006621665</v>
      </c>
      <c r="G43" s="42">
        <f>VLOOKUP($A43, [2]Expenditures!$A$2:$E$53, 3, FALSE)</f>
        <v>142201667</v>
      </c>
      <c r="H43" s="10">
        <f>VLOOKUP($A43, [3]Data!$A$2:$D$53, 4, FALSE)</f>
        <v>82474</v>
      </c>
      <c r="I43" s="10">
        <f>VLOOKUP($B43, '[1]CCDF - Totals'!$A$3:$C$54, 2, FALSE)</f>
        <v>22910.5</v>
      </c>
      <c r="J43" s="10">
        <f>VLOOKUP($B43, '[1]CCDF - Totals'!$A$3:$C$54, 3, FALSE)</f>
        <v>5600</v>
      </c>
      <c r="K43" s="61">
        <f>VLOOKUP($A43, [2]Expenditures!$A$2:$E$53, 4, FALSE)</f>
        <v>37819337</v>
      </c>
      <c r="L43" s="66">
        <f>VLOOKUP($A43, [2]Units!$A$2:$C$53, 3, FALSE)</f>
        <v>937</v>
      </c>
      <c r="M43" s="10">
        <f>VLOOKUP(B43, [4]Recipients!$B$2:$E$53, 2, FALSE)</f>
        <v>281150</v>
      </c>
      <c r="N43" s="42">
        <f>VLOOKUP($B43, [4]Expenditures!$B$2:$E$53, 2, FALSE)</f>
        <v>20043024</v>
      </c>
    </row>
    <row r="44" spans="1:14" x14ac:dyDescent="0.25">
      <c r="A44" s="13" t="s">
        <v>88</v>
      </c>
      <c r="B44" s="83" t="s">
        <v>89</v>
      </c>
      <c r="C44" s="85">
        <f>VLOOKUP($A44, [3]Data!$A$2:$D$53, 3, FALSE)</f>
        <v>4584063</v>
      </c>
      <c r="D44" s="10">
        <f>VLOOKUP($A44, [3]Data!$A$2:$D$53, 4, FALSE)</f>
        <v>518681</v>
      </c>
      <c r="E44" s="10">
        <f>VLOOKUP($B44, '[1]TANF - Totals'!$A$3:$C$54, 2, FALSE)</f>
        <v>293137</v>
      </c>
      <c r="F44" s="10">
        <f>VLOOKUP($B44, '[1]TANF - Totals'!$A$3:$C$54, 3, FALSE)</f>
        <v>35660.167662499996</v>
      </c>
      <c r="G44" s="42">
        <f>VLOOKUP($A44, [2]Expenditures!$A$2:$E$53, 3, FALSE)</f>
        <v>148538270</v>
      </c>
      <c r="H44" s="10">
        <f>VLOOKUP($A44, [3]Data!$A$2:$D$53, 4, FALSE)</f>
        <v>518681</v>
      </c>
      <c r="I44" s="10">
        <f>VLOOKUP($B44, '[1]CCDF - Totals'!$A$3:$C$54, 2, FALSE)</f>
        <v>115603</v>
      </c>
      <c r="J44" s="10">
        <f>VLOOKUP($B44, '[1]CCDF - Totals'!$A$3:$C$54, 3, FALSE)</f>
        <v>16750</v>
      </c>
      <c r="K44" s="61">
        <f>VLOOKUP($A44, [2]Expenditures!$A$2:$E$53, 4, FALSE)</f>
        <v>88987884</v>
      </c>
      <c r="L44" s="66">
        <f>VLOOKUP($A44, [2]Units!$A$2:$C$53, 3, FALSE)</f>
        <v>3070</v>
      </c>
      <c r="M44" s="10">
        <f>VLOOKUP(B44, [4]Recipients!$B$2:$E$53, 2, FALSE)</f>
        <v>25435</v>
      </c>
      <c r="N44" s="42">
        <f>VLOOKUP($B44, [4]Expenditures!$B$2:$E$53, 2, FALSE)</f>
        <v>21049864</v>
      </c>
    </row>
    <row r="45" spans="1:14" x14ac:dyDescent="0.25">
      <c r="A45" s="13" t="s">
        <v>90</v>
      </c>
      <c r="B45" s="83" t="s">
        <v>91</v>
      </c>
      <c r="C45" s="85">
        <f>VLOOKUP($A45, [3]Data!$A$2:$D$53, 3, FALSE)</f>
        <v>803726</v>
      </c>
      <c r="D45" s="10">
        <f>VLOOKUP($A45, [3]Data!$A$2:$D$53, 4, FALSE)</f>
        <v>82559</v>
      </c>
      <c r="E45" s="10">
        <f>VLOOKUP($B45, '[1]TANF - Totals'!$A$3:$C$54, 2, FALSE)</f>
        <v>36613</v>
      </c>
      <c r="F45" s="10">
        <f>VLOOKUP($B45, '[1]TANF - Totals'!$A$3:$C$54, 3, FALSE)</f>
        <v>6754.3333333333358</v>
      </c>
      <c r="G45" s="42">
        <f>VLOOKUP($A45, [2]Expenditures!$A$2:$E$53, 3, FALSE)</f>
        <v>27331954</v>
      </c>
      <c r="H45" s="10">
        <f>VLOOKUP($A45, [3]Data!$A$2:$D$53, 4, FALSE)</f>
        <v>82559</v>
      </c>
      <c r="I45" s="10">
        <f>VLOOKUP($B45, '[1]CCDF - Totals'!$A$3:$C$54, 2, FALSE)</f>
        <v>23764.5</v>
      </c>
      <c r="J45" s="10">
        <f>VLOOKUP($B45, '[1]CCDF - Totals'!$A$3:$C$54, 3, FALSE)</f>
        <v>5600</v>
      </c>
      <c r="K45" s="61">
        <f>VLOOKUP($A45, [2]Expenditures!$A$2:$E$53, 4, FALSE)</f>
        <v>14957561</v>
      </c>
      <c r="L45" s="66">
        <f>VLOOKUP($A45, [2]Units!$A$2:$C$53, 3, FALSE)</f>
        <v>2113</v>
      </c>
      <c r="M45" s="10">
        <f>VLOOKUP(B45, [4]Recipients!$B$2:$E$53, 2, FALSE)</f>
        <v>21500</v>
      </c>
      <c r="N45" s="42">
        <f>VLOOKUP($B45, [4]Expenditures!$B$2:$E$53, 2, FALSE)</f>
        <v>38718443</v>
      </c>
    </row>
    <row r="46" spans="1:14" x14ac:dyDescent="0.25">
      <c r="A46" s="13" t="s">
        <v>92</v>
      </c>
      <c r="B46" s="83" t="s">
        <v>93</v>
      </c>
      <c r="C46" s="85">
        <f>VLOOKUP($A46, [3]Data!$A$2:$D$53, 3, FALSE)</f>
        <v>6319241</v>
      </c>
      <c r="D46" s="10">
        <f>VLOOKUP($A46, [3]Data!$A$2:$D$53, 4, FALSE)</f>
        <v>666651</v>
      </c>
      <c r="E46" s="10">
        <f>VLOOKUP($B46, '[1]TANF - Totals'!$A$3:$C$54, 2, FALSE)</f>
        <v>438801</v>
      </c>
      <c r="F46" s="10">
        <f>VLOOKUP($B46, '[1]TANF - Totals'!$A$3:$C$54, 3, FALSE)</f>
        <v>146870.61957263335</v>
      </c>
      <c r="G46" s="42">
        <f>VLOOKUP($A46, [2]Expenditures!$A$2:$E$53, 3, FALSE)</f>
        <v>340342279</v>
      </c>
      <c r="H46" s="10">
        <f>VLOOKUP($A46, [3]Data!$A$2:$D$53, 4, FALSE)</f>
        <v>666651</v>
      </c>
      <c r="I46" s="10">
        <f>VLOOKUP($B46, '[1]CCDF - Totals'!$A$3:$C$54, 2, FALSE)</f>
        <v>164645</v>
      </c>
      <c r="J46" s="10">
        <f>VLOOKUP($B46, '[1]CCDF - Totals'!$A$3:$C$54, 3, FALSE)</f>
        <v>42500</v>
      </c>
      <c r="K46" s="61">
        <f>VLOOKUP($A46, [2]Expenditures!$A$2:$E$53, 4, FALSE)</f>
        <v>193693380</v>
      </c>
      <c r="L46" s="66">
        <f>VLOOKUP($A46, [2]Units!$A$2:$C$53, 3, FALSE)</f>
        <v>6290</v>
      </c>
      <c r="M46" s="10">
        <f>VLOOKUP(B46, [4]Recipients!$B$2:$E$53, 2, FALSE)</f>
        <v>53117</v>
      </c>
      <c r="N46" s="42">
        <f>VLOOKUP($B46, [4]Expenditures!$B$2:$E$53, 2, FALSE)</f>
        <v>443419533</v>
      </c>
    </row>
    <row r="47" spans="1:14" x14ac:dyDescent="0.25">
      <c r="A47" s="13" t="s">
        <v>94</v>
      </c>
      <c r="B47" s="83" t="s">
        <v>95</v>
      </c>
      <c r="C47" s="85">
        <f>VLOOKUP($A47, [3]Data!$A$2:$D$53, 3, FALSE)</f>
        <v>25377089</v>
      </c>
      <c r="D47" s="10">
        <f>VLOOKUP($A47, [3]Data!$A$2:$D$53, 4, FALSE)</f>
        <v>3549528</v>
      </c>
      <c r="E47" s="10">
        <f>VLOOKUP($B47, '[1]TANF - Totals'!$A$3:$C$54, 2, FALSE)</f>
        <v>1090080</v>
      </c>
      <c r="F47" s="10">
        <f>VLOOKUP($B47, '[1]TANF - Totals'!$A$3:$C$54, 3, FALSE)</f>
        <v>105736.46123333334</v>
      </c>
      <c r="G47" s="42">
        <f>VLOOKUP($A47, [2]Expenditures!$A$2:$E$53, 3, FALSE)</f>
        <v>880911345</v>
      </c>
      <c r="H47" s="10">
        <f>VLOOKUP($A47, [3]Data!$A$2:$D$53, 4, FALSE)</f>
        <v>3549528</v>
      </c>
      <c r="I47" s="10">
        <f>VLOOKUP($B47, '[1]CCDF - Totals'!$A$3:$C$54, 2, FALSE)</f>
        <v>1123915</v>
      </c>
      <c r="J47" s="10">
        <f>VLOOKUP($B47, '[1]CCDF - Totals'!$A$3:$C$54, 3, FALSE)</f>
        <v>126550</v>
      </c>
      <c r="K47" s="61">
        <f>VLOOKUP($A47, [2]Expenditures!$A$2:$E$53, 4, FALSE)</f>
        <v>612061218</v>
      </c>
      <c r="L47" s="66">
        <f>VLOOKUP($A47, [2]Units!$A$2:$C$53, 3, FALSE)</f>
        <v>10558</v>
      </c>
      <c r="M47" s="10">
        <f>VLOOKUP(B47, [4]Recipients!$B$2:$E$53, 2, FALSE)</f>
        <v>1835941</v>
      </c>
      <c r="N47" s="42">
        <f>VLOOKUP($B47, [4]Expenditures!$B$2:$E$53, 2, FALSE)</f>
        <v>1993969285</v>
      </c>
    </row>
    <row r="48" spans="1:14" x14ac:dyDescent="0.25">
      <c r="A48" s="13" t="s">
        <v>96</v>
      </c>
      <c r="B48" s="83" t="s">
        <v>97</v>
      </c>
      <c r="C48" s="85">
        <f>VLOOKUP($A48, [3]Data!$A$2:$D$53, 3, FALSE)</f>
        <v>2790241</v>
      </c>
      <c r="D48" s="10">
        <f>VLOOKUP($A48, [3]Data!$A$2:$D$53, 4, FALSE)</f>
        <v>332420</v>
      </c>
      <c r="E48" s="10">
        <f>VLOOKUP($B48, '[1]TANF - Totals'!$A$3:$C$54, 2, FALSE)</f>
        <v>76856.5</v>
      </c>
      <c r="F48" s="10">
        <f>VLOOKUP($B48, '[1]TANF - Totals'!$A$3:$C$54, 3, FALSE)</f>
        <v>13485.179475003333</v>
      </c>
      <c r="G48" s="42">
        <f>VLOOKUP($A48, [2]Expenditures!$A$2:$E$53, 3, FALSE)</f>
        <v>96422648</v>
      </c>
      <c r="H48" s="10">
        <f>VLOOKUP($A48, [3]Data!$A$2:$D$53, 4, FALSE)</f>
        <v>332420</v>
      </c>
      <c r="I48" s="10">
        <f>VLOOKUP($B48, '[1]CCDF - Totals'!$A$3:$C$54, 2, FALSE)</f>
        <v>79918.5</v>
      </c>
      <c r="J48" s="10">
        <f>VLOOKUP($B48, '[1]CCDF - Totals'!$A$3:$C$54, 3, FALSE)</f>
        <v>12200</v>
      </c>
      <c r="K48" s="61">
        <f>VLOOKUP($A48, [2]Expenditures!$A$2:$E$53, 4, FALSE)</f>
        <v>62939545</v>
      </c>
      <c r="L48" s="66">
        <f>VLOOKUP($A48, [2]Units!$A$2:$C$53, 3, FALSE)</f>
        <v>5550</v>
      </c>
      <c r="M48" s="10">
        <f>VLOOKUP(B48, [4]Recipients!$B$2:$E$53, 2, FALSE)</f>
        <v>275888</v>
      </c>
      <c r="N48" s="42">
        <f>VLOOKUP($B48, [4]Expenditures!$B$2:$E$53, 2, FALSE)</f>
        <v>355087305</v>
      </c>
    </row>
    <row r="49" spans="1:14" x14ac:dyDescent="0.25">
      <c r="A49" s="13" t="s">
        <v>98</v>
      </c>
      <c r="B49" s="83" t="s">
        <v>99</v>
      </c>
      <c r="C49" s="85">
        <f>VLOOKUP($A49, [3]Data!$A$2:$D$53, 3, FALSE)</f>
        <v>619450</v>
      </c>
      <c r="D49" s="10">
        <f>VLOOKUP($A49, [3]Data!$A$2:$D$53, 4, FALSE)</f>
        <v>39034</v>
      </c>
      <c r="E49" s="10">
        <f>VLOOKUP($B49, '[1]TANF - Totals'!$A$3:$C$54, 2, FALSE)</f>
        <v>19781.5</v>
      </c>
      <c r="F49" s="10">
        <f>VLOOKUP($B49, '[1]TANF - Totals'!$A$3:$C$54, 3, FALSE)</f>
        <v>7979.057476973333</v>
      </c>
      <c r="G49" s="42">
        <f>VLOOKUP($A49, [2]Expenditures!$A$2:$E$53, 3, FALSE)</f>
        <v>68069903</v>
      </c>
      <c r="H49" s="10">
        <f>VLOOKUP($A49, [3]Data!$A$2:$D$53, 4, FALSE)</f>
        <v>39034</v>
      </c>
      <c r="I49" s="10">
        <f>VLOOKUP($B49, '[1]CCDF - Totals'!$A$3:$C$54, 2, FALSE)</f>
        <v>14290</v>
      </c>
      <c r="J49" s="10">
        <f>VLOOKUP($B49, '[1]CCDF - Totals'!$A$3:$C$54, 3, FALSE)</f>
        <v>4500</v>
      </c>
      <c r="K49" s="61">
        <f>VLOOKUP($A49, [2]Expenditures!$A$2:$E$53, 4, FALSE)</f>
        <v>26039094</v>
      </c>
      <c r="L49" s="66">
        <f>VLOOKUP($A49, [2]Units!$A$2:$C$53, 3, FALSE)</f>
        <v>2200</v>
      </c>
      <c r="M49" s="10">
        <f>VLOOKUP(B49, [4]Recipients!$B$2:$E$53, 2, FALSE)</f>
        <v>24747</v>
      </c>
      <c r="N49" s="42">
        <f>VLOOKUP($B49, [4]Expenditures!$B$2:$E$53, 2, FALSE)</f>
        <v>11258157</v>
      </c>
    </row>
    <row r="50" spans="1:14" x14ac:dyDescent="0.25">
      <c r="A50" s="13" t="s">
        <v>100</v>
      </c>
      <c r="B50" s="83" t="s">
        <v>101</v>
      </c>
      <c r="C50" s="85">
        <f>VLOOKUP($A50, [3]Data!$A$2:$D$53, 3, FALSE)</f>
        <v>7903990</v>
      </c>
      <c r="D50" s="10">
        <f>VLOOKUP($A50, [3]Data!$A$2:$D$53, 4, FALSE)</f>
        <v>560302</v>
      </c>
      <c r="E50" s="10">
        <f>VLOOKUP($B50, '[1]TANF - Totals'!$A$3:$C$54, 2, FALSE)</f>
        <v>215224</v>
      </c>
      <c r="F50" s="10">
        <f>VLOOKUP($B50, '[1]TANF - Totals'!$A$3:$C$54, 3, FALSE)</f>
        <v>74813.612038772932</v>
      </c>
      <c r="G50" s="42">
        <f>VLOOKUP($A50, [2]Expenditures!$A$2:$E$53, 3, FALSE)</f>
        <v>272734583</v>
      </c>
      <c r="H50" s="10">
        <f>VLOOKUP($A50, [3]Data!$A$2:$D$53, 4, FALSE)</f>
        <v>560302</v>
      </c>
      <c r="I50" s="10">
        <f>VLOOKUP($B50, '[1]CCDF - Totals'!$A$3:$C$54, 2, FALSE)</f>
        <v>162780</v>
      </c>
      <c r="J50" s="10">
        <f>VLOOKUP($B50, '[1]CCDF - Totals'!$A$3:$C$54, 3, FALSE)</f>
        <v>22250</v>
      </c>
      <c r="K50" s="61">
        <f>VLOOKUP($A50, [2]Expenditures!$A$2:$E$53, 4, FALSE)</f>
        <v>176943505</v>
      </c>
      <c r="L50" s="66">
        <f>VLOOKUP($A50, [2]Units!$A$2:$C$53, 3, FALSE)</f>
        <v>3362</v>
      </c>
      <c r="M50" s="10">
        <f>VLOOKUP(B50, [4]Recipients!$B$2:$E$53, 2, FALSE)</f>
        <v>52449</v>
      </c>
      <c r="N50" s="42">
        <f>VLOOKUP($B50, [4]Expenditures!$B$2:$E$53, 2, FALSE)</f>
        <v>160726033</v>
      </c>
    </row>
    <row r="51" spans="1:14" x14ac:dyDescent="0.25">
      <c r="A51" s="13" t="s">
        <v>102</v>
      </c>
      <c r="B51" s="83" t="s">
        <v>103</v>
      </c>
      <c r="C51" s="85">
        <f>VLOOKUP($A51, [3]Data!$A$2:$D$53, 3, FALSE)</f>
        <v>6762579</v>
      </c>
      <c r="D51" s="10">
        <f>VLOOKUP($A51, [3]Data!$A$2:$D$53, 4, FALSE)</f>
        <v>669895</v>
      </c>
      <c r="E51" s="10">
        <f>VLOOKUP($B51, '[1]TANF - Totals'!$A$3:$C$54, 2, FALSE)</f>
        <v>255643</v>
      </c>
      <c r="F51" s="10">
        <f>VLOOKUP($B51, '[1]TANF - Totals'!$A$3:$C$54, 3, FALSE)</f>
        <v>126826.94177192666</v>
      </c>
      <c r="G51" s="42">
        <f>VLOOKUP($A51, [2]Expenditures!$A$2:$E$53, 3, FALSE)</f>
        <v>977742101</v>
      </c>
      <c r="H51" s="10">
        <f>VLOOKUP($A51, [3]Data!$A$2:$D$53, 4, FALSE)</f>
        <v>669895</v>
      </c>
      <c r="I51" s="10">
        <f>VLOOKUP($B51, '[1]CCDF - Totals'!$A$3:$C$54, 2, FALSE)</f>
        <v>174441</v>
      </c>
      <c r="J51" s="10">
        <f>VLOOKUP($B51, '[1]CCDF - Totals'!$A$3:$C$54, 3, FALSE)</f>
        <v>41950</v>
      </c>
      <c r="K51" s="61">
        <f>VLOOKUP($A51, [2]Expenditures!$A$2:$E$53, 4, FALSE)</f>
        <v>268614153</v>
      </c>
      <c r="L51" s="66">
        <f>VLOOKUP($A51, [2]Units!$A$2:$C$53, 3, FALSE)</f>
        <v>12642</v>
      </c>
      <c r="M51" s="10">
        <f>VLOOKUP(B51, [4]Recipients!$B$2:$E$53, 2, FALSE)</f>
        <v>126591</v>
      </c>
      <c r="N51" s="42">
        <f>VLOOKUP($B51, [4]Expenditures!$B$2:$E$53, 2, FALSE)</f>
        <v>194206155</v>
      </c>
    </row>
    <row r="52" spans="1:14" x14ac:dyDescent="0.25">
      <c r="A52" s="13" t="s">
        <v>104</v>
      </c>
      <c r="B52" s="83" t="s">
        <v>105</v>
      </c>
      <c r="C52" s="85">
        <f>VLOOKUP($A52, [3]Data!$A$2:$D$53, 3, FALSE)</f>
        <v>1817945</v>
      </c>
      <c r="D52" s="10">
        <f>VLOOKUP($A52, [3]Data!$A$2:$D$53, 4, FALSE)</f>
        <v>174180</v>
      </c>
      <c r="E52" s="10">
        <f>VLOOKUP($B52, '[1]TANF - Totals'!$A$3:$C$54, 2, FALSE)</f>
        <v>83167</v>
      </c>
      <c r="F52" s="10">
        <f>VLOOKUP($B52, '[1]TANF - Totals'!$A$3:$C$54, 3, FALSE)</f>
        <v>21866.166666666668</v>
      </c>
      <c r="G52" s="42">
        <f>VLOOKUP($A52, [2]Expenditures!$A$2:$E$53, 3, FALSE)</f>
        <v>133593982</v>
      </c>
      <c r="H52" s="10">
        <f>VLOOKUP($A52, [3]Data!$A$2:$D$53, 4, FALSE)</f>
        <v>174180</v>
      </c>
      <c r="I52" s="10">
        <f>VLOOKUP($B52, '[1]CCDF - Totals'!$A$3:$C$54, 2, FALSE)</f>
        <v>41468.5</v>
      </c>
      <c r="J52" s="10">
        <f>VLOOKUP($B52, '[1]CCDF - Totals'!$A$3:$C$54, 3, FALSE)</f>
        <v>7550</v>
      </c>
      <c r="K52" s="61">
        <f>VLOOKUP($A52, [2]Expenditures!$A$2:$E$53, 4, FALSE)</f>
        <v>42452232</v>
      </c>
      <c r="L52" s="66">
        <f>VLOOKUP($A52, [2]Units!$A$2:$C$53, 3, FALSE)</f>
        <v>2304</v>
      </c>
      <c r="M52" s="10">
        <f>VLOOKUP(B52, [4]Recipients!$B$2:$E$53, 2, FALSE)</f>
        <v>66024</v>
      </c>
      <c r="N52" s="42">
        <f>VLOOKUP($B52, [4]Expenditures!$B$2:$E$53, 2, FALSE)</f>
        <v>256437810</v>
      </c>
    </row>
    <row r="53" spans="1:14" x14ac:dyDescent="0.25">
      <c r="A53" s="13" t="s">
        <v>106</v>
      </c>
      <c r="B53" s="83" t="s">
        <v>107</v>
      </c>
      <c r="C53" s="85">
        <f>VLOOKUP($A53, [3]Data!$A$2:$D$53, 3, FALSE)</f>
        <v>5650970</v>
      </c>
      <c r="D53" s="10">
        <f>VLOOKUP($A53, [3]Data!$A$2:$D$53, 4, FALSE)</f>
        <v>482293</v>
      </c>
      <c r="E53" s="10">
        <f>VLOOKUP($B53, '[1]TANF - Totals'!$A$3:$C$54, 2, FALSE)</f>
        <v>209292</v>
      </c>
      <c r="F53" s="10">
        <f>VLOOKUP($B53, '[1]TANF - Totals'!$A$3:$C$54, 3, FALSE)</f>
        <v>63019.242766666663</v>
      </c>
      <c r="G53" s="42">
        <f>VLOOKUP($A53, [2]Expenditures!$A$2:$E$53, 3, FALSE)</f>
        <v>525042852</v>
      </c>
      <c r="H53" s="10">
        <f>VLOOKUP($A53, [3]Data!$A$2:$D$53, 4, FALSE)</f>
        <v>482293</v>
      </c>
      <c r="I53" s="10">
        <f>VLOOKUP($B53, '[1]CCDF - Totals'!$A$3:$C$54, 2, FALSE)</f>
        <v>154359</v>
      </c>
      <c r="J53" s="10">
        <f>VLOOKUP($B53, '[1]CCDF - Totals'!$A$3:$C$54, 3, FALSE)</f>
        <v>30300</v>
      </c>
      <c r="K53" s="61">
        <f>VLOOKUP($A53, [2]Expenditures!$A$2:$E$53, 4, FALSE)</f>
        <v>190381364</v>
      </c>
      <c r="L53" s="66">
        <f>VLOOKUP($A53, [2]Units!$A$2:$C$53, 3, FALSE)</f>
        <v>5944</v>
      </c>
      <c r="M53" s="10">
        <f>VLOOKUP(B53, [4]Recipients!$B$2:$E$53, 2, FALSE)</f>
        <v>181561</v>
      </c>
      <c r="N53" s="42">
        <f>VLOOKUP($B53, [4]Expenditures!$B$2:$E$53, 2, FALSE)</f>
        <v>595314770</v>
      </c>
    </row>
    <row r="54" spans="1:14" x14ac:dyDescent="0.25">
      <c r="A54" s="13" t="s">
        <v>108</v>
      </c>
      <c r="B54" s="83" t="s">
        <v>109</v>
      </c>
      <c r="C54" s="86">
        <f>VLOOKUP($A54, [3]Data!$A$2:$D$53, 3, FALSE)</f>
        <v>556063</v>
      </c>
      <c r="D54" s="12">
        <f>VLOOKUP($A54, [3]Data!$A$2:$D$53, 4, FALSE)</f>
        <v>47325</v>
      </c>
      <c r="E54" s="12">
        <f>VLOOKUP($B54, '[1]TANF - Totals'!$A$3:$C$54, 2, FALSE)</f>
        <v>20155</v>
      </c>
      <c r="F54" s="12">
        <f>VLOOKUP($B54, '[1]TANF - Totals'!$A$3:$C$54, 3, FALSE)</f>
        <v>615.04166666666652</v>
      </c>
      <c r="G54" s="43">
        <f>VLOOKUP($A54, [2]Expenditures!$A$2:$E$53, 3, FALSE)</f>
        <v>29523178</v>
      </c>
      <c r="H54" s="12">
        <f>VLOOKUP($A54, [3]Data!$A$2:$D$53, 4, FALSE)</f>
        <v>47325</v>
      </c>
      <c r="I54" s="12">
        <f>VLOOKUP($B54, '[1]CCDF - Totals'!$A$3:$C$54, 2, FALSE)</f>
        <v>22009.5</v>
      </c>
      <c r="J54" s="12">
        <f>VLOOKUP($B54, '[1]CCDF - Totals'!$A$3:$C$54, 3, FALSE)</f>
        <v>4900</v>
      </c>
      <c r="K54" s="64">
        <f>VLOOKUP($A54, [2]Expenditures!$A$2:$E$53, 4, FALSE)</f>
        <v>19698365</v>
      </c>
      <c r="L54" s="67">
        <f>VLOOKUP($A54, [2]Units!$A$2:$C$53, 3, FALSE)</f>
        <v>1033</v>
      </c>
      <c r="M54" s="12">
        <f>VLOOKUP(B54, [4]Recipients!$B$2:$E$53, 2, FALSE)</f>
        <v>7941</v>
      </c>
      <c r="N54" s="43" t="e">
        <f>VLOOKUP($B54, [4]Expenditures!$B$2:$E$53, 2, FALSE)</f>
        <v>#N/A</v>
      </c>
    </row>
    <row r="55" spans="1:14" x14ac:dyDescent="0.25">
      <c r="D55" s="17"/>
      <c r="E55" s="17"/>
      <c r="F55" s="17"/>
    </row>
  </sheetData>
  <mergeCells count="4">
    <mergeCell ref="D1:G1"/>
    <mergeCell ref="A1:C1"/>
    <mergeCell ref="H1:K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31" workbookViewId="0">
      <selection activeCell="G4" sqref="G4"/>
    </sheetView>
  </sheetViews>
  <sheetFormatPr defaultRowHeight="15" x14ac:dyDescent="0.25"/>
  <cols>
    <col min="2" max="2" width="19.140625" bestFit="1" customWidth="1"/>
    <col min="3" max="3" width="16.28515625" style="8" customWidth="1"/>
    <col min="4" max="4" width="2.5703125" bestFit="1" customWidth="1"/>
    <col min="5" max="5" width="15.85546875" style="56" customWidth="1"/>
    <col min="6" max="6" width="2.28515625" bestFit="1" customWidth="1"/>
    <col min="7" max="7" width="17.5703125" style="8" customWidth="1"/>
    <col min="8" max="8" width="19.42578125" customWidth="1"/>
    <col min="9" max="9" width="4.28515625" bestFit="1" customWidth="1"/>
    <col min="10" max="10" width="45.140625" bestFit="1" customWidth="1"/>
    <col min="11" max="11" width="4" bestFit="1" customWidth="1"/>
    <col min="12" max="12" width="29.5703125" customWidth="1"/>
    <col min="13" max="13" width="2" bestFit="1" customWidth="1"/>
    <col min="14" max="14" width="18.5703125" bestFit="1" customWidth="1"/>
  </cols>
  <sheetData>
    <row r="1" spans="1:14" x14ac:dyDescent="0.25">
      <c r="A1" s="1"/>
      <c r="B1" s="1"/>
      <c r="C1" s="105" t="s">
        <v>110</v>
      </c>
      <c r="D1" s="106"/>
      <c r="E1" s="106"/>
      <c r="F1" s="106"/>
      <c r="G1" s="107"/>
      <c r="H1" s="112" t="s">
        <v>111</v>
      </c>
      <c r="I1" s="106"/>
      <c r="J1" s="106"/>
      <c r="K1" s="106"/>
      <c r="L1" s="106"/>
      <c r="M1" s="106"/>
      <c r="N1" s="107"/>
    </row>
    <row r="2" spans="1:14" s="3" customFormat="1" ht="45.75" customHeight="1" x14ac:dyDescent="0.25">
      <c r="A2" s="2" t="s">
        <v>0</v>
      </c>
      <c r="B2" s="2" t="s">
        <v>1</v>
      </c>
      <c r="C2" s="2" t="s">
        <v>112</v>
      </c>
      <c r="D2" s="2" t="s">
        <v>113</v>
      </c>
      <c r="E2" s="75" t="s">
        <v>114</v>
      </c>
      <c r="F2" s="2" t="s">
        <v>115</v>
      </c>
      <c r="G2" s="76" t="s">
        <v>116</v>
      </c>
      <c r="H2" s="82" t="s">
        <v>117</v>
      </c>
      <c r="I2" s="46" t="s">
        <v>113</v>
      </c>
      <c r="J2" s="46" t="s">
        <v>118</v>
      </c>
      <c r="K2" s="46" t="s">
        <v>115</v>
      </c>
      <c r="L2" s="46" t="s">
        <v>119</v>
      </c>
      <c r="M2" s="46" t="s">
        <v>115</v>
      </c>
      <c r="N2" s="88" t="s">
        <v>120</v>
      </c>
    </row>
    <row r="3" spans="1:14" x14ac:dyDescent="0.25">
      <c r="A3" s="20" t="s">
        <v>56</v>
      </c>
      <c r="B3" s="21" t="s">
        <v>57</v>
      </c>
      <c r="C3" s="29">
        <f>VLOOKUP($A3, Data!$A$3:$N$54, 7, FALSE)/VLOOKUP($A3, Data!$A$3:$N$54, 3, FALSE)</f>
        <v>27.523226438810934</v>
      </c>
      <c r="D3" s="6"/>
      <c r="E3" s="59">
        <f>VLOOKUP($A3, Data!$A$3:$N$54, 6, FALSE)/VLOOKUP($A3, Data!$A$3:$N$54, 3, FALSE)</f>
        <v>8.2882585308627545E-3</v>
      </c>
      <c r="F3" s="6"/>
      <c r="G3" s="41">
        <f>VLOOKUP($A3, Data!$A$3:$N$54, 7, FALSE)/VLOOKUP($A3, Data!$A$3:$N$54, 6, FALSE)</f>
        <v>3320.7490254223458</v>
      </c>
      <c r="H3" s="59">
        <f>VLOOKUP($A3, Data!$A$3:$N$54, 6, FALSE)/VLOOKUP($A3, Data!$A$3:$N$54, 3, FALSE)</f>
        <v>8.2882585308627545E-3</v>
      </c>
      <c r="I3" s="6"/>
      <c r="J3" s="48">
        <f>VLOOKUP($A3, Data!$A$3:$G$54, 4, FALSE)/VLOOKUP($A3, Data!$A$3:$G$54, 3, FALSE)</f>
        <v>0.13429209633972211</v>
      </c>
      <c r="K3" s="6"/>
      <c r="L3" s="48">
        <f>VLOOKUP($A3, Data!$A$3:$G$54, 5, FALSE)/VLOOKUP($A3, Data!$A$3:$G$54, 4, FALSE)</f>
        <v>0.40179082675271727</v>
      </c>
      <c r="M3" s="6"/>
      <c r="N3" s="90">
        <f>VLOOKUP($A3, Data!$A$3:$G$54, 6, FALSE)/VLOOKUP($A3, Data!$A$3:$G$54, 5, FALSE)</f>
        <v>0.1536076407032656</v>
      </c>
    </row>
    <row r="4" spans="1:14" x14ac:dyDescent="0.25">
      <c r="A4" s="22" t="s">
        <v>32</v>
      </c>
      <c r="B4" s="23" t="s">
        <v>33</v>
      </c>
      <c r="C4" s="4">
        <f>VLOOKUP($A4, Data!$A$3:$N$54, 7, FALSE)/VLOOKUP($A4, Data!$A$3:$N$54, 3, FALSE)</f>
        <v>21.748360701495919</v>
      </c>
      <c r="D4" s="5"/>
      <c r="E4" s="58">
        <f>VLOOKUP($A4, Data!$A$3:$N$54, 6, FALSE)/VLOOKUP($A4, Data!$A$3:$N$54, 3, FALSE)</f>
        <v>1.841651540450544E-3</v>
      </c>
      <c r="F4" s="5"/>
      <c r="G4" s="42">
        <f>VLOOKUP($A4, Data!$A$3:$N$54, 7, FALSE)/VLOOKUP($A4, Data!$A$3:$N$54, 6, FALSE)</f>
        <v>11809.161626838142</v>
      </c>
      <c r="H4" s="58">
        <f>VLOOKUP($A4, Data!$A$3:$N$54, 6, FALSE)/VLOOKUP($A4, Data!$A$3:$N$54, 3, FALSE)</f>
        <v>1.841651540450544E-3</v>
      </c>
      <c r="I4" s="5"/>
      <c r="J4" s="50">
        <f>VLOOKUP($A4, Data!$A$3:$G$54, 4, FALSE)/VLOOKUP($A4, Data!$A$3:$G$54, 3, FALSE)</f>
        <v>0.14234802600804267</v>
      </c>
      <c r="K4" s="5"/>
      <c r="L4" s="50">
        <f>VLOOKUP($A4, Data!$A$3:$G$54, 5, FALSE)/VLOOKUP($A4, Data!$A$3:$G$54, 4, FALSE)</f>
        <v>0.29331367961738364</v>
      </c>
      <c r="M4" s="5"/>
      <c r="N4" s="91">
        <f>VLOOKUP($A4, Data!$A$3:$G$54, 6, FALSE)/VLOOKUP($A4, Data!$A$3:$G$54, 5, FALSE)</f>
        <v>4.4108642646287576E-2</v>
      </c>
    </row>
    <row r="5" spans="1:14" x14ac:dyDescent="0.25">
      <c r="A5" s="22" t="s">
        <v>80</v>
      </c>
      <c r="B5" s="23" t="s">
        <v>81</v>
      </c>
      <c r="C5" s="4">
        <f>VLOOKUP($A5, Data!$A$3:$N$54, 7, FALSE)/VLOOKUP($A5, Data!$A$3:$N$54, 3, FALSE)</f>
        <v>39.827955132764451</v>
      </c>
      <c r="D5" s="5"/>
      <c r="E5" s="58">
        <f>VLOOKUP($A5, Data!$A$3:$N$54, 6, FALSE)/VLOOKUP($A5, Data!$A$3:$N$54, 3, FALSE)</f>
        <v>5.1954364774928798E-3</v>
      </c>
      <c r="F5" s="5"/>
      <c r="G5" s="42">
        <f>VLOOKUP($A5, Data!$A$3:$N$54, 7, FALSE)/VLOOKUP($A5, Data!$A$3:$N$54, 6, FALSE)</f>
        <v>7665.9497821410978</v>
      </c>
      <c r="H5" s="58">
        <f>VLOOKUP($A5, Data!$A$3:$N$54, 6, FALSE)/VLOOKUP($A5, Data!$A$3:$N$54, 3, FALSE)</f>
        <v>5.1954364774928798E-3</v>
      </c>
      <c r="I5" s="5"/>
      <c r="J5" s="50">
        <f>VLOOKUP($A5, Data!$A$3:$G$54, 4, FALSE)/VLOOKUP($A5, Data!$A$3:$G$54, 3, FALSE)</f>
        <v>0.12162539306015747</v>
      </c>
      <c r="K5" s="5"/>
      <c r="L5" s="50">
        <f>VLOOKUP($A5, Data!$A$3:$G$54, 5, FALSE)/VLOOKUP($A5, Data!$A$3:$G$54, 4, FALSE)</f>
        <v>0.38737308945347459</v>
      </c>
      <c r="M5" s="5"/>
      <c r="N5" s="91">
        <f>VLOOKUP($A5, Data!$A$3:$G$54, 6, FALSE)/VLOOKUP($A5, Data!$A$3:$G$54, 5, FALSE)</f>
        <v>0.11027278299419212</v>
      </c>
    </row>
    <row r="6" spans="1:14" x14ac:dyDescent="0.25">
      <c r="A6" s="22" t="s">
        <v>92</v>
      </c>
      <c r="B6" s="23" t="s">
        <v>93</v>
      </c>
      <c r="C6" s="4">
        <f>VLOOKUP($A6, Data!$A$3:$N$54, 7, FALSE)/VLOOKUP($A6, Data!$A$3:$N$54, 3, FALSE)</f>
        <v>53.858094508501893</v>
      </c>
      <c r="D6" s="5"/>
      <c r="E6" s="58">
        <f>VLOOKUP($A6, Data!$A$3:$N$54, 6, FALSE)/VLOOKUP($A6, Data!$A$3:$N$54, 3, FALSE)</f>
        <v>2.3241813308375697E-2</v>
      </c>
      <c r="F6" s="5"/>
      <c r="G6" s="42">
        <f>VLOOKUP($A6, Data!$A$3:$N$54, 7, FALSE)/VLOOKUP($A6, Data!$A$3:$N$54, 6, FALSE)</f>
        <v>2317.2931386163809</v>
      </c>
      <c r="H6" s="58">
        <f>VLOOKUP($A6, Data!$A$3:$N$54, 6, FALSE)/VLOOKUP($A6, Data!$A$3:$N$54, 3, FALSE)</f>
        <v>2.3241813308375697E-2</v>
      </c>
      <c r="I6" s="5"/>
      <c r="J6" s="50">
        <f>VLOOKUP($A6, Data!$A$3:$G$54, 4, FALSE)/VLOOKUP($A6, Data!$A$3:$G$54, 3, FALSE)</f>
        <v>0.10549542263066086</v>
      </c>
      <c r="K6" s="5"/>
      <c r="L6" s="50">
        <f>VLOOKUP($A6, Data!$A$3:$G$54, 5, FALSE)/VLOOKUP($A6, Data!$A$3:$G$54, 4, FALSE)</f>
        <v>0.6582169680987503</v>
      </c>
      <c r="M6" s="5"/>
      <c r="N6" s="91">
        <f>VLOOKUP($A6, Data!$A$3:$G$54, 6, FALSE)/VLOOKUP($A6, Data!$A$3:$G$54, 5, FALSE)</f>
        <v>0.33470894453894445</v>
      </c>
    </row>
    <row r="7" spans="1:14" x14ac:dyDescent="0.25">
      <c r="A7" s="22" t="s">
        <v>42</v>
      </c>
      <c r="B7" s="23" t="s">
        <v>43</v>
      </c>
      <c r="C7" s="4">
        <f>VLOOKUP($A7, Data!$A$3:$N$54, 7, FALSE)/VLOOKUP($A7, Data!$A$3:$N$54, 3, FALSE)</f>
        <v>60.573346233510627</v>
      </c>
      <c r="D7" s="5"/>
      <c r="E7" s="58">
        <f>VLOOKUP($A7, Data!$A$3:$N$54, 6, FALSE)/VLOOKUP($A7, Data!$A$3:$N$54, 3, FALSE)</f>
        <v>1.4486670057551526E-2</v>
      </c>
      <c r="F7" s="5"/>
      <c r="G7" s="42">
        <f>VLOOKUP($A7, Data!$A$3:$N$54, 7, FALSE)/VLOOKUP($A7, Data!$A$3:$N$54, 6, FALSE)</f>
        <v>4181.3160645524131</v>
      </c>
      <c r="H7" s="58">
        <f>VLOOKUP($A7, Data!$A$3:$N$54, 6, FALSE)/VLOOKUP($A7, Data!$A$3:$N$54, 3, FALSE)</f>
        <v>1.4486670057551526E-2</v>
      </c>
      <c r="I7" s="5"/>
      <c r="J7" s="50">
        <f>VLOOKUP($A7, Data!$A$3:$G$54, 4, FALSE)/VLOOKUP($A7, Data!$A$3:$G$54, 3, FALSE)</f>
        <v>0.11063970663373031</v>
      </c>
      <c r="K7" s="5"/>
      <c r="L7" s="50">
        <f>VLOOKUP($A7, Data!$A$3:$G$54, 5, FALSE)/VLOOKUP($A7, Data!$A$3:$G$54, 4, FALSE)</f>
        <v>0.41909921156234647</v>
      </c>
      <c r="M7" s="5"/>
      <c r="N7" s="91">
        <f>VLOOKUP($A7, Data!$A$3:$G$54, 6, FALSE)/VLOOKUP($A7, Data!$A$3:$G$54, 5, FALSE)</f>
        <v>0.3124213535036654</v>
      </c>
    </row>
    <row r="8" spans="1:14" x14ac:dyDescent="0.25">
      <c r="A8" s="22" t="s">
        <v>90</v>
      </c>
      <c r="B8" s="23" t="s">
        <v>91</v>
      </c>
      <c r="C8" s="4">
        <f>VLOOKUP($A8, Data!$A$3:$N$54, 7, FALSE)/VLOOKUP($A8, Data!$A$3:$N$54, 3, FALSE)</f>
        <v>34.006556960954356</v>
      </c>
      <c r="D8" s="5"/>
      <c r="E8" s="58">
        <f>VLOOKUP($A8, Data!$A$3:$N$54, 6, FALSE)/VLOOKUP($A8, Data!$A$3:$N$54, 3, FALSE)</f>
        <v>8.4037760795760436E-3</v>
      </c>
      <c r="F8" s="5"/>
      <c r="G8" s="42">
        <f>VLOOKUP($A8, Data!$A$3:$N$54, 7, FALSE)/VLOOKUP($A8, Data!$A$3:$N$54, 6, FALSE)</f>
        <v>4046.5805655628469</v>
      </c>
      <c r="H8" s="58">
        <f>VLOOKUP($A8, Data!$A$3:$N$54, 6, FALSE)/VLOOKUP($A8, Data!$A$3:$N$54, 3, FALSE)</f>
        <v>8.4037760795760436E-3</v>
      </c>
      <c r="I8" s="5"/>
      <c r="J8" s="50">
        <f>VLOOKUP($A8, Data!$A$3:$G$54, 4, FALSE)/VLOOKUP($A8, Data!$A$3:$G$54, 3, FALSE)</f>
        <v>0.10272033006273282</v>
      </c>
      <c r="K8" s="5"/>
      <c r="L8" s="50">
        <f>VLOOKUP($A8, Data!$A$3:$G$54, 5, FALSE)/VLOOKUP($A8, Data!$A$3:$G$54, 4, FALSE)</f>
        <v>0.44347678629828363</v>
      </c>
      <c r="M8" s="5"/>
      <c r="N8" s="91">
        <f>VLOOKUP($A8, Data!$A$3:$G$54, 6, FALSE)/VLOOKUP($A8, Data!$A$3:$G$54, 5, FALSE)</f>
        <v>0.18447910122998212</v>
      </c>
    </row>
    <row r="9" spans="1:14" x14ac:dyDescent="0.25">
      <c r="A9" s="22" t="s">
        <v>14</v>
      </c>
      <c r="B9" s="23" t="s">
        <v>15</v>
      </c>
      <c r="C9" s="4">
        <f>VLOOKUP($A9, Data!$A$3:$N$54, 7, FALSE)/VLOOKUP($A9, Data!$A$3:$N$54, 3, FALSE)</f>
        <v>60.326281379289377</v>
      </c>
      <c r="D9" s="5"/>
      <c r="E9" s="58">
        <f>VLOOKUP($A9, Data!$A$3:$N$54, 6, FALSE)/VLOOKUP($A9, Data!$A$3:$N$54, 3, FALSE)</f>
        <v>5.9867776095672209E-3</v>
      </c>
      <c r="F9" s="5"/>
      <c r="G9" s="42">
        <f>VLOOKUP($A9, Data!$A$3:$N$54, 7, FALSE)/VLOOKUP($A9, Data!$A$3:$N$54, 6, FALSE)</f>
        <v>10076.586322980236</v>
      </c>
      <c r="H9" s="58">
        <f>VLOOKUP($A9, Data!$A$3:$N$54, 6, FALSE)/VLOOKUP($A9, Data!$A$3:$N$54, 3, FALSE)</f>
        <v>5.9867776095672209E-3</v>
      </c>
      <c r="I9" s="5"/>
      <c r="J9" s="50">
        <f>VLOOKUP($A9, Data!$A$3:$G$54, 4, FALSE)/VLOOKUP($A9, Data!$A$3:$G$54, 3, FALSE)</f>
        <v>0.12435931899331971</v>
      </c>
      <c r="K9" s="5"/>
      <c r="L9" s="50">
        <f>VLOOKUP($A9, Data!$A$3:$G$54, 5, FALSE)/VLOOKUP($A9, Data!$A$3:$G$54, 4, FALSE)</f>
        <v>0.33175797887858099</v>
      </c>
      <c r="M9" s="5"/>
      <c r="N9" s="91">
        <f>VLOOKUP($A9, Data!$A$3:$G$54, 6, FALSE)/VLOOKUP($A9, Data!$A$3:$G$54, 5, FALSE)</f>
        <v>0.14510868752594441</v>
      </c>
    </row>
    <row r="10" spans="1:14" x14ac:dyDescent="0.25">
      <c r="A10" s="22" t="s">
        <v>44</v>
      </c>
      <c r="B10" s="23" t="s">
        <v>45</v>
      </c>
      <c r="C10" s="4">
        <f>VLOOKUP($A10, Data!$A$3:$N$54, 7, FALSE)/VLOOKUP($A10, Data!$A$3:$N$54, 3, FALSE)</f>
        <v>54.909518526656512</v>
      </c>
      <c r="D10" s="5"/>
      <c r="E10" s="58">
        <f>VLOOKUP($A10, Data!$A$3:$N$54, 6, FALSE)/VLOOKUP($A10, Data!$A$3:$N$54, 3, FALSE)</f>
        <v>4.8964015599784506E-3</v>
      </c>
      <c r="F10" s="5"/>
      <c r="G10" s="42">
        <f>VLOOKUP($A10, Data!$A$3:$N$54, 7, FALSE)/VLOOKUP($A10, Data!$A$3:$N$54, 6, FALSE)</f>
        <v>11214.25966682728</v>
      </c>
      <c r="H10" s="58">
        <f>VLOOKUP($A10, Data!$A$3:$N$54, 6, FALSE)/VLOOKUP($A10, Data!$A$3:$N$54, 3, FALSE)</f>
        <v>4.8964015599784506E-3</v>
      </c>
      <c r="I10" s="5"/>
      <c r="J10" s="50">
        <f>VLOOKUP($A10, Data!$A$3:$G$54, 4, FALSE)/VLOOKUP($A10, Data!$A$3:$G$54, 3, FALSE)</f>
        <v>0.12644737925909533</v>
      </c>
      <c r="K10" s="5"/>
      <c r="L10" s="50">
        <f>VLOOKUP($A10, Data!$A$3:$G$54, 5, FALSE)/VLOOKUP($A10, Data!$A$3:$G$54, 4, FALSE)</f>
        <v>0.37766709916523633</v>
      </c>
      <c r="M10" s="5"/>
      <c r="N10" s="91">
        <f>VLOOKUP($A10, Data!$A$3:$G$54, 6, FALSE)/VLOOKUP($A10, Data!$A$3:$G$54, 5, FALSE)</f>
        <v>0.10253167270481336</v>
      </c>
    </row>
    <row r="11" spans="1:14" x14ac:dyDescent="0.25">
      <c r="A11" s="22" t="s">
        <v>40</v>
      </c>
      <c r="B11" s="23" t="s">
        <v>41</v>
      </c>
      <c r="C11" s="4">
        <f>VLOOKUP($A11, Data!$A$3:$N$54, 7, FALSE)/VLOOKUP($A11, Data!$A$3:$N$54, 3, FALSE)</f>
        <v>57.094426844620266</v>
      </c>
      <c r="D11" s="5"/>
      <c r="E11" s="58">
        <f>VLOOKUP($A11, Data!$A$3:$N$54, 6, FALSE)/VLOOKUP($A11, Data!$A$3:$N$54, 3, FALSE)</f>
        <v>1.1175555516605876E-2</v>
      </c>
      <c r="F11" s="5"/>
      <c r="G11" s="42">
        <f>VLOOKUP($A11, Data!$A$3:$N$54, 7, FALSE)/VLOOKUP($A11, Data!$A$3:$N$54, 6, FALSE)</f>
        <v>5108.8670052941043</v>
      </c>
      <c r="H11" s="58">
        <f>VLOOKUP($A11, Data!$A$3:$N$54, 6, FALSE)/VLOOKUP($A11, Data!$A$3:$N$54, 3, FALSE)</f>
        <v>1.1175555516605876E-2</v>
      </c>
      <c r="I11" s="5"/>
      <c r="J11" s="50">
        <f>VLOOKUP($A11, Data!$A$3:$G$54, 4, FALSE)/VLOOKUP($A11, Data!$A$3:$G$54, 3, FALSE)</f>
        <v>0.11418681395973078</v>
      </c>
      <c r="K11" s="5"/>
      <c r="L11" s="50">
        <f>VLOOKUP($A11, Data!$A$3:$G$54, 5, FALSE)/VLOOKUP($A11, Data!$A$3:$G$54, 4, FALSE)</f>
        <v>0.32421322572737732</v>
      </c>
      <c r="M11" s="5"/>
      <c r="N11" s="91">
        <f>VLOOKUP($A11, Data!$A$3:$G$54, 6, FALSE)/VLOOKUP($A11, Data!$A$3:$G$54, 5, FALSE)</f>
        <v>0.30187172586383493</v>
      </c>
    </row>
    <row r="12" spans="1:14" x14ac:dyDescent="0.25">
      <c r="A12" s="22" t="s">
        <v>26</v>
      </c>
      <c r="B12" s="23" t="s">
        <v>27</v>
      </c>
      <c r="C12" s="4">
        <f>VLOOKUP($A12, Data!$A$3:$N$54, 7, FALSE)/VLOOKUP($A12, Data!$A$3:$N$54, 3, FALSE)</f>
        <v>43.119649255478322</v>
      </c>
      <c r="D12" s="5"/>
      <c r="E12" s="58">
        <f>VLOOKUP($A12, Data!$A$3:$N$54, 6, FALSE)/VLOOKUP($A12, Data!$A$3:$N$54, 3, FALSE)</f>
        <v>4.9777732197425258E-3</v>
      </c>
      <c r="F12" s="5"/>
      <c r="G12" s="42">
        <f>VLOOKUP($A12, Data!$A$3:$N$54, 7, FALSE)/VLOOKUP($A12, Data!$A$3:$N$54, 6, FALSE)</f>
        <v>8662.4374699232831</v>
      </c>
      <c r="H12" s="58">
        <f>VLOOKUP($A12, Data!$A$3:$N$54, 6, FALSE)/VLOOKUP($A12, Data!$A$3:$N$54, 3, FALSE)</f>
        <v>4.9777732197425258E-3</v>
      </c>
      <c r="I12" s="5"/>
      <c r="J12" s="50">
        <f>VLOOKUP($A12, Data!$A$3:$G$54, 4, FALSE)/VLOOKUP($A12, Data!$A$3:$G$54, 3, FALSE)</f>
        <v>9.3582916319029638E-2</v>
      </c>
      <c r="K12" s="5"/>
      <c r="L12" s="50">
        <f>VLOOKUP($A12, Data!$A$3:$G$54, 5, FALSE)/VLOOKUP($A12, Data!$A$3:$G$54, 4, FALSE)</f>
        <v>0.32024739575960925</v>
      </c>
      <c r="M12" s="5"/>
      <c r="N12" s="91">
        <f>VLOOKUP($A12, Data!$A$3:$G$54, 6, FALSE)/VLOOKUP($A12, Data!$A$3:$G$54, 5, FALSE)</f>
        <v>0.16609361026271161</v>
      </c>
    </row>
    <row r="13" spans="1:14" x14ac:dyDescent="0.25">
      <c r="A13" s="22" t="s">
        <v>8</v>
      </c>
      <c r="B13" s="23" t="s">
        <v>9</v>
      </c>
      <c r="C13" s="4">
        <f>VLOOKUP($A13, Data!$A$3:$N$54, 7, FALSE)/VLOOKUP($A13, Data!$A$3:$N$54, 3, FALSE)</f>
        <v>35.517317040864192</v>
      </c>
      <c r="D13" s="5"/>
      <c r="E13" s="58">
        <f>VLOOKUP($A13, Data!$A$3:$N$54, 6, FALSE)/VLOOKUP($A13, Data!$A$3:$N$54, 3, FALSE)</f>
        <v>1.1242614976698078E-2</v>
      </c>
      <c r="F13" s="5"/>
      <c r="G13" s="42">
        <f>VLOOKUP($A13, Data!$A$3:$N$54, 7, FALSE)/VLOOKUP($A13, Data!$A$3:$N$54, 6, FALSE)</f>
        <v>3159.1686733450265</v>
      </c>
      <c r="H13" s="58">
        <f>VLOOKUP($A13, Data!$A$3:$N$54, 6, FALSE)/VLOOKUP($A13, Data!$A$3:$N$54, 3, FALSE)</f>
        <v>1.1242614976698078E-2</v>
      </c>
      <c r="I13" s="5"/>
      <c r="J13" s="50">
        <f>VLOOKUP($A13, Data!$A$3:$G$54, 4, FALSE)/VLOOKUP($A13, Data!$A$3:$G$54, 3, FALSE)</f>
        <v>0.10859918906058591</v>
      </c>
      <c r="K13" s="5"/>
      <c r="L13" s="50">
        <f>VLOOKUP($A13, Data!$A$3:$G$54, 5, FALSE)/VLOOKUP($A13, Data!$A$3:$G$54, 4, FALSE)</f>
        <v>0.42642560406458119</v>
      </c>
      <c r="M13" s="5"/>
      <c r="N13" s="91">
        <f>VLOOKUP($A13, Data!$A$3:$G$54, 6, FALSE)/VLOOKUP($A13, Data!$A$3:$G$54, 5, FALSE)</f>
        <v>0.24277137726573331</v>
      </c>
    </row>
    <row r="14" spans="1:14" x14ac:dyDescent="0.25">
      <c r="A14" s="22" t="s">
        <v>74</v>
      </c>
      <c r="B14" s="23" t="s">
        <v>75</v>
      </c>
      <c r="C14" s="4">
        <f>VLOOKUP($A14, Data!$A$3:$N$54, 7, FALSE)/VLOOKUP($A14, Data!$A$3:$N$54, 3, FALSE)</f>
        <v>56.253587965282399</v>
      </c>
      <c r="D14" s="5"/>
      <c r="E14" s="58">
        <f>VLOOKUP($A14, Data!$A$3:$N$54, 6, FALSE)/VLOOKUP($A14, Data!$A$3:$N$54, 3, FALSE)</f>
        <v>4.484702757042127E-3</v>
      </c>
      <c r="F14" s="5"/>
      <c r="G14" s="42">
        <f>VLOOKUP($A14, Data!$A$3:$N$54, 7, FALSE)/VLOOKUP($A14, Data!$A$3:$N$54, 6, FALSE)</f>
        <v>12543.43732746834</v>
      </c>
      <c r="H14" s="58">
        <f>VLOOKUP($A14, Data!$A$3:$N$54, 6, FALSE)/VLOOKUP($A14, Data!$A$3:$N$54, 3, FALSE)</f>
        <v>4.484702757042127E-3</v>
      </c>
      <c r="I14" s="5"/>
      <c r="J14" s="50">
        <f>VLOOKUP($A14, Data!$A$3:$G$54, 4, FALSE)/VLOOKUP($A14, Data!$A$3:$G$54, 3, FALSE)</f>
        <v>0.11514263165981016</v>
      </c>
      <c r="K14" s="5"/>
      <c r="L14" s="50">
        <f>VLOOKUP($A14, Data!$A$3:$G$54, 5, FALSE)/VLOOKUP($A14, Data!$A$3:$G$54, 4, FALSE)</f>
        <v>0.41514331941900545</v>
      </c>
      <c r="M14" s="5"/>
      <c r="N14" s="91">
        <f>VLOOKUP($A14, Data!$A$3:$G$54, 6, FALSE)/VLOOKUP($A14, Data!$A$3:$G$54, 5, FALSE)</f>
        <v>9.3820870625693636E-2</v>
      </c>
    </row>
    <row r="15" spans="1:14" x14ac:dyDescent="0.25">
      <c r="A15" s="22" t="s">
        <v>70</v>
      </c>
      <c r="B15" s="23" t="s">
        <v>71</v>
      </c>
      <c r="C15" s="4">
        <f>VLOOKUP($A15, Data!$A$3:$N$54, 7, FALSE)/VLOOKUP($A15, Data!$A$3:$N$54, 3, FALSE)</f>
        <v>89.540089142123762</v>
      </c>
      <c r="D15" s="5"/>
      <c r="E15" s="58">
        <f>VLOOKUP($A15, Data!$A$3:$N$54, 6, FALSE)/VLOOKUP($A15, Data!$A$3:$N$54, 3, FALSE)</f>
        <v>2.2951924533180651E-2</v>
      </c>
      <c r="F15" s="5"/>
      <c r="G15" s="42">
        <f>VLOOKUP($A15, Data!$A$3:$N$54, 7, FALSE)/VLOOKUP($A15, Data!$A$3:$N$54, 6, FALSE)</f>
        <v>3901.2017930208572</v>
      </c>
      <c r="H15" s="58">
        <f>VLOOKUP($A15, Data!$A$3:$N$54, 6, FALSE)/VLOOKUP($A15, Data!$A$3:$N$54, 3, FALSE)</f>
        <v>2.2951924533180651E-2</v>
      </c>
      <c r="I15" s="5"/>
      <c r="J15" s="50">
        <f>VLOOKUP($A15, Data!$A$3:$G$54, 4, FALSE)/VLOOKUP($A15, Data!$A$3:$G$54, 3, FALSE)</f>
        <v>0.13067905150264572</v>
      </c>
      <c r="K15" s="5"/>
      <c r="L15" s="50">
        <f>VLOOKUP($A15, Data!$A$3:$G$54, 5, FALSE)/VLOOKUP($A15, Data!$A$3:$G$54, 4, FALSE)</f>
        <v>0.51621138914478015</v>
      </c>
      <c r="M15" s="5"/>
      <c r="N15" s="91">
        <f>VLOOKUP($A15, Data!$A$3:$G$54, 6, FALSE)/VLOOKUP($A15, Data!$A$3:$G$54, 5, FALSE)</f>
        <v>0.34024014244160128</v>
      </c>
    </row>
    <row r="16" spans="1:14" x14ac:dyDescent="0.25">
      <c r="A16" s="22" t="s">
        <v>88</v>
      </c>
      <c r="B16" s="23" t="s">
        <v>89</v>
      </c>
      <c r="C16" s="4">
        <f>VLOOKUP($A16, Data!$A$3:$N$54, 7, FALSE)/VLOOKUP($A16, Data!$A$3:$N$54, 3, FALSE)</f>
        <v>32.403191230137978</v>
      </c>
      <c r="D16" s="5"/>
      <c r="E16" s="58">
        <f>VLOOKUP($A16, Data!$A$3:$N$54, 6, FALSE)/VLOOKUP($A16, Data!$A$3:$N$54, 3, FALSE)</f>
        <v>7.7791617747181912E-3</v>
      </c>
      <c r="F16" s="5"/>
      <c r="G16" s="42">
        <f>VLOOKUP($A16, Data!$A$3:$N$54, 7, FALSE)/VLOOKUP($A16, Data!$A$3:$N$54, 6, FALSE)</f>
        <v>4165.3833881494029</v>
      </c>
      <c r="H16" s="58">
        <f>VLOOKUP($A16, Data!$A$3:$N$54, 6, FALSE)/VLOOKUP($A16, Data!$A$3:$N$54, 3, FALSE)</f>
        <v>7.7791617747181912E-3</v>
      </c>
      <c r="I16" s="5"/>
      <c r="J16" s="50">
        <f>VLOOKUP($A16, Data!$A$3:$G$54, 4, FALSE)/VLOOKUP($A16, Data!$A$3:$G$54, 3, FALSE)</f>
        <v>0.11314875035530707</v>
      </c>
      <c r="K16" s="5"/>
      <c r="L16" s="50">
        <f>VLOOKUP($A16, Data!$A$3:$G$54, 5, FALSE)/VLOOKUP($A16, Data!$A$3:$G$54, 4, FALSE)</f>
        <v>0.56515854638978491</v>
      </c>
      <c r="M16" s="5"/>
      <c r="N16" s="91">
        <f>VLOOKUP($A16, Data!$A$3:$G$54, 6, FALSE)/VLOOKUP($A16, Data!$A$3:$G$54, 5, FALSE)</f>
        <v>0.12165017606955109</v>
      </c>
    </row>
    <row r="17" spans="1:14" x14ac:dyDescent="0.25">
      <c r="A17" s="22" t="s">
        <v>12</v>
      </c>
      <c r="B17" s="23" t="s">
        <v>13</v>
      </c>
      <c r="C17" s="4">
        <f>VLOOKUP($A17, Data!$A$3:$N$54, 7, FALSE)/VLOOKUP($A17, Data!$A$3:$N$54, 3, FALSE)</f>
        <v>50.239704944472443</v>
      </c>
      <c r="D17" s="5"/>
      <c r="E17" s="58">
        <f>VLOOKUP($A17, Data!$A$3:$N$54, 6, FALSE)/VLOOKUP($A17, Data!$A$3:$N$54, 3, FALSE)</f>
        <v>6.1613637429608747E-3</v>
      </c>
      <c r="F17" s="5"/>
      <c r="G17" s="42">
        <f>VLOOKUP($A17, Data!$A$3:$N$54, 7, FALSE)/VLOOKUP($A17, Data!$A$3:$N$54, 6, FALSE)</f>
        <v>8153.9910708679399</v>
      </c>
      <c r="H17" s="58">
        <f>VLOOKUP($A17, Data!$A$3:$N$54, 6, FALSE)/VLOOKUP($A17, Data!$A$3:$N$54, 3, FALSE)</f>
        <v>6.1613637429608747E-3</v>
      </c>
      <c r="I17" s="5"/>
      <c r="J17" s="50">
        <f>VLOOKUP($A17, Data!$A$3:$G$54, 4, FALSE)/VLOOKUP($A17, Data!$A$3:$G$54, 3, FALSE)</f>
        <v>0.12552778505325987</v>
      </c>
      <c r="K17" s="5"/>
      <c r="L17" s="50">
        <f>VLOOKUP($A17, Data!$A$3:$G$54, 5, FALSE)/VLOOKUP($A17, Data!$A$3:$G$54, 4, FALSE)</f>
        <v>0.35181530473269956</v>
      </c>
      <c r="M17" s="5"/>
      <c r="N17" s="91">
        <f>VLOOKUP($A17, Data!$A$3:$G$54, 6, FALSE)/VLOOKUP($A17, Data!$A$3:$G$54, 5, FALSE)</f>
        <v>0.13951543405207473</v>
      </c>
    </row>
    <row r="18" spans="1:14" x14ac:dyDescent="0.25">
      <c r="A18" s="22" t="s">
        <v>58</v>
      </c>
      <c r="B18" s="23" t="s">
        <v>59</v>
      </c>
      <c r="C18" s="4">
        <f>VLOOKUP($A18, Data!$A$3:$N$54, 7, FALSE)/VLOOKUP($A18, Data!$A$3:$N$54, 3, FALSE)</f>
        <v>62.318095987025458</v>
      </c>
      <c r="D18" s="5"/>
      <c r="E18" s="58">
        <f>VLOOKUP($A18, Data!$A$3:$N$54, 6, FALSE)/VLOOKUP($A18, Data!$A$3:$N$54, 3, FALSE)</f>
        <v>1.5566905814583854E-2</v>
      </c>
      <c r="F18" s="5"/>
      <c r="G18" s="42">
        <f>VLOOKUP($A18, Data!$A$3:$N$54, 7, FALSE)/VLOOKUP($A18, Data!$A$3:$N$54, 6, FALSE)</f>
        <v>4003.2423096337329</v>
      </c>
      <c r="H18" s="58">
        <f>VLOOKUP($A18, Data!$A$3:$N$54, 6, FALSE)/VLOOKUP($A18, Data!$A$3:$N$54, 3, FALSE)</f>
        <v>1.5566905814583854E-2</v>
      </c>
      <c r="I18" s="5"/>
      <c r="J18" s="50">
        <f>VLOOKUP($A18, Data!$A$3:$G$54, 4, FALSE)/VLOOKUP($A18, Data!$A$3:$G$54, 3, FALSE)</f>
        <v>9.6363295223048956E-2</v>
      </c>
      <c r="K18" s="5"/>
      <c r="L18" s="50">
        <f>VLOOKUP($A18, Data!$A$3:$G$54, 5, FALSE)/VLOOKUP($A18, Data!$A$3:$G$54, 4, FALSE)</f>
        <v>0.46590146952964517</v>
      </c>
      <c r="M18" s="5"/>
      <c r="N18" s="91">
        <f>VLOOKUP($A18, Data!$A$3:$G$54, 6, FALSE)/VLOOKUP($A18, Data!$A$3:$G$54, 5, FALSE)</f>
        <v>0.34673411585876546</v>
      </c>
    </row>
    <row r="19" spans="1:14" x14ac:dyDescent="0.25">
      <c r="A19" s="22" t="s">
        <v>46</v>
      </c>
      <c r="B19" s="23" t="s">
        <v>47</v>
      </c>
      <c r="C19" s="4">
        <f>VLOOKUP($A19, Data!$A$3:$N$54, 7, FALSE)/VLOOKUP($A19, Data!$A$3:$N$54, 3, FALSE)</f>
        <v>87.605269011666081</v>
      </c>
      <c r="D19" s="5"/>
      <c r="E19" s="58">
        <f>VLOOKUP($A19, Data!$A$3:$N$54, 6, FALSE)/VLOOKUP($A19, Data!$A$3:$N$54, 3, FALSE)</f>
        <v>3.3926620805159714E-2</v>
      </c>
      <c r="F19" s="5"/>
      <c r="G19" s="42">
        <f>VLOOKUP($A19, Data!$A$3:$N$54, 7, FALSE)/VLOOKUP($A19, Data!$A$3:$N$54, 6, FALSE)</f>
        <v>2582.1984899345671</v>
      </c>
      <c r="H19" s="58">
        <f>VLOOKUP($A19, Data!$A$3:$N$54, 6, FALSE)/VLOOKUP($A19, Data!$A$3:$N$54, 3, FALSE)</f>
        <v>3.3926620805159714E-2</v>
      </c>
      <c r="I19" s="5"/>
      <c r="J19" s="50">
        <f>VLOOKUP($A19, Data!$A$3:$G$54, 4, FALSE)/VLOOKUP($A19, Data!$A$3:$G$54, 3, FALSE)</f>
        <v>7.602838132877883E-2</v>
      </c>
      <c r="K19" s="5"/>
      <c r="L19" s="50">
        <f>VLOOKUP($A19, Data!$A$3:$G$54, 5, FALSE)/VLOOKUP($A19, Data!$A$3:$G$54, 4, FALSE)</f>
        <v>0.48752530009418649</v>
      </c>
      <c r="M19" s="5"/>
      <c r="N19" s="91">
        <f>VLOOKUP($A19, Data!$A$3:$G$54, 6, FALSE)/VLOOKUP($A19, Data!$A$3:$G$54, 5, FALSE)</f>
        <v>0.91530893561345628</v>
      </c>
    </row>
    <row r="20" spans="1:14" x14ac:dyDescent="0.25">
      <c r="A20" s="22" t="s">
        <v>94</v>
      </c>
      <c r="B20" s="23" t="s">
        <v>95</v>
      </c>
      <c r="C20" s="4">
        <f>VLOOKUP($A20, Data!$A$3:$N$54, 7, FALSE)/VLOOKUP($A20, Data!$A$3:$N$54, 3, FALSE)</f>
        <v>34.712860289058369</v>
      </c>
      <c r="D20" s="5"/>
      <c r="E20" s="58">
        <f>VLOOKUP($A20, Data!$A$3:$N$54, 6, FALSE)/VLOOKUP($A20, Data!$A$3:$N$54, 3, FALSE)</f>
        <v>4.1666111205005954E-3</v>
      </c>
      <c r="F20" s="5"/>
      <c r="G20" s="42">
        <f>VLOOKUP($A20, Data!$A$3:$N$54, 7, FALSE)/VLOOKUP($A20, Data!$A$3:$N$54, 6, FALSE)</f>
        <v>8331.1975332336297</v>
      </c>
      <c r="H20" s="58">
        <f>VLOOKUP($A20, Data!$A$3:$N$54, 6, FALSE)/VLOOKUP($A20, Data!$A$3:$N$54, 3, FALSE)</f>
        <v>4.1666111205005954E-3</v>
      </c>
      <c r="I20" s="5"/>
      <c r="J20" s="50">
        <f>VLOOKUP($A20, Data!$A$3:$G$54, 4, FALSE)/VLOOKUP($A20, Data!$A$3:$G$54, 3, FALSE)</f>
        <v>0.13987136192019503</v>
      </c>
      <c r="K20" s="5"/>
      <c r="L20" s="50">
        <f>VLOOKUP($A20, Data!$A$3:$G$54, 5, FALSE)/VLOOKUP($A20, Data!$A$3:$G$54, 4, FALSE)</f>
        <v>0.30710562080366743</v>
      </c>
      <c r="M20" s="5"/>
      <c r="N20" s="91">
        <f>VLOOKUP($A20, Data!$A$3:$G$54, 6, FALSE)/VLOOKUP($A20, Data!$A$3:$G$54, 5, FALSE)</f>
        <v>9.6998808558393268E-2</v>
      </c>
    </row>
    <row r="21" spans="1:14" x14ac:dyDescent="0.25">
      <c r="A21" s="22" t="s">
        <v>104</v>
      </c>
      <c r="B21" s="23" t="s">
        <v>105</v>
      </c>
      <c r="C21" s="4">
        <f>VLOOKUP($A21, Data!$A$3:$N$54, 7, FALSE)/VLOOKUP($A21, Data!$A$3:$N$54, 3, FALSE)</f>
        <v>73.486261685584552</v>
      </c>
      <c r="D21" s="5"/>
      <c r="E21" s="58">
        <f>VLOOKUP($A21, Data!$A$3:$N$54, 6, FALSE)/VLOOKUP($A21, Data!$A$3:$N$54, 3, FALSE)</f>
        <v>1.2027958308236315E-2</v>
      </c>
      <c r="F21" s="5"/>
      <c r="G21" s="42">
        <f>VLOOKUP($A21, Data!$A$3:$N$54, 7, FALSE)/VLOOKUP($A21, Data!$A$3:$N$54, 6, FALSE)</f>
        <v>6109.6205858365656</v>
      </c>
      <c r="H21" s="58">
        <f>VLOOKUP($A21, Data!$A$3:$N$54, 6, FALSE)/VLOOKUP($A21, Data!$A$3:$N$54, 3, FALSE)</f>
        <v>1.2027958308236315E-2</v>
      </c>
      <c r="I21" s="5"/>
      <c r="J21" s="50">
        <f>VLOOKUP($A21, Data!$A$3:$G$54, 4, FALSE)/VLOOKUP($A21, Data!$A$3:$G$54, 3, FALSE)</f>
        <v>9.5811479445197731E-2</v>
      </c>
      <c r="K21" s="5"/>
      <c r="L21" s="50">
        <f>VLOOKUP($A21, Data!$A$3:$G$54, 5, FALSE)/VLOOKUP($A21, Data!$A$3:$G$54, 4, FALSE)</f>
        <v>0.47747732231025375</v>
      </c>
      <c r="M21" s="5"/>
      <c r="N21" s="91">
        <f>VLOOKUP($A21, Data!$A$3:$G$54, 6, FALSE)/VLOOKUP($A21, Data!$A$3:$G$54, 5, FALSE)</f>
        <v>0.26291878589664974</v>
      </c>
    </row>
    <row r="22" spans="1:14" x14ac:dyDescent="0.25">
      <c r="A22" s="22" t="s">
        <v>28</v>
      </c>
      <c r="B22" s="23" t="s">
        <v>29</v>
      </c>
      <c r="C22" s="4">
        <f>VLOOKUP($A22, Data!$A$3:$N$54, 7, FALSE)/VLOOKUP($A22, Data!$A$3:$N$54, 3, FALSE)</f>
        <v>54.07793105232119</v>
      </c>
      <c r="D22" s="5"/>
      <c r="E22" s="58">
        <f>VLOOKUP($A22, Data!$A$3:$N$54, 6, FALSE)/VLOOKUP($A22, Data!$A$3:$N$54, 3, FALSE)</f>
        <v>3.7730318649517262E-3</v>
      </c>
      <c r="F22" s="5"/>
      <c r="G22" s="42">
        <f>VLOOKUP($A22, Data!$A$3:$N$54, 7, FALSE)/VLOOKUP($A22, Data!$A$3:$N$54, 6, FALSE)</f>
        <v>14332.752276666257</v>
      </c>
      <c r="H22" s="58">
        <f>VLOOKUP($A22, Data!$A$3:$N$54, 6, FALSE)/VLOOKUP($A22, Data!$A$3:$N$54, 3, FALSE)</f>
        <v>3.7730318649517262E-3</v>
      </c>
      <c r="I22" s="5"/>
      <c r="J22" s="50">
        <f>VLOOKUP($A22, Data!$A$3:$G$54, 4, FALSE)/VLOOKUP($A22, Data!$A$3:$G$54, 3, FALSE)</f>
        <v>0.12127724954217665</v>
      </c>
      <c r="K22" s="5"/>
      <c r="L22" s="50">
        <f>VLOOKUP($A22, Data!$A$3:$G$54, 5, FALSE)/VLOOKUP($A22, Data!$A$3:$G$54, 4, FALSE)</f>
        <v>0.38980797334200096</v>
      </c>
      <c r="M22" s="5"/>
      <c r="N22" s="91">
        <f>VLOOKUP($A22, Data!$A$3:$G$54, 6, FALSE)/VLOOKUP($A22, Data!$A$3:$G$54, 5, FALSE)</f>
        <v>7.981057061669336E-2</v>
      </c>
    </row>
    <row r="23" spans="1:14" x14ac:dyDescent="0.25">
      <c r="A23" s="22" t="s">
        <v>96</v>
      </c>
      <c r="B23" s="23" t="s">
        <v>97</v>
      </c>
      <c r="C23" s="4">
        <f>VLOOKUP($A23, Data!$A$3:$N$54, 7, FALSE)/VLOOKUP($A23, Data!$A$3:$N$54, 3, FALSE)</f>
        <v>34.55710384873565</v>
      </c>
      <c r="D23" s="5"/>
      <c r="E23" s="58">
        <f>VLOOKUP($A23, Data!$A$3:$N$54, 6, FALSE)/VLOOKUP($A23, Data!$A$3:$N$54, 3, FALSE)</f>
        <v>4.8329801888092579E-3</v>
      </c>
      <c r="F23" s="5"/>
      <c r="G23" s="42">
        <f>VLOOKUP($A23, Data!$A$3:$N$54, 7, FALSE)/VLOOKUP($A23, Data!$A$3:$N$54, 6, FALSE)</f>
        <v>7150.2680538092109</v>
      </c>
      <c r="H23" s="58">
        <f>VLOOKUP($A23, Data!$A$3:$N$54, 6, FALSE)/VLOOKUP($A23, Data!$A$3:$N$54, 3, FALSE)</f>
        <v>4.8329801888092579E-3</v>
      </c>
      <c r="I23" s="5"/>
      <c r="J23" s="50">
        <f>VLOOKUP($A23, Data!$A$3:$G$54, 4, FALSE)/VLOOKUP($A23, Data!$A$3:$G$54, 3, FALSE)</f>
        <v>0.11913666238866105</v>
      </c>
      <c r="K23" s="5"/>
      <c r="L23" s="50">
        <f>VLOOKUP($A23, Data!$A$3:$G$54, 5, FALSE)/VLOOKUP($A23, Data!$A$3:$G$54, 4, FALSE)</f>
        <v>0.23120299620961435</v>
      </c>
      <c r="M23" s="5"/>
      <c r="N23" s="91">
        <f>VLOOKUP($A23, Data!$A$3:$G$54, 6, FALSE)/VLOOKUP($A23, Data!$A$3:$G$54, 5, FALSE)</f>
        <v>0.17545919310667715</v>
      </c>
    </row>
    <row r="24" spans="1:14" x14ac:dyDescent="0.25">
      <c r="A24" s="22" t="s">
        <v>36</v>
      </c>
      <c r="B24" s="23" t="s">
        <v>37</v>
      </c>
      <c r="C24" s="4">
        <f>VLOOKUP($A24, Data!$A$3:$N$54, 7, FALSE)/VLOOKUP($A24, Data!$A$3:$N$54, 3, FALSE)</f>
        <v>34.915867765324187</v>
      </c>
      <c r="D24" s="5"/>
      <c r="E24" s="58">
        <f>VLOOKUP($A24, Data!$A$3:$N$54, 6, FALSE)/VLOOKUP($A24, Data!$A$3:$N$54, 3, FALSE)</f>
        <v>7.3996882591460473E-3</v>
      </c>
      <c r="F24" s="5"/>
      <c r="G24" s="42">
        <f>VLOOKUP($A24, Data!$A$3:$N$54, 7, FALSE)/VLOOKUP($A24, Data!$A$3:$N$54, 6, FALSE)</f>
        <v>4718.5592882467754</v>
      </c>
      <c r="H24" s="58">
        <f>VLOOKUP($A24, Data!$A$3:$N$54, 6, FALSE)/VLOOKUP($A24, Data!$A$3:$N$54, 3, FALSE)</f>
        <v>7.3996882591460473E-3</v>
      </c>
      <c r="I24" s="5"/>
      <c r="J24" s="50">
        <f>VLOOKUP($A24, Data!$A$3:$G$54, 4, FALSE)/VLOOKUP($A24, Data!$A$3:$G$54, 3, FALSE)</f>
        <v>0.10837914301320846</v>
      </c>
      <c r="K24" s="5"/>
      <c r="L24" s="50">
        <f>VLOOKUP($A24, Data!$A$3:$G$54, 5, FALSE)/VLOOKUP($A24, Data!$A$3:$G$54, 4, FALSE)</f>
        <v>0.39803660729682455</v>
      </c>
      <c r="M24" s="5"/>
      <c r="N24" s="91">
        <f>VLOOKUP($A24, Data!$A$3:$G$54, 6, FALSE)/VLOOKUP($A24, Data!$A$3:$G$54, 5, FALSE)</f>
        <v>0.17153181988632121</v>
      </c>
    </row>
    <row r="25" spans="1:14" x14ac:dyDescent="0.25">
      <c r="A25" s="22" t="s">
        <v>38</v>
      </c>
      <c r="B25" s="23" t="s">
        <v>39</v>
      </c>
      <c r="C25" s="4">
        <f>VLOOKUP($A25, Data!$A$3:$N$54, 7, FALSE)/VLOOKUP($A25, Data!$A$3:$N$54, 3, FALSE)</f>
        <v>63.564045928156482</v>
      </c>
      <c r="D25" s="5"/>
      <c r="E25" s="58">
        <f>VLOOKUP($A25, Data!$A$3:$N$54, 6, FALSE)/VLOOKUP($A25, Data!$A$3:$N$54, 3, FALSE)</f>
        <v>1.4150847074229781E-2</v>
      </c>
      <c r="F25" s="5"/>
      <c r="G25" s="42">
        <f>VLOOKUP($A25, Data!$A$3:$N$54, 7, FALSE)/VLOOKUP($A25, Data!$A$3:$N$54, 6, FALSE)</f>
        <v>4491.8898207806551</v>
      </c>
      <c r="H25" s="58">
        <f>VLOOKUP($A25, Data!$A$3:$N$54, 6, FALSE)/VLOOKUP($A25, Data!$A$3:$N$54, 3, FALSE)</f>
        <v>1.4150847074229781E-2</v>
      </c>
      <c r="I25" s="5"/>
      <c r="J25" s="50">
        <f>VLOOKUP($A25, Data!$A$3:$G$54, 4, FALSE)/VLOOKUP($A25, Data!$A$3:$G$54, 3, FALSE)</f>
        <v>8.2837232851889361E-2</v>
      </c>
      <c r="K25" s="5"/>
      <c r="L25" s="50">
        <f>VLOOKUP($A25, Data!$A$3:$G$54, 5, FALSE)/VLOOKUP($A25, Data!$A$3:$G$54, 4, FALSE)</f>
        <v>0.35569236460729281</v>
      </c>
      <c r="M25" s="5"/>
      <c r="N25" s="91">
        <f>VLOOKUP($A25, Data!$A$3:$G$54, 6, FALSE)/VLOOKUP($A25, Data!$A$3:$G$54, 5, FALSE)</f>
        <v>0.48026651952522464</v>
      </c>
    </row>
    <row r="26" spans="1:14" x14ac:dyDescent="0.25">
      <c r="A26" s="22" t="s">
        <v>62</v>
      </c>
      <c r="B26" s="23" t="s">
        <v>63</v>
      </c>
      <c r="C26" s="4">
        <f>VLOOKUP($A26, Data!$A$3:$N$54, 7, FALSE)/VLOOKUP($A26, Data!$A$3:$N$54, 3, FALSE)</f>
        <v>51.501567159570151</v>
      </c>
      <c r="D26" s="5"/>
      <c r="E26" s="58">
        <f>VLOOKUP($A26, Data!$A$3:$N$54, 6, FALSE)/VLOOKUP($A26, Data!$A$3:$N$54, 3, FALSE)</f>
        <v>9.9815786651538396E-3</v>
      </c>
      <c r="F26" s="5"/>
      <c r="G26" s="42">
        <f>VLOOKUP($A26, Data!$A$3:$N$54, 7, FALSE)/VLOOKUP($A26, Data!$A$3:$N$54, 6, FALSE)</f>
        <v>5159.6615011776184</v>
      </c>
      <c r="H26" s="58">
        <f>VLOOKUP($A26, Data!$A$3:$N$54, 6, FALSE)/VLOOKUP($A26, Data!$A$3:$N$54, 3, FALSE)</f>
        <v>9.9815786651538396E-3</v>
      </c>
      <c r="I26" s="5"/>
      <c r="J26" s="50">
        <f>VLOOKUP($A26, Data!$A$3:$G$54, 4, FALSE)/VLOOKUP($A26, Data!$A$3:$G$54, 3, FALSE)</f>
        <v>8.3586622787669179E-2</v>
      </c>
      <c r="K26" s="5"/>
      <c r="L26" s="50">
        <f>VLOOKUP($A26, Data!$A$3:$G$54, 5, FALSE)/VLOOKUP($A26, Data!$A$3:$G$54, 4, FALSE)</f>
        <v>0.53608278027734169</v>
      </c>
      <c r="M26" s="5"/>
      <c r="N26" s="91">
        <f>VLOOKUP($A26, Data!$A$3:$G$54, 6, FALSE)/VLOOKUP($A26, Data!$A$3:$G$54, 5, FALSE)</f>
        <v>0.22275660899273159</v>
      </c>
    </row>
    <row r="27" spans="1:14" x14ac:dyDescent="0.25">
      <c r="A27" s="22" t="s">
        <v>18</v>
      </c>
      <c r="B27" s="23" t="s">
        <v>19</v>
      </c>
      <c r="C27" s="4">
        <f>VLOOKUP($A27, Data!$A$3:$N$54, 7, FALSE)/VLOOKUP($A27, Data!$A$3:$N$54, 3, FALSE)</f>
        <v>61.224420193993836</v>
      </c>
      <c r="D27" s="5"/>
      <c r="E27" s="58">
        <f>VLOOKUP($A27, Data!$A$3:$N$54, 6, FALSE)/VLOOKUP($A27, Data!$A$3:$N$54, 3, FALSE)</f>
        <v>6.7913147049255855E-3</v>
      </c>
      <c r="F27" s="5"/>
      <c r="G27" s="42">
        <f>VLOOKUP($A27, Data!$A$3:$N$54, 7, FALSE)/VLOOKUP($A27, Data!$A$3:$N$54, 6, FALSE)</f>
        <v>9015.1057422783197</v>
      </c>
      <c r="H27" s="58">
        <f>VLOOKUP($A27, Data!$A$3:$N$54, 6, FALSE)/VLOOKUP($A27, Data!$A$3:$N$54, 3, FALSE)</f>
        <v>6.7913147049255855E-3</v>
      </c>
      <c r="I27" s="5"/>
      <c r="J27" s="50">
        <f>VLOOKUP($A27, Data!$A$3:$G$54, 4, FALSE)/VLOOKUP($A27, Data!$A$3:$G$54, 3, FALSE)</f>
        <v>8.137620796663661E-2</v>
      </c>
      <c r="K27" s="5"/>
      <c r="L27" s="50">
        <f>VLOOKUP($A27, Data!$A$3:$G$54, 5, FALSE)/VLOOKUP($A27, Data!$A$3:$G$54, 4, FALSE)</f>
        <v>0.33885851620362983</v>
      </c>
      <c r="M27" s="5"/>
      <c r="N27" s="91">
        <f>VLOOKUP($A27, Data!$A$3:$G$54, 6, FALSE)/VLOOKUP($A27, Data!$A$3:$G$54, 5, FALSE)</f>
        <v>0.24628502309323375</v>
      </c>
    </row>
    <row r="28" spans="1:14" x14ac:dyDescent="0.25">
      <c r="A28" s="22" t="s">
        <v>60</v>
      </c>
      <c r="B28" s="23" t="s">
        <v>61</v>
      </c>
      <c r="C28" s="4">
        <f>VLOOKUP($A28, Data!$A$3:$N$54, 7, FALSE)/VLOOKUP($A28, Data!$A$3:$N$54, 3, FALSE)</f>
        <v>45.934470649308345</v>
      </c>
      <c r="D28" s="5"/>
      <c r="E28" s="58">
        <f>VLOOKUP($A28, Data!$A$3:$N$54, 6, FALSE)/VLOOKUP($A28, Data!$A$3:$N$54, 3, FALSE)</f>
        <v>8.2745752505471119E-3</v>
      </c>
      <c r="F28" s="5"/>
      <c r="G28" s="42">
        <f>VLOOKUP($A28, Data!$A$3:$N$54, 7, FALSE)/VLOOKUP($A28, Data!$A$3:$N$54, 6, FALSE)</f>
        <v>5551.2783748351521</v>
      </c>
      <c r="H28" s="58">
        <f>VLOOKUP($A28, Data!$A$3:$N$54, 6, FALSE)/VLOOKUP($A28, Data!$A$3:$N$54, 3, FALSE)</f>
        <v>8.2745752505471119E-3</v>
      </c>
      <c r="I28" s="5"/>
      <c r="J28" s="50">
        <f>VLOOKUP($A28, Data!$A$3:$G$54, 4, FALSE)/VLOOKUP($A28, Data!$A$3:$G$54, 3, FALSE)</f>
        <v>0.10289486273831215</v>
      </c>
      <c r="K28" s="5"/>
      <c r="L28" s="50">
        <f>VLOOKUP($A28, Data!$A$3:$G$54, 5, FALSE)/VLOOKUP($A28, Data!$A$3:$G$54, 4, FALSE)</f>
        <v>0.51098064043843427</v>
      </c>
      <c r="M28" s="5"/>
      <c r="N28" s="91">
        <f>VLOOKUP($A28, Data!$A$3:$G$54, 6, FALSE)/VLOOKUP($A28, Data!$A$3:$G$54, 5, FALSE)</f>
        <v>0.15737928627092065</v>
      </c>
    </row>
    <row r="29" spans="1:14" x14ac:dyDescent="0.25">
      <c r="A29" s="22" t="s">
        <v>100</v>
      </c>
      <c r="B29" s="23" t="s">
        <v>101</v>
      </c>
      <c r="C29" s="4">
        <f>VLOOKUP($A29, Data!$A$3:$N$54, 7, FALSE)/VLOOKUP($A29, Data!$A$3:$N$54, 3, FALSE)</f>
        <v>34.50593725447527</v>
      </c>
      <c r="D29" s="5"/>
      <c r="E29" s="58">
        <f>VLOOKUP($A29, Data!$A$3:$N$54, 6, FALSE)/VLOOKUP($A29, Data!$A$3:$N$54, 3, FALSE)</f>
        <v>9.465296899258846E-3</v>
      </c>
      <c r="F29" s="5"/>
      <c r="G29" s="42">
        <f>VLOOKUP($A29, Data!$A$3:$N$54, 7, FALSE)/VLOOKUP($A29, Data!$A$3:$N$54, 6, FALSE)</f>
        <v>3645.5208559994735</v>
      </c>
      <c r="H29" s="58">
        <f>VLOOKUP($A29, Data!$A$3:$N$54, 6, FALSE)/VLOOKUP($A29, Data!$A$3:$N$54, 3, FALSE)</f>
        <v>9.465296899258846E-3</v>
      </c>
      <c r="I29" s="5"/>
      <c r="J29" s="50">
        <f>VLOOKUP($A29, Data!$A$3:$G$54, 4, FALSE)/VLOOKUP($A29, Data!$A$3:$G$54, 3, FALSE)</f>
        <v>7.0888500618042277E-2</v>
      </c>
      <c r="K29" s="5"/>
      <c r="L29" s="50">
        <f>VLOOKUP($A29, Data!$A$3:$G$54, 5, FALSE)/VLOOKUP($A29, Data!$A$3:$G$54, 4, FALSE)</f>
        <v>0.38412142023408802</v>
      </c>
      <c r="M29" s="5"/>
      <c r="N29" s="91">
        <f>VLOOKUP($A29, Data!$A$3:$G$54, 6, FALSE)/VLOOKUP($A29, Data!$A$3:$G$54, 5, FALSE)</f>
        <v>0.34760812938507291</v>
      </c>
    </row>
    <row r="30" spans="1:14" x14ac:dyDescent="0.25">
      <c r="A30" s="22" t="s">
        <v>76</v>
      </c>
      <c r="B30" s="23" t="s">
        <v>77</v>
      </c>
      <c r="C30" s="4">
        <f>VLOOKUP($A30, Data!$A$3:$N$54, 7, FALSE)/VLOOKUP($A30, Data!$A$3:$N$54, 3, FALSE)</f>
        <v>56.265763328928152</v>
      </c>
      <c r="D30" s="5"/>
      <c r="E30" s="58">
        <f>VLOOKUP($A30, Data!$A$3:$N$54, 6, FALSE)/VLOOKUP($A30, Data!$A$3:$N$54, 3, FALSE)</f>
        <v>6.3948080412325253E-3</v>
      </c>
      <c r="F30" s="5"/>
      <c r="G30" s="42">
        <f>VLOOKUP($A30, Data!$A$3:$N$54, 7, FALSE)/VLOOKUP($A30, Data!$A$3:$N$54, 6, FALSE)</f>
        <v>8798.6633791252298</v>
      </c>
      <c r="H30" s="58">
        <f>VLOOKUP($A30, Data!$A$3:$N$54, 6, FALSE)/VLOOKUP($A30, Data!$A$3:$N$54, 3, FALSE)</f>
        <v>6.3948080412325253E-3</v>
      </c>
      <c r="I30" s="5"/>
      <c r="J30" s="50">
        <f>VLOOKUP($A30, Data!$A$3:$G$54, 4, FALSE)/VLOOKUP($A30, Data!$A$3:$G$54, 3, FALSE)</f>
        <v>6.6760295533692074E-2</v>
      </c>
      <c r="K30" s="5"/>
      <c r="L30" s="50">
        <f>VLOOKUP($A30, Data!$A$3:$G$54, 5, FALSE)/VLOOKUP($A30, Data!$A$3:$G$54, 4, FALSE)</f>
        <v>0.69347448254068578</v>
      </c>
      <c r="M30" s="5"/>
      <c r="N30" s="91">
        <f>VLOOKUP($A30, Data!$A$3:$G$54, 6, FALSE)/VLOOKUP($A30, Data!$A$3:$G$54, 5, FALSE)</f>
        <v>0.13812706274343128</v>
      </c>
    </row>
    <row r="31" spans="1:14" x14ac:dyDescent="0.25">
      <c r="A31" s="22" t="s">
        <v>98</v>
      </c>
      <c r="B31" s="23" t="s">
        <v>99</v>
      </c>
      <c r="C31" s="4">
        <f>VLOOKUP($A31, Data!$A$3:$N$54, 7, FALSE)/VLOOKUP($A31, Data!$A$3:$N$54, 3, FALSE)</f>
        <v>109.88764710630397</v>
      </c>
      <c r="D31" s="5"/>
      <c r="E31" s="58">
        <f>VLOOKUP($A31, Data!$A$3:$N$54, 6, FALSE)/VLOOKUP($A31, Data!$A$3:$N$54, 3, FALSE)</f>
        <v>1.2880874125390802E-2</v>
      </c>
      <c r="F31" s="5"/>
      <c r="G31" s="42">
        <f>VLOOKUP($A31, Data!$A$3:$N$54, 7, FALSE)/VLOOKUP($A31, Data!$A$3:$N$54, 6, FALSE)</f>
        <v>8531.0706429226921</v>
      </c>
      <c r="H31" s="58">
        <f>VLOOKUP($A31, Data!$A$3:$N$54, 6, FALSE)/VLOOKUP($A31, Data!$A$3:$N$54, 3, FALSE)</f>
        <v>1.2880874125390802E-2</v>
      </c>
      <c r="I31" s="5"/>
      <c r="J31" s="50">
        <f>VLOOKUP($A31, Data!$A$3:$G$54, 4, FALSE)/VLOOKUP($A31, Data!$A$3:$G$54, 3, FALSE)</f>
        <v>6.3013964000322872E-2</v>
      </c>
      <c r="K31" s="5"/>
      <c r="L31" s="50">
        <f>VLOOKUP($A31, Data!$A$3:$G$54, 5, FALSE)/VLOOKUP($A31, Data!$A$3:$G$54, 4, FALSE)</f>
        <v>0.50677614387457093</v>
      </c>
      <c r="M31" s="5"/>
      <c r="N31" s="91">
        <f>VLOOKUP($A31, Data!$A$3:$G$54, 6, FALSE)/VLOOKUP($A31, Data!$A$3:$G$54, 5, FALSE)</f>
        <v>0.40335957722990334</v>
      </c>
    </row>
    <row r="32" spans="1:14" x14ac:dyDescent="0.25">
      <c r="A32" s="22" t="s">
        <v>66</v>
      </c>
      <c r="B32" s="23" t="s">
        <v>67</v>
      </c>
      <c r="C32" s="4">
        <f>VLOOKUP($A32, Data!$A$3:$N$54, 7, FALSE)/VLOOKUP($A32, Data!$A$3:$N$54, 3, FALSE)</f>
        <v>56.996620355880225</v>
      </c>
      <c r="D32" s="5"/>
      <c r="E32" s="58">
        <f>VLOOKUP($A32, Data!$A$3:$N$54, 6, FALSE)/VLOOKUP($A32, Data!$A$3:$N$54, 3, FALSE)</f>
        <v>1.1507769744527479E-2</v>
      </c>
      <c r="F32" s="5"/>
      <c r="G32" s="42">
        <f>VLOOKUP($A32, Data!$A$3:$N$54, 7, FALSE)/VLOOKUP($A32, Data!$A$3:$N$54, 6, FALSE)</f>
        <v>4952.8815418804306</v>
      </c>
      <c r="H32" s="58">
        <f>VLOOKUP($A32, Data!$A$3:$N$54, 6, FALSE)/VLOOKUP($A32, Data!$A$3:$N$54, 3, FALSE)</f>
        <v>1.1507769744527479E-2</v>
      </c>
      <c r="I32" s="5"/>
      <c r="J32" s="50">
        <f>VLOOKUP($A32, Data!$A$3:$G$54, 4, FALSE)/VLOOKUP($A32, Data!$A$3:$G$54, 3, FALSE)</f>
        <v>4.0839422191865725E-2</v>
      </c>
      <c r="K32" s="5"/>
      <c r="L32" s="50">
        <f>VLOOKUP($A32, Data!$A$3:$G$54, 5, FALSE)/VLOOKUP($A32, Data!$A$3:$G$54, 4, FALSE)</f>
        <v>0.41857633645424341</v>
      </c>
      <c r="M32" s="5"/>
      <c r="N32" s="91">
        <f>VLOOKUP($A32, Data!$A$3:$G$54, 6, FALSE)/VLOOKUP($A32, Data!$A$3:$G$54, 5, FALSE)</f>
        <v>0.67318883139041086</v>
      </c>
    </row>
    <row r="33" spans="1:14" x14ac:dyDescent="0.25">
      <c r="A33" s="22" t="s">
        <v>108</v>
      </c>
      <c r="B33" s="23" t="s">
        <v>109</v>
      </c>
      <c r="C33" s="4">
        <f>VLOOKUP($A33, Data!$A$3:$N$54, 7, FALSE)/VLOOKUP($A33, Data!$A$3:$N$54, 3, FALSE)</f>
        <v>53.093225048240939</v>
      </c>
      <c r="D33" s="5"/>
      <c r="E33" s="58">
        <f>VLOOKUP($A33, Data!$A$3:$N$54, 6, FALSE)/VLOOKUP($A33, Data!$A$3:$N$54, 3, FALSE)</f>
        <v>1.1060647204843093E-3</v>
      </c>
      <c r="F33" s="5"/>
      <c r="G33" s="42">
        <f>VLOOKUP($A33, Data!$A$3:$N$54, 7, FALSE)/VLOOKUP($A33, Data!$A$3:$N$54, 6, FALSE)</f>
        <v>48001.915317390434</v>
      </c>
      <c r="H33" s="58">
        <f>VLOOKUP($A33, Data!$A$3:$N$54, 6, FALSE)/VLOOKUP($A33, Data!$A$3:$N$54, 3, FALSE)</f>
        <v>1.1060647204843093E-3</v>
      </c>
      <c r="I33" s="5"/>
      <c r="J33" s="50">
        <f>VLOOKUP($A33, Data!$A$3:$G$54, 4, FALSE)/VLOOKUP($A33, Data!$A$3:$G$54, 3, FALSE)</f>
        <v>8.510726302595209E-2</v>
      </c>
      <c r="K33" s="5"/>
      <c r="L33" s="50">
        <f>VLOOKUP($A33, Data!$A$3:$G$54, 5, FALSE)/VLOOKUP($A33, Data!$A$3:$G$54, 4, FALSE)</f>
        <v>0.42588483888008455</v>
      </c>
      <c r="M33" s="5"/>
      <c r="N33" s="91">
        <f>VLOOKUP($A33, Data!$A$3:$G$54, 6, FALSE)/VLOOKUP($A33, Data!$A$3:$G$54, 5, FALSE)</f>
        <v>3.0515587529976011E-2</v>
      </c>
    </row>
    <row r="34" spans="1:14" x14ac:dyDescent="0.25">
      <c r="A34" s="22" t="s">
        <v>82</v>
      </c>
      <c r="B34" s="23" t="s">
        <v>83</v>
      </c>
      <c r="C34" s="4">
        <f>VLOOKUP($A34, Data!$A$3:$N$54, 7, FALSE)/VLOOKUP($A34, Data!$A$3:$N$54, 3, FALSE)</f>
        <v>90.704863337442134</v>
      </c>
      <c r="D34" s="5"/>
      <c r="E34" s="58">
        <f>VLOOKUP($A34, Data!$A$3:$N$54, 6, FALSE)/VLOOKUP($A34, Data!$A$3:$N$54, 3, FALSE)</f>
        <v>2.4808594460990076E-2</v>
      </c>
      <c r="F34" s="5"/>
      <c r="G34" s="42">
        <f>VLOOKUP($A34, Data!$A$3:$N$54, 7, FALSE)/VLOOKUP($A34, Data!$A$3:$N$54, 6, FALSE)</f>
        <v>3656.187112094146</v>
      </c>
      <c r="H34" s="58">
        <f>VLOOKUP($A34, Data!$A$3:$N$54, 6, FALSE)/VLOOKUP($A34, Data!$A$3:$N$54, 3, FALSE)</f>
        <v>2.4808594460990076E-2</v>
      </c>
      <c r="I34" s="5"/>
      <c r="J34" s="50">
        <f>VLOOKUP($A34, Data!$A$3:$G$54, 4, FALSE)/VLOOKUP($A34, Data!$A$3:$G$54, 3, FALSE)</f>
        <v>9.5165603947605565E-2</v>
      </c>
      <c r="K34" s="5"/>
      <c r="L34" s="50">
        <f>VLOOKUP($A34, Data!$A$3:$G$54, 5, FALSE)/VLOOKUP($A34, Data!$A$3:$G$54, 4, FALSE)</f>
        <v>0.41606949328732884</v>
      </c>
      <c r="M34" s="5"/>
      <c r="N34" s="91">
        <f>VLOOKUP($A34, Data!$A$3:$G$54, 6, FALSE)/VLOOKUP($A34, Data!$A$3:$G$54, 5, FALSE)</f>
        <v>0.62655078407387776</v>
      </c>
    </row>
    <row r="35" spans="1:14" x14ac:dyDescent="0.25">
      <c r="A35" s="22" t="s">
        <v>30</v>
      </c>
      <c r="B35" s="23" t="s">
        <v>31</v>
      </c>
      <c r="C35" s="4">
        <f>VLOOKUP($A35, Data!$A$3:$N$54, 7, FALSE)/VLOOKUP($A35, Data!$A$3:$N$54, 3, FALSE)</f>
        <v>182.88659563314556</v>
      </c>
      <c r="D35" s="5"/>
      <c r="E35" s="58">
        <f>VLOOKUP($A35, Data!$A$3:$N$54, 6, FALSE)/VLOOKUP($A35, Data!$A$3:$N$54, 3, FALSE)</f>
        <v>2.1939500903644358E-2</v>
      </c>
      <c r="F35" s="5"/>
      <c r="G35" s="42">
        <f>VLOOKUP($A35, Data!$A$3:$N$54, 7, FALSE)/VLOOKUP($A35, Data!$A$3:$N$54, 6, FALSE)</f>
        <v>8335.9505959757898</v>
      </c>
      <c r="H35" s="58">
        <f>VLOOKUP($A35, Data!$A$3:$N$54, 6, FALSE)/VLOOKUP($A35, Data!$A$3:$N$54, 3, FALSE)</f>
        <v>2.1939500903644358E-2</v>
      </c>
      <c r="I35" s="5"/>
      <c r="J35" s="50">
        <f>VLOOKUP($A35, Data!$A$3:$G$54, 4, FALSE)/VLOOKUP($A35, Data!$A$3:$G$54, 3, FALSE)</f>
        <v>9.757667224118162E-2</v>
      </c>
      <c r="K35" s="5"/>
      <c r="L35" s="50">
        <f>VLOOKUP($A35, Data!$A$3:$G$54, 5, FALSE)/VLOOKUP($A35, Data!$A$3:$G$54, 4, FALSE)</f>
        <v>0.91734401610156369</v>
      </c>
      <c r="M35" s="5"/>
      <c r="N35" s="91">
        <f>VLOOKUP($A35, Data!$A$3:$G$54, 6, FALSE)/VLOOKUP($A35, Data!$A$3:$G$54, 5, FALSE)</f>
        <v>0.24510293314755807</v>
      </c>
    </row>
    <row r="36" spans="1:14" x14ac:dyDescent="0.25">
      <c r="A36" s="22" t="s">
        <v>78</v>
      </c>
      <c r="B36" s="23" t="s">
        <v>79</v>
      </c>
      <c r="C36" s="4">
        <f>VLOOKUP($A36, Data!$A$3:$N$54, 7, FALSE)/VLOOKUP($A36, Data!$A$3:$N$54, 3, FALSE)</f>
        <v>91.862970237195952</v>
      </c>
      <c r="D36" s="5"/>
      <c r="E36" s="58">
        <f>VLOOKUP($A36, Data!$A$3:$N$54, 6, FALSE)/VLOOKUP($A36, Data!$A$3:$N$54, 3, FALSE)</f>
        <v>1.6418619301189746E-2</v>
      </c>
      <c r="F36" s="5"/>
      <c r="G36" s="42">
        <f>VLOOKUP($A36, Data!$A$3:$N$54, 7, FALSE)/VLOOKUP($A36, Data!$A$3:$N$54, 6, FALSE)</f>
        <v>5595.0484356829729</v>
      </c>
      <c r="H36" s="58">
        <f>VLOOKUP($A36, Data!$A$3:$N$54, 6, FALSE)/VLOOKUP($A36, Data!$A$3:$N$54, 3, FALSE)</f>
        <v>1.6418619301189746E-2</v>
      </c>
      <c r="I36" s="5"/>
      <c r="J36" s="50">
        <f>VLOOKUP($A36, Data!$A$3:$G$54, 4, FALSE)/VLOOKUP($A36, Data!$A$3:$G$54, 3, FALSE)</f>
        <v>9.8608410744655969E-2</v>
      </c>
      <c r="K36" s="5"/>
      <c r="L36" s="50">
        <f>VLOOKUP($A36, Data!$A$3:$G$54, 5, FALSE)/VLOOKUP($A36, Data!$A$3:$G$54, 4, FALSE)</f>
        <v>0.49928050209939367</v>
      </c>
      <c r="M36" s="5"/>
      <c r="N36" s="91">
        <f>VLOOKUP($A36, Data!$A$3:$G$54, 6, FALSE)/VLOOKUP($A36, Data!$A$3:$G$54, 5, FALSE)</f>
        <v>0.33348635371840357</v>
      </c>
    </row>
    <row r="37" spans="1:14" x14ac:dyDescent="0.25">
      <c r="A37" s="22" t="s">
        <v>6</v>
      </c>
      <c r="B37" s="23" t="s">
        <v>7</v>
      </c>
      <c r="C37" s="4">
        <f>VLOOKUP($A37, Data!$A$3:$N$54, 7, FALSE)/VLOOKUP($A37, Data!$A$3:$N$54, 3, FALSE)</f>
        <v>93.940590822679781</v>
      </c>
      <c r="D37" s="5"/>
      <c r="E37" s="58">
        <f>VLOOKUP($A37, Data!$A$3:$N$54, 6, FALSE)/VLOOKUP($A37, Data!$A$3:$N$54, 3, FALSE)</f>
        <v>1.4023558054286294E-2</v>
      </c>
      <c r="F37" s="5"/>
      <c r="G37" s="42">
        <f>VLOOKUP($A37, Data!$A$3:$N$54, 7, FALSE)/VLOOKUP($A37, Data!$A$3:$N$54, 6, FALSE)</f>
        <v>6698.7700595689321</v>
      </c>
      <c r="H37" s="58">
        <f>VLOOKUP($A37, Data!$A$3:$N$54, 6, FALSE)/VLOOKUP($A37, Data!$A$3:$N$54, 3, FALSE)</f>
        <v>1.4023558054286294E-2</v>
      </c>
      <c r="I37" s="5"/>
      <c r="J37" s="50">
        <f>VLOOKUP($A37, Data!$A$3:$G$54, 4, FALSE)/VLOOKUP($A37, Data!$A$3:$G$54, 3, FALSE)</f>
        <v>0.10261440715635096</v>
      </c>
      <c r="K37" s="5"/>
      <c r="L37" s="50">
        <f>VLOOKUP($A37, Data!$A$3:$G$54, 5, FALSE)/VLOOKUP($A37, Data!$A$3:$G$54, 4, FALSE)</f>
        <v>0.43514346248263391</v>
      </c>
      <c r="M37" s="5"/>
      <c r="N37" s="91">
        <f>VLOOKUP($A37, Data!$A$3:$G$54, 6, FALSE)/VLOOKUP($A37, Data!$A$3:$G$54, 5, FALSE)</f>
        <v>0.31406346160993165</v>
      </c>
    </row>
    <row r="38" spans="1:14" x14ac:dyDescent="0.25">
      <c r="A38" s="22" t="s">
        <v>106</v>
      </c>
      <c r="B38" s="23" t="s">
        <v>107</v>
      </c>
      <c r="C38" s="4">
        <f>VLOOKUP($A38, Data!$A$3:$N$54, 7, FALSE)/VLOOKUP($A38, Data!$A$3:$N$54, 3, FALSE)</f>
        <v>92.911987145569697</v>
      </c>
      <c r="D38" s="5"/>
      <c r="E38" s="58">
        <f>VLOOKUP($A38, Data!$A$3:$N$54, 6, FALSE)/VLOOKUP($A38, Data!$A$3:$N$54, 3, FALSE)</f>
        <v>1.1151933697518596E-2</v>
      </c>
      <c r="F38" s="5"/>
      <c r="G38" s="42">
        <f>VLOOKUP($A38, Data!$A$3:$N$54, 7, FALSE)/VLOOKUP($A38, Data!$A$3:$N$54, 6, FALSE)</f>
        <v>8331.4687538218986</v>
      </c>
      <c r="H38" s="58">
        <f>VLOOKUP($A38, Data!$A$3:$N$54, 6, FALSE)/VLOOKUP($A38, Data!$A$3:$N$54, 3, FALSE)</f>
        <v>1.1151933697518596E-2</v>
      </c>
      <c r="I38" s="5"/>
      <c r="J38" s="50">
        <f>VLOOKUP($A38, Data!$A$3:$G$54, 4, FALSE)/VLOOKUP($A38, Data!$A$3:$G$54, 3, FALSE)</f>
        <v>8.5346940436774571E-2</v>
      </c>
      <c r="K38" s="5"/>
      <c r="L38" s="50">
        <f>VLOOKUP($A38, Data!$A$3:$G$54, 5, FALSE)/VLOOKUP($A38, Data!$A$3:$G$54, 4, FALSE)</f>
        <v>0.43395197525155871</v>
      </c>
      <c r="M38" s="5"/>
      <c r="N38" s="91">
        <f>VLOOKUP($A38, Data!$A$3:$G$54, 6, FALSE)/VLOOKUP($A38, Data!$A$3:$G$54, 5, FALSE)</f>
        <v>0.30110679226471465</v>
      </c>
    </row>
    <row r="39" spans="1:14" x14ac:dyDescent="0.25">
      <c r="A39" s="22" t="s">
        <v>52</v>
      </c>
      <c r="B39" s="23" t="s">
        <v>53</v>
      </c>
      <c r="C39" s="4">
        <f>VLOOKUP($A39, Data!$A$3:$N$54, 7, FALSE)/VLOOKUP($A39, Data!$A$3:$N$54, 3, FALSE)</f>
        <v>154.98526103914824</v>
      </c>
      <c r="D39" s="5"/>
      <c r="E39" s="58">
        <f>VLOOKUP($A39, Data!$A$3:$N$54, 6, FALSE)/VLOOKUP($A39, Data!$A$3:$N$54, 3, FALSE)</f>
        <v>1.3157038970300914E-2</v>
      </c>
      <c r="F39" s="5"/>
      <c r="G39" s="42">
        <f>VLOOKUP($A39, Data!$A$3:$N$54, 7, FALSE)/VLOOKUP($A39, Data!$A$3:$N$54, 6, FALSE)</f>
        <v>11779.645966618551</v>
      </c>
      <c r="H39" s="58">
        <f>VLOOKUP($A39, Data!$A$3:$N$54, 6, FALSE)/VLOOKUP($A39, Data!$A$3:$N$54, 3, FALSE)</f>
        <v>1.3157038970300914E-2</v>
      </c>
      <c r="I39" s="5"/>
      <c r="J39" s="50">
        <f>VLOOKUP($A39, Data!$A$3:$G$54, 4, FALSE)/VLOOKUP($A39, Data!$A$3:$G$54, 3, FALSE)</f>
        <v>9.5626131909373385E-2</v>
      </c>
      <c r="K39" s="5"/>
      <c r="L39" s="50">
        <f>VLOOKUP($A39, Data!$A$3:$G$54, 5, FALSE)/VLOOKUP($A39, Data!$A$3:$G$54, 4, FALSE)</f>
        <v>0.52638139052484123</v>
      </c>
      <c r="M39" s="5"/>
      <c r="N39" s="91">
        <f>VLOOKUP($A39, Data!$A$3:$G$54, 6, FALSE)/VLOOKUP($A39, Data!$A$3:$G$54, 5, FALSE)</f>
        <v>0.26138523106120948</v>
      </c>
    </row>
    <row r="40" spans="1:14" x14ac:dyDescent="0.25">
      <c r="A40" s="22" t="s">
        <v>84</v>
      </c>
      <c r="B40" s="23" t="s">
        <v>85</v>
      </c>
      <c r="C40" s="4">
        <f>VLOOKUP($A40, Data!$A$3:$N$54, 7, FALSE)/VLOOKUP($A40, Data!$A$3:$N$54, 3, FALSE)</f>
        <v>71.746160330581532</v>
      </c>
      <c r="D40" s="5"/>
      <c r="E40" s="58">
        <f>VLOOKUP($A40, Data!$A$3:$N$54, 6, FALSE)/VLOOKUP($A40, Data!$A$3:$N$54, 3, FALSE)</f>
        <v>1.3801089299737243E-2</v>
      </c>
      <c r="F40" s="5"/>
      <c r="G40" s="42">
        <f>VLOOKUP($A40, Data!$A$3:$N$54, 7, FALSE)/VLOOKUP($A40, Data!$A$3:$N$54, 6, FALSE)</f>
        <v>5198.586776186391</v>
      </c>
      <c r="H40" s="58">
        <f>VLOOKUP($A40, Data!$A$3:$N$54, 6, FALSE)/VLOOKUP($A40, Data!$A$3:$N$54, 3, FALSE)</f>
        <v>1.3801089299737243E-2</v>
      </c>
      <c r="I40" s="5"/>
      <c r="J40" s="50">
        <f>VLOOKUP($A40, Data!$A$3:$G$54, 4, FALSE)/VLOOKUP($A40, Data!$A$3:$G$54, 3, FALSE)</f>
        <v>7.7611311744712141E-2</v>
      </c>
      <c r="K40" s="5"/>
      <c r="L40" s="50">
        <f>VLOOKUP($A40, Data!$A$3:$G$54, 5, FALSE)/VLOOKUP($A40, Data!$A$3:$G$54, 4, FALSE)</f>
        <v>0.4966392975416819</v>
      </c>
      <c r="M40" s="5"/>
      <c r="N40" s="91">
        <f>VLOOKUP($A40, Data!$A$3:$G$54, 6, FALSE)/VLOOKUP($A40, Data!$A$3:$G$54, 5, FALSE)</f>
        <v>0.35805295418203953</v>
      </c>
    </row>
    <row r="41" spans="1:14" x14ac:dyDescent="0.25">
      <c r="A41" s="22" t="s">
        <v>34</v>
      </c>
      <c r="B41" s="23" t="s">
        <v>35</v>
      </c>
      <c r="C41" s="4">
        <f>VLOOKUP($A41, Data!$A$3:$N$54, 7, FALSE)/VLOOKUP($A41, Data!$A$3:$N$54, 3, FALSE)</f>
        <v>92.971934531462267</v>
      </c>
      <c r="D41" s="5"/>
      <c r="E41" s="58">
        <f>VLOOKUP($A41, Data!$A$3:$N$54, 6, FALSE)/VLOOKUP($A41, Data!$A$3:$N$54, 3, FALSE)</f>
        <v>6.8789415544029077E-3</v>
      </c>
      <c r="F41" s="5"/>
      <c r="G41" s="42">
        <f>VLOOKUP($A41, Data!$A$3:$N$54, 7, FALSE)/VLOOKUP($A41, Data!$A$3:$N$54, 6, FALSE)</f>
        <v>13515.441844676674</v>
      </c>
      <c r="H41" s="58">
        <f>VLOOKUP($A41, Data!$A$3:$N$54, 6, FALSE)/VLOOKUP($A41, Data!$A$3:$N$54, 3, FALSE)</f>
        <v>6.8789415544029077E-3</v>
      </c>
      <c r="I41" s="5"/>
      <c r="J41" s="50">
        <f>VLOOKUP($A41, Data!$A$3:$G$54, 4, FALSE)/VLOOKUP($A41, Data!$A$3:$G$54, 3, FALSE)</f>
        <v>0.10587885968968956</v>
      </c>
      <c r="K41" s="5"/>
      <c r="L41" s="50">
        <f>VLOOKUP($A41, Data!$A$3:$G$54, 5, FALSE)/VLOOKUP($A41, Data!$A$3:$G$54, 4, FALSE)</f>
        <v>0.29599548687018745</v>
      </c>
      <c r="M41" s="5"/>
      <c r="N41" s="91">
        <f>VLOOKUP($A41, Data!$A$3:$G$54, 6, FALSE)/VLOOKUP($A41, Data!$A$3:$G$54, 5, FALSE)</f>
        <v>0.21949633594133494</v>
      </c>
    </row>
    <row r="42" spans="1:14" x14ac:dyDescent="0.25">
      <c r="A42" s="22" t="s">
        <v>22</v>
      </c>
      <c r="B42" s="23" t="s">
        <v>23</v>
      </c>
      <c r="C42" s="4">
        <f>VLOOKUP($A42, Data!$A$3:$N$54, 7, FALSE)/VLOOKUP($A42, Data!$A$3:$N$54, 3, FALSE)</f>
        <v>98.311846526529649</v>
      </c>
      <c r="D42" s="5"/>
      <c r="E42" s="58">
        <f>VLOOKUP($A42, Data!$A$3:$N$54, 6, FALSE)/VLOOKUP($A42, Data!$A$3:$N$54, 3, FALSE)</f>
        <v>1.6879891373938152E-2</v>
      </c>
      <c r="F42" s="5"/>
      <c r="G42" s="42">
        <f>VLOOKUP($A42, Data!$A$3:$N$54, 7, FALSE)/VLOOKUP($A42, Data!$A$3:$N$54, 6, FALSE)</f>
        <v>5824.1990039295533</v>
      </c>
      <c r="H42" s="58">
        <f>VLOOKUP($A42, Data!$A$3:$N$54, 6, FALSE)/VLOOKUP($A42, Data!$A$3:$N$54, 3, FALSE)</f>
        <v>1.6879891373938152E-2</v>
      </c>
      <c r="I42" s="5"/>
      <c r="J42" s="50">
        <f>VLOOKUP($A42, Data!$A$3:$G$54, 4, FALSE)/VLOOKUP($A42, Data!$A$3:$G$54, 3, FALSE)</f>
        <v>9.2695832728652922E-2</v>
      </c>
      <c r="K42" s="5"/>
      <c r="L42" s="50">
        <f>VLOOKUP($A42, Data!$A$3:$G$54, 5, FALSE)/VLOOKUP($A42, Data!$A$3:$G$54, 4, FALSE)</f>
        <v>0.55647550460041428</v>
      </c>
      <c r="M42" s="5"/>
      <c r="N42" s="91">
        <f>VLOOKUP($A42, Data!$A$3:$G$54, 6, FALSE)/VLOOKUP($A42, Data!$A$3:$G$54, 5, FALSE)</f>
        <v>0.32723774049364407</v>
      </c>
    </row>
    <row r="43" spans="1:14" x14ac:dyDescent="0.25">
      <c r="A43" s="22" t="s">
        <v>10</v>
      </c>
      <c r="B43" s="23" t="s">
        <v>11</v>
      </c>
      <c r="C43" s="4">
        <f>VLOOKUP($A43, Data!$A$3:$N$54, 7, FALSE)/VLOOKUP($A43, Data!$A$3:$N$54, 3, FALSE)</f>
        <v>102.21110359489757</v>
      </c>
      <c r="D43" s="5"/>
      <c r="E43" s="58">
        <f>VLOOKUP($A43, Data!$A$3:$N$54, 6, FALSE)/VLOOKUP($A43, Data!$A$3:$N$54, 3, FALSE)</f>
        <v>1.4277017462420513E-2</v>
      </c>
      <c r="F43" s="5"/>
      <c r="G43" s="42">
        <f>VLOOKUP($A43, Data!$A$3:$N$54, 7, FALSE)/VLOOKUP($A43, Data!$A$3:$N$54, 6, FALSE)</f>
        <v>7159.1355732339898</v>
      </c>
      <c r="H43" s="58">
        <f>VLOOKUP($A43, Data!$A$3:$N$54, 6, FALSE)/VLOOKUP($A43, Data!$A$3:$N$54, 3, FALSE)</f>
        <v>1.4277017462420513E-2</v>
      </c>
      <c r="I43" s="5"/>
      <c r="J43" s="50">
        <f>VLOOKUP($A43, Data!$A$3:$G$54, 4, FALSE)/VLOOKUP($A43, Data!$A$3:$G$54, 3, FALSE)</f>
        <v>9.5178949043861844E-2</v>
      </c>
      <c r="K43" s="5"/>
      <c r="L43" s="50">
        <f>VLOOKUP($A43, Data!$A$3:$G$54, 5, FALSE)/VLOOKUP($A43, Data!$A$3:$G$54, 4, FALSE)</f>
        <v>0.91015170065995754</v>
      </c>
      <c r="M43" s="5"/>
      <c r="N43" s="91">
        <f>VLOOKUP($A43, Data!$A$3:$G$54, 6, FALSE)/VLOOKUP($A43, Data!$A$3:$G$54, 5, FALSE)</f>
        <v>0.16480971210086975</v>
      </c>
    </row>
    <row r="44" spans="1:14" x14ac:dyDescent="0.25">
      <c r="A44" s="22" t="s">
        <v>50</v>
      </c>
      <c r="B44" s="23" t="s">
        <v>51</v>
      </c>
      <c r="C44" s="4">
        <f>VLOOKUP($A44, Data!$A$3:$N$54, 7, FALSE)/VLOOKUP($A44, Data!$A$3:$N$54, 3, FALSE)</f>
        <v>157.82651624359733</v>
      </c>
      <c r="D44" s="5"/>
      <c r="E44" s="58">
        <f>VLOOKUP($A44, Data!$A$3:$N$54, 6, FALSE)/VLOOKUP($A44, Data!$A$3:$N$54, 3, FALSE)</f>
        <v>1.4989675011649436E-2</v>
      </c>
      <c r="F44" s="5"/>
      <c r="G44" s="42">
        <f>VLOOKUP($A44, Data!$A$3:$N$54, 7, FALSE)/VLOOKUP($A44, Data!$A$3:$N$54, 6, FALSE)</f>
        <v>10529.015213534665</v>
      </c>
      <c r="H44" s="58">
        <f>VLOOKUP($A44, Data!$A$3:$N$54, 6, FALSE)/VLOOKUP($A44, Data!$A$3:$N$54, 3, FALSE)</f>
        <v>1.4989675011649436E-2</v>
      </c>
      <c r="I44" s="5"/>
      <c r="J44" s="50">
        <f>VLOOKUP($A44, Data!$A$3:$G$54, 4, FALSE)/VLOOKUP($A44, Data!$A$3:$G$54, 3, FALSE)</f>
        <v>6.4158794465054902E-2</v>
      </c>
      <c r="K44" s="5"/>
      <c r="L44" s="50">
        <f>VLOOKUP($A44, Data!$A$3:$G$54, 5, FALSE)/VLOOKUP($A44, Data!$A$3:$G$54, 4, FALSE)</f>
        <v>0.56872912176402279</v>
      </c>
      <c r="M44" s="5"/>
      <c r="N44" s="91">
        <f>VLOOKUP($A44, Data!$A$3:$G$54, 6, FALSE)/VLOOKUP($A44, Data!$A$3:$G$54, 5, FALSE)</f>
        <v>0.41080011377876952</v>
      </c>
    </row>
    <row r="45" spans="1:14" x14ac:dyDescent="0.25">
      <c r="A45" s="22" t="s">
        <v>102</v>
      </c>
      <c r="B45" s="23" t="s">
        <v>103</v>
      </c>
      <c r="C45" s="4">
        <f>VLOOKUP($A45, Data!$A$3:$N$54, 7, FALSE)/VLOOKUP($A45, Data!$A$3:$N$54, 3, FALSE)</f>
        <v>144.58124644458866</v>
      </c>
      <c r="D45" s="5"/>
      <c r="E45" s="58">
        <f>VLOOKUP($A45, Data!$A$3:$N$54, 6, FALSE)/VLOOKUP($A45, Data!$A$3:$N$54, 3, FALSE)</f>
        <v>1.8754227014860257E-2</v>
      </c>
      <c r="F45" s="5"/>
      <c r="G45" s="42">
        <f>VLOOKUP($A45, Data!$A$3:$N$54, 7, FALSE)/VLOOKUP($A45, Data!$A$3:$N$54, 6, FALSE)</f>
        <v>7709.261828281542</v>
      </c>
      <c r="H45" s="58">
        <f>VLOOKUP($A45, Data!$A$3:$N$54, 6, FALSE)/VLOOKUP($A45, Data!$A$3:$N$54, 3, FALSE)</f>
        <v>1.8754227014860257E-2</v>
      </c>
      <c r="I45" s="5"/>
      <c r="J45" s="50">
        <f>VLOOKUP($A45, Data!$A$3:$G$54, 4, FALSE)/VLOOKUP($A45, Data!$A$3:$G$54, 3, FALSE)</f>
        <v>9.9059101564654556E-2</v>
      </c>
      <c r="K45" s="5"/>
      <c r="L45" s="50">
        <f>VLOOKUP($A45, Data!$A$3:$G$54, 5, FALSE)/VLOOKUP($A45, Data!$A$3:$G$54, 4, FALSE)</f>
        <v>0.38161652199225254</v>
      </c>
      <c r="M45" s="5"/>
      <c r="N45" s="91">
        <f>VLOOKUP($A45, Data!$A$3:$G$54, 6, FALSE)/VLOOKUP($A45, Data!$A$3:$G$54, 5, FALSE)</f>
        <v>0.49610958161157032</v>
      </c>
    </row>
    <row r="46" spans="1:14" x14ac:dyDescent="0.25">
      <c r="A46" s="22" t="s">
        <v>64</v>
      </c>
      <c r="B46" s="23" t="s">
        <v>65</v>
      </c>
      <c r="C46" s="4">
        <f>VLOOKUP($A46, Data!$A$3:$N$54, 7, FALSE)/VLOOKUP($A46, Data!$A$3:$N$54, 3, FALSE)</f>
        <v>36.521122617064492</v>
      </c>
      <c r="D46" s="5"/>
      <c r="E46" s="58">
        <f>VLOOKUP($A46, Data!$A$3:$N$54, 6, FALSE)/VLOOKUP($A46, Data!$A$3:$N$54, 3, FALSE)</f>
        <v>1.0125931551269616E-2</v>
      </c>
      <c r="F46" s="5"/>
      <c r="G46" s="42">
        <f>VLOOKUP($A46, Data!$A$3:$N$54, 7, FALSE)/VLOOKUP($A46, Data!$A$3:$N$54, 6, FALSE)</f>
        <v>3606.6926220220575</v>
      </c>
      <c r="H46" s="58">
        <f>VLOOKUP($A46, Data!$A$3:$N$54, 6, FALSE)/VLOOKUP($A46, Data!$A$3:$N$54, 3, FALSE)</f>
        <v>1.0125931551269616E-2</v>
      </c>
      <c r="I46" s="5"/>
      <c r="J46" s="50">
        <f>VLOOKUP($A46, Data!$A$3:$G$54, 4, FALSE)/VLOOKUP($A46, Data!$A$3:$G$54, 3, FALSE)</f>
        <v>0.1158157703589731</v>
      </c>
      <c r="K46" s="5"/>
      <c r="L46" s="50">
        <f>VLOOKUP($A46, Data!$A$3:$G$54, 5, FALSE)/VLOOKUP($A46, Data!$A$3:$G$54, 4, FALSE)</f>
        <v>0.5380282594733462</v>
      </c>
      <c r="M46" s="5"/>
      <c r="N46" s="91">
        <f>VLOOKUP($A46, Data!$A$3:$G$54, 6, FALSE)/VLOOKUP($A46, Data!$A$3:$G$54, 5, FALSE)</f>
        <v>0.16250330565631801</v>
      </c>
    </row>
    <row r="47" spans="1:14" x14ac:dyDescent="0.25">
      <c r="A47" s="22" t="s">
        <v>16</v>
      </c>
      <c r="B47" s="23" t="s">
        <v>17</v>
      </c>
      <c r="C47" s="4">
        <f>VLOOKUP($A47, Data!$A$3:$N$54, 7, FALSE)/VLOOKUP($A47, Data!$A$3:$N$54, 3, FALSE)</f>
        <v>163.4416854464109</v>
      </c>
      <c r="D47" s="5"/>
      <c r="E47" s="58">
        <f>VLOOKUP($A47, Data!$A$3:$N$54, 6, FALSE)/VLOOKUP($A47, Data!$A$3:$N$54, 3, FALSE)</f>
        <v>3.7836848929939611E-2</v>
      </c>
      <c r="F47" s="5"/>
      <c r="G47" s="42">
        <f>VLOOKUP($A47, Data!$A$3:$N$54, 7, FALSE)/VLOOKUP($A47, Data!$A$3:$N$54, 6, FALSE)</f>
        <v>4319.6431539277173</v>
      </c>
      <c r="H47" s="58">
        <f>VLOOKUP($A47, Data!$A$3:$N$54, 6, FALSE)/VLOOKUP($A47, Data!$A$3:$N$54, 3, FALSE)</f>
        <v>3.7836848929939611E-2</v>
      </c>
      <c r="I47" s="5"/>
      <c r="J47" s="50">
        <f>VLOOKUP($A47, Data!$A$3:$G$54, 4, FALSE)/VLOOKUP($A47, Data!$A$3:$G$54, 3, FALSE)</f>
        <v>0.11547220188046889</v>
      </c>
      <c r="K47" s="5"/>
      <c r="L47" s="50">
        <f>VLOOKUP($A47, Data!$A$3:$G$54, 5, FALSE)/VLOOKUP($A47, Data!$A$3:$G$54, 4, FALSE)</f>
        <v>0.54039653922168362</v>
      </c>
      <c r="M47" s="5"/>
      <c r="N47" s="91">
        <f>VLOOKUP($A47, Data!$A$3:$G$54, 6, FALSE)/VLOOKUP($A47, Data!$A$3:$G$54, 5, FALSE)</f>
        <v>0.60635219587648048</v>
      </c>
    </row>
    <row r="48" spans="1:14" x14ac:dyDescent="0.25">
      <c r="A48" s="22" t="s">
        <v>20</v>
      </c>
      <c r="B48" s="23" t="s">
        <v>21</v>
      </c>
      <c r="C48" s="4">
        <f>VLOOKUP($A48, Data!$A$3:$N$54, 7, FALSE)/VLOOKUP($A48, Data!$A$3:$N$54, 3, FALSE)</f>
        <v>132.38680860111413</v>
      </c>
      <c r="D48" s="5"/>
      <c r="E48" s="58">
        <f>VLOOKUP($A48, Data!$A$3:$N$54, 6, FALSE)/VLOOKUP($A48, Data!$A$3:$N$54, 3, FALSE)</f>
        <v>8.6410037267927245E-3</v>
      </c>
      <c r="F48" s="5"/>
      <c r="G48" s="42">
        <f>VLOOKUP($A48, Data!$A$3:$N$54, 7, FALSE)/VLOOKUP($A48, Data!$A$3:$N$54, 6, FALSE)</f>
        <v>15320.767446336009</v>
      </c>
      <c r="H48" s="58">
        <f>VLOOKUP($A48, Data!$A$3:$N$54, 6, FALSE)/VLOOKUP($A48, Data!$A$3:$N$54, 3, FALSE)</f>
        <v>8.6410037267927245E-3</v>
      </c>
      <c r="I48" s="5"/>
      <c r="J48" s="50">
        <f>VLOOKUP($A48, Data!$A$3:$G$54, 4, FALSE)/VLOOKUP($A48, Data!$A$3:$G$54, 3, FALSE)</f>
        <v>6.5801357921444675E-2</v>
      </c>
      <c r="K48" s="5"/>
      <c r="L48" s="50">
        <f>VLOOKUP($A48, Data!$A$3:$G$54, 5, FALSE)/VLOOKUP($A48, Data!$A$3:$G$54, 4, FALSE)</f>
        <v>0.33764233491734558</v>
      </c>
      <c r="M48" s="5"/>
      <c r="N48" s="91">
        <f>VLOOKUP($A48, Data!$A$3:$G$54, 6, FALSE)/VLOOKUP($A48, Data!$A$3:$G$54, 5, FALSE)</f>
        <v>0.38893089358974353</v>
      </c>
    </row>
    <row r="49" spans="1:14" x14ac:dyDescent="0.25">
      <c r="A49" s="22" t="s">
        <v>72</v>
      </c>
      <c r="B49" s="23" t="s">
        <v>73</v>
      </c>
      <c r="C49" s="4">
        <f>VLOOKUP($A49, Data!$A$3:$N$54, 7, FALSE)/VLOOKUP($A49, Data!$A$3:$N$54, 3, FALSE)</f>
        <v>251.88676353462802</v>
      </c>
      <c r="D49" s="5"/>
      <c r="E49" s="58">
        <f>VLOOKUP($A49, Data!$A$3:$N$54, 6, FALSE)/VLOOKUP($A49, Data!$A$3:$N$54, 3, FALSE)</f>
        <v>2.0244871844092252E-2</v>
      </c>
      <c r="F49" s="5"/>
      <c r="G49" s="42">
        <f>VLOOKUP($A49, Data!$A$3:$N$54, 7, FALSE)/VLOOKUP($A49, Data!$A$3:$N$54, 6, FALSE)</f>
        <v>12442.003361366411</v>
      </c>
      <c r="H49" s="58">
        <f>VLOOKUP($A49, Data!$A$3:$N$54, 6, FALSE)/VLOOKUP($A49, Data!$A$3:$N$54, 3, FALSE)</f>
        <v>2.0244871844092252E-2</v>
      </c>
      <c r="I49" s="5"/>
      <c r="J49" s="50">
        <f>VLOOKUP($A49, Data!$A$3:$G$54, 4, FALSE)/VLOOKUP($A49, Data!$A$3:$G$54, 3, FALSE)</f>
        <v>9.330599763925311E-2</v>
      </c>
      <c r="K49" s="5"/>
      <c r="L49" s="50">
        <f>VLOOKUP($A49, Data!$A$3:$G$54, 5, FALSE)/VLOOKUP($A49, Data!$A$3:$G$54, 4, FALSE)</f>
        <v>0.56778672566174326</v>
      </c>
      <c r="M49" s="5"/>
      <c r="N49" s="91">
        <f>VLOOKUP($A49, Data!$A$3:$G$54, 6, FALSE)/VLOOKUP($A49, Data!$A$3:$G$54, 5, FALSE)</f>
        <v>0.38213800874289305</v>
      </c>
    </row>
    <row r="50" spans="1:14" x14ac:dyDescent="0.25">
      <c r="A50" s="22" t="s">
        <v>86</v>
      </c>
      <c r="B50" s="23" t="s">
        <v>87</v>
      </c>
      <c r="C50" s="4">
        <f>VLOOKUP($A50, Data!$A$3:$N$54, 7, FALSE)/VLOOKUP($A50, Data!$A$3:$N$54, 3, FALSE)</f>
        <v>136.77366724184031</v>
      </c>
      <c r="D50" s="5"/>
      <c r="E50" s="58">
        <f>VLOOKUP($A50, Data!$A$3:$N$54, 6, FALSE)/VLOOKUP($A50, Data!$A$3:$N$54, 3, FALSE)</f>
        <v>1.4833871963863767E-2</v>
      </c>
      <c r="F50" s="5"/>
      <c r="G50" s="42">
        <f>VLOOKUP($A50, Data!$A$3:$N$54, 7, FALSE)/VLOOKUP($A50, Data!$A$3:$N$54, 6, FALSE)</f>
        <v>9220.3618566365858</v>
      </c>
      <c r="H50" s="58">
        <f>VLOOKUP($A50, Data!$A$3:$N$54, 6, FALSE)/VLOOKUP($A50, Data!$A$3:$N$54, 3, FALSE)</f>
        <v>1.4833871963863767E-2</v>
      </c>
      <c r="I50" s="5"/>
      <c r="J50" s="50">
        <f>VLOOKUP($A50, Data!$A$3:$G$54, 4, FALSE)/VLOOKUP($A50, Data!$A$3:$G$54, 3, FALSE)</f>
        <v>7.9325873388696205E-2</v>
      </c>
      <c r="K50" s="5"/>
      <c r="L50" s="50">
        <f>VLOOKUP($A50, Data!$A$3:$G$54, 5, FALSE)/VLOOKUP($A50, Data!$A$3:$G$54, 4, FALSE)</f>
        <v>0.57368989014719796</v>
      </c>
      <c r="M50" s="5"/>
      <c r="N50" s="91">
        <f>VLOOKUP($A50, Data!$A$3:$G$54, 6, FALSE)/VLOOKUP($A50, Data!$A$3:$G$54, 5, FALSE)</f>
        <v>0.32595861747712995</v>
      </c>
    </row>
    <row r="51" spans="1:14" x14ac:dyDescent="0.25">
      <c r="A51" s="22" t="s">
        <v>48</v>
      </c>
      <c r="B51" s="23" t="s">
        <v>49</v>
      </c>
      <c r="C51" s="4">
        <f>VLOOKUP($A51, Data!$A$3:$N$54, 7, FALSE)/VLOOKUP($A51, Data!$A$3:$N$54, 3, FALSE)</f>
        <v>94.32285345876403</v>
      </c>
      <c r="D51" s="5"/>
      <c r="E51" s="58">
        <f>VLOOKUP($A51, Data!$A$3:$N$54, 6, FALSE)/VLOOKUP($A51, Data!$A$3:$N$54, 3, FALSE)</f>
        <v>1.016217403485206E-2</v>
      </c>
      <c r="F51" s="5"/>
      <c r="G51" s="42">
        <f>VLOOKUP($A51, Data!$A$3:$N$54, 7, FALSE)/VLOOKUP($A51, Data!$A$3:$N$54, 6, FALSE)</f>
        <v>9281.7593100920731</v>
      </c>
      <c r="H51" s="58">
        <f>VLOOKUP($A51, Data!$A$3:$N$54, 6, FALSE)/VLOOKUP($A51, Data!$A$3:$N$54, 3, FALSE)</f>
        <v>1.016217403485206E-2</v>
      </c>
      <c r="I51" s="5"/>
      <c r="J51" s="50">
        <f>VLOOKUP($A51, Data!$A$3:$G$54, 4, FALSE)/VLOOKUP($A51, Data!$A$3:$G$54, 3, FALSE)</f>
        <v>6.9696298427906672E-2</v>
      </c>
      <c r="K51" s="5"/>
      <c r="L51" s="50">
        <f>VLOOKUP($A51, Data!$A$3:$G$54, 5, FALSE)/VLOOKUP($A51, Data!$A$3:$G$54, 4, FALSE)</f>
        <v>0.49893560140995685</v>
      </c>
      <c r="M51" s="5"/>
      <c r="N51" s="91">
        <f>VLOOKUP($A51, Data!$A$3:$G$54, 6, FALSE)/VLOOKUP($A51, Data!$A$3:$G$54, 5, FALSE)</f>
        <v>0.29223512935258961</v>
      </c>
    </row>
    <row r="52" spans="1:14" x14ac:dyDescent="0.25">
      <c r="A52" s="22" t="s">
        <v>54</v>
      </c>
      <c r="B52" s="23" t="s">
        <v>55</v>
      </c>
      <c r="C52" s="4">
        <f>VLOOKUP($A52, Data!$A$3:$N$54, 7, FALSE)/VLOOKUP($A52, Data!$A$3:$N$54, 3, FALSE)</f>
        <v>83.552034820058822</v>
      </c>
      <c r="D52" s="5"/>
      <c r="E52" s="58">
        <f>VLOOKUP($A52, Data!$A$3:$N$54, 6, FALSE)/VLOOKUP($A52, Data!$A$3:$N$54, 3, FALSE)</f>
        <v>9.1611419075212277E-3</v>
      </c>
      <c r="F52" s="5"/>
      <c r="G52" s="42">
        <f>VLOOKUP($A52, Data!$A$3:$N$54, 7, FALSE)/VLOOKUP($A52, Data!$A$3:$N$54, 6, FALSE)</f>
        <v>9120.2642272644243</v>
      </c>
      <c r="H52" s="58">
        <f>VLOOKUP($A52, Data!$A$3:$N$54, 6, FALSE)/VLOOKUP($A52, Data!$A$3:$N$54, 3, FALSE)</f>
        <v>9.1611419075212277E-3</v>
      </c>
      <c r="I52" s="5"/>
      <c r="J52" s="50">
        <f>VLOOKUP($A52, Data!$A$3:$G$54, 4, FALSE)/VLOOKUP($A52, Data!$A$3:$G$54, 3, FALSE)</f>
        <v>7.3316000305719997E-2</v>
      </c>
      <c r="K52" s="5"/>
      <c r="L52" s="50">
        <f>VLOOKUP($A52, Data!$A$3:$G$54, 5, FALSE)/VLOOKUP($A52, Data!$A$3:$G$54, 4, FALSE)</f>
        <v>0.35017365895253494</v>
      </c>
      <c r="M52" s="5"/>
      <c r="N52" s="91">
        <f>VLOOKUP($A52, Data!$A$3:$G$54, 6, FALSE)/VLOOKUP($A52, Data!$A$3:$G$54, 5, FALSE)</f>
        <v>0.35683493971647795</v>
      </c>
    </row>
    <row r="53" spans="1:14" x14ac:dyDescent="0.25">
      <c r="A53" s="22" t="s">
        <v>68</v>
      </c>
      <c r="B53" s="23" t="s">
        <v>69</v>
      </c>
      <c r="C53" s="4">
        <f>VLOOKUP($A53, Data!$A$3:$N$54, 7, FALSE)/VLOOKUP($A53, Data!$A$3:$N$54, 3, FALSE)</f>
        <v>119.36426753164983</v>
      </c>
      <c r="D53" s="5"/>
      <c r="E53" s="58">
        <f>VLOOKUP($A53, Data!$A$3:$N$54, 6, FALSE)/VLOOKUP($A53, Data!$A$3:$N$54, 3, FALSE)</f>
        <v>9.5621541021761371E-3</v>
      </c>
      <c r="F53" s="5"/>
      <c r="G53" s="42">
        <f>VLOOKUP($A53, Data!$A$3:$N$54, 7, FALSE)/VLOOKUP($A53, Data!$A$3:$N$54, 6, FALSE)</f>
        <v>12482.989319789893</v>
      </c>
      <c r="H53" s="58">
        <f>VLOOKUP($A53, Data!$A$3:$N$54, 6, FALSE)/VLOOKUP($A53, Data!$A$3:$N$54, 3, FALSE)</f>
        <v>9.5621541021761371E-3</v>
      </c>
      <c r="I53" s="5"/>
      <c r="J53" s="50">
        <f>VLOOKUP($A53, Data!$A$3:$G$54, 4, FALSE)/VLOOKUP($A53, Data!$A$3:$G$54, 3, FALSE)</f>
        <v>7.2016409510287316E-2</v>
      </c>
      <c r="K53" s="5"/>
      <c r="L53" s="50">
        <f>VLOOKUP($A53, Data!$A$3:$G$54, 5, FALSE)/VLOOKUP($A53, Data!$A$3:$G$54, 4, FALSE)</f>
        <v>0.41696435564122603</v>
      </c>
      <c r="M53" s="5"/>
      <c r="N53" s="91">
        <f>VLOOKUP($A53, Data!$A$3:$G$54, 6, FALSE)/VLOOKUP($A53, Data!$A$3:$G$54, 5, FALSE)</f>
        <v>0.31843833358888357</v>
      </c>
    </row>
    <row r="54" spans="1:14" x14ac:dyDescent="0.25">
      <c r="A54" s="24" t="s">
        <v>24</v>
      </c>
      <c r="B54" s="25" t="s">
        <v>25</v>
      </c>
      <c r="C54" s="30">
        <f>VLOOKUP($A54, Data!$A$3:$N$54, 7, FALSE)/VLOOKUP($A54, Data!$A$3:$N$54, 3, FALSE)</f>
        <v>278.53938027855918</v>
      </c>
      <c r="D54" s="7"/>
      <c r="E54" s="60">
        <f>VLOOKUP($A54, Data!$A$3:$N$54, 6, FALSE)/VLOOKUP($A54, Data!$A$3:$N$54, 3, FALSE)</f>
        <v>3.0621296052627991E-2</v>
      </c>
      <c r="F54" s="7"/>
      <c r="G54" s="43">
        <f>VLOOKUP($A54, Data!$A$3:$N$54, 7, FALSE)/VLOOKUP($A54, Data!$A$3:$N$54, 6, FALSE)</f>
        <v>9096.2635872708033</v>
      </c>
      <c r="H54" s="60">
        <f>VLOOKUP($A54, Data!$A$3:$N$54, 6, FALSE)/VLOOKUP($A54, Data!$A$3:$N$54, 3, FALSE)</f>
        <v>3.0621296052627991E-2</v>
      </c>
      <c r="I54" s="7"/>
      <c r="J54" s="52">
        <f>VLOOKUP($A54, Data!$A$3:$G$54, 4, FALSE)/VLOOKUP($A54, Data!$A$3:$G$54, 3, FALSE)</f>
        <v>8.6465802864049979E-2</v>
      </c>
      <c r="K54" s="7"/>
      <c r="L54" s="52">
        <f>VLOOKUP($A54, Data!$A$3:$G$54, 5, FALSE)/VLOOKUP($A54, Data!$A$3:$G$54, 4, FALSE)</f>
        <v>0.79461804570974881</v>
      </c>
      <c r="M54" s="7"/>
      <c r="N54" s="92">
        <f>VLOOKUP($A54, Data!$A$3:$G$54, 6, FALSE)/VLOOKUP($A54, Data!$A$3:$G$54, 5, FALSE)</f>
        <v>0.44567755851344332</v>
      </c>
    </row>
  </sheetData>
  <mergeCells count="2">
    <mergeCell ref="C1:G1"/>
    <mergeCell ref="H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B22" workbookViewId="0">
      <selection activeCell="L15" sqref="L15"/>
    </sheetView>
  </sheetViews>
  <sheetFormatPr defaultRowHeight="15" x14ac:dyDescent="0.25"/>
  <cols>
    <col min="2" max="2" width="19.140625" bestFit="1" customWidth="1"/>
    <col min="3" max="3" width="16.28515625" style="8" customWidth="1"/>
    <col min="4" max="4" width="2.5703125" bestFit="1" customWidth="1"/>
    <col min="5" max="5" width="15.85546875" style="53" customWidth="1"/>
    <col min="6" max="6" width="2.28515625" bestFit="1" customWidth="1"/>
    <col min="7" max="7" width="17.5703125" style="8" customWidth="1"/>
    <col min="8" max="8" width="19.42578125" customWidth="1"/>
    <col min="9" max="9" width="4.28515625" bestFit="1" customWidth="1"/>
    <col min="10" max="10" width="45.140625" bestFit="1" customWidth="1"/>
    <col min="11" max="11" width="4" bestFit="1" customWidth="1"/>
    <col min="12" max="12" width="29.5703125" customWidth="1"/>
    <col min="13" max="13" width="2" bestFit="1" customWidth="1"/>
    <col min="14" max="14" width="18.5703125" bestFit="1" customWidth="1"/>
    <col min="15" max="15" width="15.85546875" customWidth="1"/>
    <col min="17" max="17" width="10.7109375" style="62" customWidth="1"/>
    <col min="19" max="19" width="11.5703125" bestFit="1" customWidth="1"/>
  </cols>
  <sheetData>
    <row r="1" spans="1:19" x14ac:dyDescent="0.25">
      <c r="A1" s="1"/>
      <c r="B1" s="1"/>
      <c r="C1" s="113" t="s">
        <v>110</v>
      </c>
      <c r="D1" s="114"/>
      <c r="E1" s="114"/>
      <c r="F1" s="114"/>
      <c r="G1" s="115"/>
      <c r="H1" s="113" t="s">
        <v>111</v>
      </c>
      <c r="I1" s="114"/>
      <c r="J1" s="114"/>
      <c r="K1" s="114"/>
      <c r="L1" s="114"/>
      <c r="M1" s="114"/>
      <c r="N1" s="114"/>
      <c r="O1" s="116" t="s">
        <v>140</v>
      </c>
      <c r="P1" s="117"/>
      <c r="Q1" s="117"/>
      <c r="R1" s="117"/>
      <c r="S1" s="118"/>
    </row>
    <row r="2" spans="1:19" s="3" customFormat="1" ht="45.75" customHeight="1" x14ac:dyDescent="0.25">
      <c r="A2" s="45" t="s">
        <v>0</v>
      </c>
      <c r="B2" s="71" t="s">
        <v>1</v>
      </c>
      <c r="C2" s="72" t="s">
        <v>112</v>
      </c>
      <c r="D2" s="73" t="s">
        <v>113</v>
      </c>
      <c r="E2" s="74" t="s">
        <v>114</v>
      </c>
      <c r="F2" s="73" t="s">
        <v>115</v>
      </c>
      <c r="G2" s="70" t="s">
        <v>116</v>
      </c>
      <c r="H2" s="68" t="s">
        <v>117</v>
      </c>
      <c r="I2" s="68" t="s">
        <v>113</v>
      </c>
      <c r="J2" s="68" t="s">
        <v>118</v>
      </c>
      <c r="K2" s="96" t="s">
        <v>115</v>
      </c>
      <c r="L2" s="96" t="s">
        <v>119</v>
      </c>
      <c r="M2" s="96" t="s">
        <v>115</v>
      </c>
      <c r="N2" s="76" t="s">
        <v>120</v>
      </c>
      <c r="O2" s="68" t="s">
        <v>116</v>
      </c>
      <c r="P2" s="68" t="s">
        <v>113</v>
      </c>
      <c r="Q2" s="69" t="s">
        <v>141</v>
      </c>
      <c r="R2" s="68" t="s">
        <v>115</v>
      </c>
      <c r="S2" s="70" t="s">
        <v>142</v>
      </c>
    </row>
    <row r="3" spans="1:19" x14ac:dyDescent="0.25">
      <c r="A3" s="26" t="s">
        <v>56</v>
      </c>
      <c r="B3" s="47" t="s">
        <v>57</v>
      </c>
      <c r="C3" s="4">
        <f>VLOOKUP($A3, Data!$A$3:$N$54, 11, FALSE)/VLOOKUP($A3, Data!$A$3:$N$54, 3, FALSE)</f>
        <v>27.598267569176592</v>
      </c>
      <c r="D3" s="5"/>
      <c r="E3" s="54">
        <f>VLOOKUP($A3, Data!$A$3:$N$54, 10, FALSE)/VLOOKUP($A3, Data!$A$3:$N$54, 3, FALSE)</f>
        <v>7.3990229872094304E-3</v>
      </c>
      <c r="F3" s="5"/>
      <c r="G3" s="41">
        <f>VLOOKUP($A3, Data!$A$3:$N$54, 11, FALSE)/VLOOKUP($A3, Data!$A$3:$N$54, 10, FALSE)</f>
        <v>3729.9880831408777</v>
      </c>
      <c r="H3" s="54">
        <f>VLOOKUP($A3, Data!$A$3:$N$54, 10, FALSE)/VLOOKUP($A3, Data!$A$3:$N$54, 3, FALSE)</f>
        <v>7.3990229872094304E-3</v>
      </c>
      <c r="I3" s="5"/>
      <c r="J3" s="54">
        <f>VLOOKUP($A3, Data!$A$3:$N$54, 8, FALSE)/VLOOKUP($A3, Data!$A$3:$N$54, 3, FALSE)</f>
        <v>0.13429209633972211</v>
      </c>
      <c r="K3" s="5"/>
      <c r="L3" s="54">
        <f>VLOOKUP($A3, Data!$A$3:$N$54, 9, FALSE)/VLOOKUP($A3, Data!$A$3:$N$54, 8, FALSE)</f>
        <v>0.2736463187147376</v>
      </c>
      <c r="M3" s="5"/>
      <c r="N3" s="94">
        <f>VLOOKUP($A3, Data!$A$3:$N$54, 10, FALSE)/VLOOKUP($A3, Data!$A$3:$N$54, 9, FALSE)</f>
        <v>0.20134196980335445</v>
      </c>
      <c r="O3" s="61">
        <f>VLOOKUP($A3, Data!$A$3:$N$54, 11, FALSE)/VLOOKUP($A3, Data!$A$3:$N$54, 10, FALSE)</f>
        <v>3729.9880831408777</v>
      </c>
      <c r="P3" s="5"/>
      <c r="Q3" s="50">
        <f>VLOOKUP($A3, Data!$A$3:$N$54, 12, FALSE)/VLOOKUP($A3, Data!$A$3:$N$54, 10, FALSE)</f>
        <v>0.14240184757505775</v>
      </c>
      <c r="R3" s="5"/>
      <c r="S3" s="41">
        <f>VLOOKUP($A3, Data!$A$3:$N$54, 11, FALSE)/VLOOKUP($A3, Data!$A$3:$N$54, 12, FALSE)</f>
        <v>26193.396691534221</v>
      </c>
    </row>
    <row r="4" spans="1:19" x14ac:dyDescent="0.25">
      <c r="A4" s="27" t="s">
        <v>32</v>
      </c>
      <c r="B4" s="49" t="s">
        <v>33</v>
      </c>
      <c r="C4" s="4">
        <f>VLOOKUP($A4, Data!$A$3:$N$54, 11, FALSE)/VLOOKUP($A4, Data!$A$3:$N$54, 3, FALSE)</f>
        <v>14.332094702333935</v>
      </c>
      <c r="D4" s="5"/>
      <c r="E4" s="54">
        <f>VLOOKUP($A4, Data!$A$3:$N$54, 10, FALSE)/VLOOKUP($A4, Data!$A$3:$N$54, 3, FALSE)</f>
        <v>4.1066681382227492E-3</v>
      </c>
      <c r="F4" s="5"/>
      <c r="G4" s="42">
        <f>VLOOKUP($A4, Data!$A$3:$N$54, 11, FALSE)/VLOOKUP($A4, Data!$A$3:$N$54, 10, FALSE)</f>
        <v>3489.9568749999999</v>
      </c>
      <c r="H4" s="54">
        <f>VLOOKUP($A4, Data!$A$3:$N$54, 10, FALSE)/VLOOKUP($A4, Data!$A$3:$N$54, 3, FALSE)</f>
        <v>4.1066681382227492E-3</v>
      </c>
      <c r="I4" s="5"/>
      <c r="J4" s="54">
        <f>VLOOKUP($A4, Data!$A$3:$N$54, 8, FALSE)/VLOOKUP($A4, Data!$A$3:$N$54, 3, FALSE)</f>
        <v>0.14234802600804267</v>
      </c>
      <c r="K4" s="5"/>
      <c r="L4" s="54">
        <f>VLOOKUP($A4, Data!$A$3:$N$54, 9, FALSE)/VLOOKUP($A4, Data!$A$3:$N$54, 8, FALSE)</f>
        <v>0.14283202834462522</v>
      </c>
      <c r="M4" s="5"/>
      <c r="N4" s="94">
        <f>VLOOKUP($A4, Data!$A$3:$N$54, 10, FALSE)/VLOOKUP($A4, Data!$A$3:$N$54, 9, FALSE)</f>
        <v>0.2019819478634097</v>
      </c>
      <c r="O4" s="61">
        <f>VLOOKUP($A4, Data!$A$3:$N$54, 11, FALSE)/VLOOKUP($A4, Data!$A$3:$N$54, 10, FALSE)</f>
        <v>3489.9568749999999</v>
      </c>
      <c r="P4" s="5"/>
      <c r="Q4" s="50">
        <f>VLOOKUP($A4, Data!$A$3:$N$54, 12, FALSE)/VLOOKUP($A4, Data!$A$3:$N$54, 10, FALSE)</f>
        <v>0.15796874999999999</v>
      </c>
      <c r="R4" s="5"/>
      <c r="S4" s="42">
        <f>VLOOKUP($A4, Data!$A$3:$N$54, 11, FALSE)/VLOOKUP($A4, Data!$A$3:$N$54, 12, FALSE)</f>
        <v>22092.704253214641</v>
      </c>
    </row>
    <row r="5" spans="1:19" x14ac:dyDescent="0.25">
      <c r="A5" s="27" t="s">
        <v>80</v>
      </c>
      <c r="B5" s="49" t="s">
        <v>81</v>
      </c>
      <c r="C5" s="4">
        <f>VLOOKUP($A5, Data!$A$3:$N$54, 11, FALSE)/VLOOKUP($A5, Data!$A$3:$N$54, 3, FALSE)</f>
        <v>35.536010597242324</v>
      </c>
      <c r="D5" s="5"/>
      <c r="E5" s="54">
        <f>VLOOKUP($A5, Data!$A$3:$N$54, 10, FALSE)/VLOOKUP($A5, Data!$A$3:$N$54, 3, FALSE)</f>
        <v>7.0776967566186519E-3</v>
      </c>
      <c r="F5" s="5"/>
      <c r="G5" s="42">
        <f>VLOOKUP($A5, Data!$A$3:$N$54, 11, FALSE)/VLOOKUP($A5, Data!$A$3:$N$54, 10, FALSE)</f>
        <v>5020.8439015151516</v>
      </c>
      <c r="H5" s="54">
        <f>VLOOKUP($A5, Data!$A$3:$N$54, 10, FALSE)/VLOOKUP($A5, Data!$A$3:$N$54, 3, FALSE)</f>
        <v>7.0776967566186519E-3</v>
      </c>
      <c r="I5" s="5"/>
      <c r="J5" s="54">
        <f>VLOOKUP($A5, Data!$A$3:$N$54, 8, FALSE)/VLOOKUP($A5, Data!$A$3:$N$54, 3, FALSE)</f>
        <v>0.12162539306015747</v>
      </c>
      <c r="K5" s="5"/>
      <c r="L5" s="54">
        <f>VLOOKUP($A5, Data!$A$3:$N$54, 9, FALSE)/VLOOKUP($A5, Data!$A$3:$N$54, 8, FALSE)</f>
        <v>0.313035360816107</v>
      </c>
      <c r="M5" s="5"/>
      <c r="N5" s="94">
        <f>VLOOKUP($A5, Data!$A$3:$N$54, 10, FALSE)/VLOOKUP($A5, Data!$A$3:$N$54, 9, FALSE)</f>
        <v>0.18589781957349125</v>
      </c>
      <c r="O5" s="61">
        <f>VLOOKUP($A5, Data!$A$3:$N$54, 11, FALSE)/VLOOKUP($A5, Data!$A$3:$N$54, 10, FALSE)</f>
        <v>5020.8439015151516</v>
      </c>
      <c r="P5" s="5"/>
      <c r="Q5" s="50">
        <f>VLOOKUP($A5, Data!$A$3:$N$54, 12, FALSE)/VLOOKUP($A5, Data!$A$3:$N$54, 10, FALSE)</f>
        <v>9.670454545454546E-2</v>
      </c>
      <c r="R5" s="5"/>
      <c r="S5" s="42">
        <f>VLOOKUP($A5, Data!$A$3:$N$54, 11, FALSE)/VLOOKUP($A5, Data!$A$3:$N$54, 12, FALSE)</f>
        <v>51919.419898159031</v>
      </c>
    </row>
    <row r="6" spans="1:19" x14ac:dyDescent="0.25">
      <c r="A6" s="27" t="s">
        <v>92</v>
      </c>
      <c r="B6" s="49" t="s">
        <v>93</v>
      </c>
      <c r="C6" s="4">
        <f>VLOOKUP($A6, Data!$A$3:$N$54, 11, FALSE)/VLOOKUP($A6, Data!$A$3:$N$54, 3, FALSE)</f>
        <v>30.651367782934692</v>
      </c>
      <c r="D6" s="5"/>
      <c r="E6" s="54">
        <f>VLOOKUP($A6, Data!$A$3:$N$54, 10, FALSE)/VLOOKUP($A6, Data!$A$3:$N$54, 3, FALSE)</f>
        <v>6.7254912417488112E-3</v>
      </c>
      <c r="F6" s="5"/>
      <c r="G6" s="42">
        <f>VLOOKUP($A6, Data!$A$3:$N$54, 11, FALSE)/VLOOKUP($A6, Data!$A$3:$N$54, 10, FALSE)</f>
        <v>4557.4912941176472</v>
      </c>
      <c r="H6" s="54">
        <f>VLOOKUP($A6, Data!$A$3:$N$54, 10, FALSE)/VLOOKUP($A6, Data!$A$3:$N$54, 3, FALSE)</f>
        <v>6.7254912417488112E-3</v>
      </c>
      <c r="I6" s="5"/>
      <c r="J6" s="54">
        <f>VLOOKUP($A6, Data!$A$3:$N$54, 8, FALSE)/VLOOKUP($A6, Data!$A$3:$N$54, 3, FALSE)</f>
        <v>0.10549542263066086</v>
      </c>
      <c r="K6" s="5"/>
      <c r="L6" s="54">
        <f>VLOOKUP($A6, Data!$A$3:$N$54, 9, FALSE)/VLOOKUP($A6, Data!$A$3:$N$54, 8, FALSE)</f>
        <v>0.24697330387264102</v>
      </c>
      <c r="M6" s="5"/>
      <c r="N6" s="94">
        <f>VLOOKUP($A6, Data!$A$3:$N$54, 10, FALSE)/VLOOKUP($A6, Data!$A$3:$N$54, 9, FALSE)</f>
        <v>0.25813113061435211</v>
      </c>
      <c r="O6" s="61">
        <f>VLOOKUP($A6, Data!$A$3:$N$54, 11, FALSE)/VLOOKUP($A6, Data!$A$3:$N$54, 10, FALSE)</f>
        <v>4557.4912941176472</v>
      </c>
      <c r="P6" s="5"/>
      <c r="Q6" s="50">
        <f>VLOOKUP($A6, Data!$A$3:$N$54, 12, FALSE)/VLOOKUP($A6, Data!$A$3:$N$54, 10, FALSE)</f>
        <v>0.14799999999999999</v>
      </c>
      <c r="R6" s="5"/>
      <c r="S6" s="42">
        <f>VLOOKUP($A6, Data!$A$3:$N$54, 11, FALSE)/VLOOKUP($A6, Data!$A$3:$N$54, 12, FALSE)</f>
        <v>30793.860095389507</v>
      </c>
    </row>
    <row r="7" spans="1:19" x14ac:dyDescent="0.25">
      <c r="A7" s="27" t="s">
        <v>42</v>
      </c>
      <c r="B7" s="49" t="s">
        <v>43</v>
      </c>
      <c r="C7" s="4">
        <f>VLOOKUP($A7, Data!$A$3:$N$54, 11, FALSE)/VLOOKUP($A7, Data!$A$3:$N$54, 3, FALSE)</f>
        <v>33.729532789298609</v>
      </c>
      <c r="D7" s="5"/>
      <c r="E7" s="54">
        <f>VLOOKUP($A7, Data!$A$3:$N$54, 10, FALSE)/VLOOKUP($A7, Data!$A$3:$N$54, 3, FALSE)</f>
        <v>6.4508663291840927E-3</v>
      </c>
      <c r="F7" s="5"/>
      <c r="G7" s="42">
        <f>VLOOKUP($A7, Data!$A$3:$N$54, 11, FALSE)/VLOOKUP($A7, Data!$A$3:$N$54, 10, FALSE)</f>
        <v>5228.6826401446651</v>
      </c>
      <c r="H7" s="54">
        <f>VLOOKUP($A7, Data!$A$3:$N$54, 10, FALSE)/VLOOKUP($A7, Data!$A$3:$N$54, 3, FALSE)</f>
        <v>6.4508663291840927E-3</v>
      </c>
      <c r="I7" s="5"/>
      <c r="J7" s="54">
        <f>VLOOKUP($A7, Data!$A$3:$N$54, 8, FALSE)/VLOOKUP($A7, Data!$A$3:$N$54, 3, FALSE)</f>
        <v>0.11063970663373031</v>
      </c>
      <c r="K7" s="5"/>
      <c r="L7" s="54">
        <f>VLOOKUP($A7, Data!$A$3:$N$54, 9, FALSE)/VLOOKUP($A7, Data!$A$3:$N$54, 8, FALSE)</f>
        <v>0.25536818709948145</v>
      </c>
      <c r="M7" s="5"/>
      <c r="N7" s="94">
        <f>VLOOKUP($A7, Data!$A$3:$N$54, 10, FALSE)/VLOOKUP($A7, Data!$A$3:$N$54, 9, FALSE)</f>
        <v>0.22831804331849748</v>
      </c>
      <c r="O7" s="61">
        <f>VLOOKUP($A7, Data!$A$3:$N$54, 11, FALSE)/VLOOKUP($A7, Data!$A$3:$N$54, 10, FALSE)</f>
        <v>5228.6826401446651</v>
      </c>
      <c r="P7" s="5"/>
      <c r="Q7" s="50">
        <f>VLOOKUP($A7, Data!$A$3:$N$54, 12, FALSE)/VLOOKUP($A7, Data!$A$3:$N$54, 10, FALSE)</f>
        <v>0.13265822784810127</v>
      </c>
      <c r="R7" s="5"/>
      <c r="S7" s="42">
        <f>VLOOKUP($A7, Data!$A$3:$N$54, 11, FALSE)/VLOOKUP($A7, Data!$A$3:$N$54, 12, FALSE)</f>
        <v>39414.687840785169</v>
      </c>
    </row>
    <row r="8" spans="1:19" x14ac:dyDescent="0.25">
      <c r="A8" s="27" t="s">
        <v>90</v>
      </c>
      <c r="B8" s="49" t="s">
        <v>91</v>
      </c>
      <c r="C8" s="4">
        <f>VLOOKUP($A8, Data!$A$3:$N$54, 11, FALSE)/VLOOKUP($A8, Data!$A$3:$N$54, 3, FALSE)</f>
        <v>18.610273899313945</v>
      </c>
      <c r="D8" s="5"/>
      <c r="E8" s="54">
        <f>VLOOKUP($A8, Data!$A$3:$N$54, 10, FALSE)/VLOOKUP($A8, Data!$A$3:$N$54, 3, FALSE)</f>
        <v>6.9675486421989586E-3</v>
      </c>
      <c r="F8" s="5"/>
      <c r="G8" s="42">
        <f>VLOOKUP($A8, Data!$A$3:$N$54, 11, FALSE)/VLOOKUP($A8, Data!$A$3:$N$54, 10, FALSE)</f>
        <v>2670.9930357142857</v>
      </c>
      <c r="H8" s="54">
        <f>VLOOKUP($A8, Data!$A$3:$N$54, 10, FALSE)/VLOOKUP($A8, Data!$A$3:$N$54, 3, FALSE)</f>
        <v>6.9675486421989586E-3</v>
      </c>
      <c r="I8" s="5"/>
      <c r="J8" s="54">
        <f>VLOOKUP($A8, Data!$A$3:$N$54, 8, FALSE)/VLOOKUP($A8, Data!$A$3:$N$54, 3, FALSE)</f>
        <v>0.10272033006273282</v>
      </c>
      <c r="K8" s="5"/>
      <c r="L8" s="54">
        <f>VLOOKUP($A8, Data!$A$3:$N$54, 9, FALSE)/VLOOKUP($A8, Data!$A$3:$N$54, 8, FALSE)</f>
        <v>0.28784869002773772</v>
      </c>
      <c r="M8" s="5"/>
      <c r="N8" s="94">
        <f>VLOOKUP($A8, Data!$A$3:$N$54, 10, FALSE)/VLOOKUP($A8, Data!$A$3:$N$54, 9, FALSE)</f>
        <v>0.23564560584064465</v>
      </c>
      <c r="O8" s="61">
        <f>VLOOKUP($A8, Data!$A$3:$N$54, 11, FALSE)/VLOOKUP($A8, Data!$A$3:$N$54, 10, FALSE)</f>
        <v>2670.9930357142857</v>
      </c>
      <c r="P8" s="5"/>
      <c r="Q8" s="50">
        <f>VLOOKUP($A8, Data!$A$3:$N$54, 12, FALSE)/VLOOKUP($A8, Data!$A$3:$N$54, 10, FALSE)</f>
        <v>0.37732142857142859</v>
      </c>
      <c r="R8" s="5"/>
      <c r="S8" s="42">
        <f>VLOOKUP($A8, Data!$A$3:$N$54, 11, FALSE)/VLOOKUP($A8, Data!$A$3:$N$54, 12, FALSE)</f>
        <v>7078.8267865593943</v>
      </c>
    </row>
    <row r="9" spans="1:19" x14ac:dyDescent="0.25">
      <c r="A9" s="27" t="s">
        <v>14</v>
      </c>
      <c r="B9" s="49" t="s">
        <v>15</v>
      </c>
      <c r="C9" s="4">
        <f>VLOOKUP($A9, Data!$A$3:$N$54, 11, FALSE)/VLOOKUP($A9, Data!$A$3:$N$54, 3, FALSE)</f>
        <v>20.265880976550921</v>
      </c>
      <c r="D9" s="5"/>
      <c r="E9" s="54">
        <f>VLOOKUP($A9, Data!$A$3:$N$54, 10, FALSE)/VLOOKUP($A9, Data!$A$3:$N$54, 3, FALSE)</f>
        <v>2.7814383733457352E-3</v>
      </c>
      <c r="F9" s="5"/>
      <c r="G9" s="42">
        <f>VLOOKUP($A9, Data!$A$3:$N$54, 11, FALSE)/VLOOKUP($A9, Data!$A$3:$N$54, 10, FALSE)</f>
        <v>7286.1154037267079</v>
      </c>
      <c r="H9" s="54">
        <f>VLOOKUP($A9, Data!$A$3:$N$54, 10, FALSE)/VLOOKUP($A9, Data!$A$3:$N$54, 3, FALSE)</f>
        <v>2.7814383733457352E-3</v>
      </c>
      <c r="I9" s="5"/>
      <c r="J9" s="54">
        <f>VLOOKUP($A9, Data!$A$3:$N$54, 8, FALSE)/VLOOKUP($A9, Data!$A$3:$N$54, 3, FALSE)</f>
        <v>0.12435931899331971</v>
      </c>
      <c r="K9" s="5"/>
      <c r="L9" s="54">
        <f>VLOOKUP($A9, Data!$A$3:$N$54, 9, FALSE)/VLOOKUP($A9, Data!$A$3:$N$54, 8, FALSE)</f>
        <v>0.21696131629616663</v>
      </c>
      <c r="M9" s="5"/>
      <c r="N9" s="94">
        <f>VLOOKUP($A9, Data!$A$3:$N$54, 10, FALSE)/VLOOKUP($A9, Data!$A$3:$N$54, 9, FALSE)</f>
        <v>0.10308816278965532</v>
      </c>
      <c r="O9" s="61">
        <f>VLOOKUP($A9, Data!$A$3:$N$54, 11, FALSE)/VLOOKUP($A9, Data!$A$3:$N$54, 10, FALSE)</f>
        <v>7286.1154037267079</v>
      </c>
      <c r="P9" s="5"/>
      <c r="Q9" s="50">
        <f>VLOOKUP($A9, Data!$A$3:$N$54, 12, FALSE)/VLOOKUP($A9, Data!$A$3:$N$54, 10, FALSE)</f>
        <v>0.13826086956521738</v>
      </c>
      <c r="R9" s="5"/>
      <c r="S9" s="42">
        <f>VLOOKUP($A9, Data!$A$3:$N$54, 11, FALSE)/VLOOKUP($A9, Data!$A$3:$N$54, 12, FALSE)</f>
        <v>52698.318957771786</v>
      </c>
    </row>
    <row r="10" spans="1:19" x14ac:dyDescent="0.25">
      <c r="A10" s="27" t="s">
        <v>44</v>
      </c>
      <c r="B10" s="49" t="s">
        <v>45</v>
      </c>
      <c r="C10" s="4">
        <f>VLOOKUP($A10, Data!$A$3:$N$54, 11, FALSE)/VLOOKUP($A10, Data!$A$3:$N$54, 3, FALSE)</f>
        <v>23.330364827890051</v>
      </c>
      <c r="D10" s="5"/>
      <c r="E10" s="54">
        <f>VLOOKUP($A10, Data!$A$3:$N$54, 10, FALSE)/VLOOKUP($A10, Data!$A$3:$N$54, 3, FALSE)</f>
        <v>7.260602668176094E-3</v>
      </c>
      <c r="F10" s="5"/>
      <c r="G10" s="42">
        <f>VLOOKUP($A10, Data!$A$3:$N$54, 11, FALSE)/VLOOKUP($A10, Data!$A$3:$N$54, 10, FALSE)</f>
        <v>3213.2821329211747</v>
      </c>
      <c r="H10" s="54">
        <f>VLOOKUP($A10, Data!$A$3:$N$54, 10, FALSE)/VLOOKUP($A10, Data!$A$3:$N$54, 3, FALSE)</f>
        <v>7.260602668176094E-3</v>
      </c>
      <c r="I10" s="5"/>
      <c r="J10" s="54">
        <f>VLOOKUP($A10, Data!$A$3:$N$54, 8, FALSE)/VLOOKUP($A10, Data!$A$3:$N$54, 3, FALSE)</f>
        <v>0.12644737925909533</v>
      </c>
      <c r="K10" s="5"/>
      <c r="L10" s="54">
        <f>VLOOKUP($A10, Data!$A$3:$N$54, 9, FALSE)/VLOOKUP($A10, Data!$A$3:$N$54, 8, FALSE)</f>
        <v>0.25834808029208739</v>
      </c>
      <c r="M10" s="5"/>
      <c r="N10" s="94">
        <f>VLOOKUP($A10, Data!$A$3:$N$54, 10, FALSE)/VLOOKUP($A10, Data!$A$3:$N$54, 9, FALSE)</f>
        <v>0.22225810108449587</v>
      </c>
      <c r="O10" s="61">
        <f>VLOOKUP($A10, Data!$A$3:$N$54, 11, FALSE)/VLOOKUP($A10, Data!$A$3:$N$54, 10, FALSE)</f>
        <v>3213.2821329211747</v>
      </c>
      <c r="P10" s="5"/>
      <c r="Q10" s="50">
        <f>VLOOKUP($A10, Data!$A$3:$N$54, 12, FALSE)/VLOOKUP($A10, Data!$A$3:$N$54, 10, FALSE)</f>
        <v>0.10454404945904174</v>
      </c>
      <c r="R10" s="5"/>
      <c r="S10" s="42">
        <f>VLOOKUP($A10, Data!$A$3:$N$54, 11, FALSE)/VLOOKUP($A10, Data!$A$3:$N$54, 12, FALSE)</f>
        <v>30736.15523358959</v>
      </c>
    </row>
    <row r="11" spans="1:19" x14ac:dyDescent="0.25">
      <c r="A11" s="27" t="s">
        <v>40</v>
      </c>
      <c r="B11" s="49" t="s">
        <v>41</v>
      </c>
      <c r="C11" s="4">
        <f>VLOOKUP($A11, Data!$A$3:$N$54, 11, FALSE)/VLOOKUP($A11, Data!$A$3:$N$54, 3, FALSE)</f>
        <v>30.913157547214499</v>
      </c>
      <c r="D11" s="5"/>
      <c r="E11" s="54">
        <f>VLOOKUP($A11, Data!$A$3:$N$54, 10, FALSE)/VLOOKUP($A11, Data!$A$3:$N$54, 3, FALSE)</f>
        <v>7.0694354930159716E-3</v>
      </c>
      <c r="F11" s="5"/>
      <c r="G11" s="42">
        <f>VLOOKUP($A11, Data!$A$3:$N$54, 11, FALSE)/VLOOKUP($A11, Data!$A$3:$N$54, 10, FALSE)</f>
        <v>4372.7901015228426</v>
      </c>
      <c r="H11" s="54">
        <f>VLOOKUP($A11, Data!$A$3:$N$54, 10, FALSE)/VLOOKUP($A11, Data!$A$3:$N$54, 3, FALSE)</f>
        <v>7.0694354930159716E-3</v>
      </c>
      <c r="I11" s="5"/>
      <c r="J11" s="54">
        <f>VLOOKUP($A11, Data!$A$3:$N$54, 8, FALSE)/VLOOKUP($A11, Data!$A$3:$N$54, 3, FALSE)</f>
        <v>0.11418681395973078</v>
      </c>
      <c r="K11" s="5"/>
      <c r="L11" s="54">
        <f>VLOOKUP($A11, Data!$A$3:$N$54, 9, FALSE)/VLOOKUP($A11, Data!$A$3:$N$54, 8, FALSE)</f>
        <v>0.3034227116449506</v>
      </c>
      <c r="M11" s="5"/>
      <c r="N11" s="94">
        <f>VLOOKUP($A11, Data!$A$3:$N$54, 10, FALSE)/VLOOKUP($A11, Data!$A$3:$N$54, 9, FALSE)</f>
        <v>0.20404252784869781</v>
      </c>
      <c r="O11" s="61">
        <f>VLOOKUP($A11, Data!$A$3:$N$54, 11, FALSE)/VLOOKUP($A11, Data!$A$3:$N$54, 10, FALSE)</f>
        <v>4372.7901015228426</v>
      </c>
      <c r="P11" s="5"/>
      <c r="Q11" s="50">
        <f>VLOOKUP($A11, Data!$A$3:$N$54, 12, FALSE)/VLOOKUP($A11, Data!$A$3:$N$54, 10, FALSE)</f>
        <v>0.27588832487309645</v>
      </c>
      <c r="R11" s="5"/>
      <c r="S11" s="42">
        <f>VLOOKUP($A11, Data!$A$3:$N$54, 11, FALSE)/VLOOKUP($A11, Data!$A$3:$N$54, 12, FALSE)</f>
        <v>15849.855565777369</v>
      </c>
    </row>
    <row r="12" spans="1:19" x14ac:dyDescent="0.25">
      <c r="A12" s="27" t="s">
        <v>26</v>
      </c>
      <c r="B12" s="49" t="s">
        <v>27</v>
      </c>
      <c r="C12" s="4">
        <f>VLOOKUP($A12, Data!$A$3:$N$54, 11, FALSE)/VLOOKUP($A12, Data!$A$3:$N$54, 3, FALSE)</f>
        <v>24.65237814458952</v>
      </c>
      <c r="D12" s="5"/>
      <c r="E12" s="54">
        <f>VLOOKUP($A12, Data!$A$3:$N$54, 10, FALSE)/VLOOKUP($A12, Data!$A$3:$N$54, 3, FALSE)</f>
        <v>4.6734285490530368E-3</v>
      </c>
      <c r="F12" s="5"/>
      <c r="G12" s="42">
        <f>VLOOKUP($A12, Data!$A$3:$N$54, 11, FALSE)/VLOOKUP($A12, Data!$A$3:$N$54, 10, FALSE)</f>
        <v>5275.0091043083903</v>
      </c>
      <c r="H12" s="54">
        <f>VLOOKUP($A12, Data!$A$3:$N$54, 10, FALSE)/VLOOKUP($A12, Data!$A$3:$N$54, 3, FALSE)</f>
        <v>4.6734285490530368E-3</v>
      </c>
      <c r="I12" s="5"/>
      <c r="J12" s="54">
        <f>VLOOKUP($A12, Data!$A$3:$N$54, 8, FALSE)/VLOOKUP($A12, Data!$A$3:$N$54, 3, FALSE)</f>
        <v>9.3582916319029638E-2</v>
      </c>
      <c r="K12" s="5"/>
      <c r="L12" s="54">
        <f>VLOOKUP($A12, Data!$A$3:$N$54, 9, FALSE)/VLOOKUP($A12, Data!$A$3:$N$54, 8, FALSE)</f>
        <v>0.22874822071411505</v>
      </c>
      <c r="M12" s="5"/>
      <c r="N12" s="94">
        <f>VLOOKUP($A12, Data!$A$3:$N$54, 10, FALSE)/VLOOKUP($A12, Data!$A$3:$N$54, 9, FALSE)</f>
        <v>0.21831385958854521</v>
      </c>
      <c r="O12" s="61">
        <f>VLOOKUP($A12, Data!$A$3:$N$54, 11, FALSE)/VLOOKUP($A12, Data!$A$3:$N$54, 10, FALSE)</f>
        <v>5275.0091043083903</v>
      </c>
      <c r="P12" s="5"/>
      <c r="Q12" s="50">
        <f>VLOOKUP($A12, Data!$A$3:$N$54, 12, FALSE)/VLOOKUP($A12, Data!$A$3:$N$54, 10, FALSE)</f>
        <v>0.11156462585034013</v>
      </c>
      <c r="R12" s="5"/>
      <c r="S12" s="42">
        <f>VLOOKUP($A12, Data!$A$3:$N$54, 11, FALSE)/VLOOKUP($A12, Data!$A$3:$N$54, 12, FALSE)</f>
        <v>47282.093800813011</v>
      </c>
    </row>
    <row r="13" spans="1:19" x14ac:dyDescent="0.25">
      <c r="A13" s="27" t="s">
        <v>8</v>
      </c>
      <c r="B13" s="49" t="s">
        <v>9</v>
      </c>
      <c r="C13" s="4">
        <f>VLOOKUP($A13, Data!$A$3:$N$54, 11, FALSE)/VLOOKUP($A13, Data!$A$3:$N$54, 3, FALSE)</f>
        <v>21.874182269010504</v>
      </c>
      <c r="D13" s="5"/>
      <c r="E13" s="54">
        <f>VLOOKUP($A13, Data!$A$3:$N$54, 10, FALSE)/VLOOKUP($A13, Data!$A$3:$N$54, 3, FALSE)</f>
        <v>5.5998859352800832E-3</v>
      </c>
      <c r="F13" s="5"/>
      <c r="G13" s="42">
        <f>VLOOKUP($A13, Data!$A$3:$N$54, 11, FALSE)/VLOOKUP($A13, Data!$A$3:$N$54, 10, FALSE)</f>
        <v>3906.1835404896424</v>
      </c>
      <c r="H13" s="54">
        <f>VLOOKUP($A13, Data!$A$3:$N$54, 10, FALSE)/VLOOKUP($A13, Data!$A$3:$N$54, 3, FALSE)</f>
        <v>5.5998859352800832E-3</v>
      </c>
      <c r="I13" s="5"/>
      <c r="J13" s="54">
        <f>VLOOKUP($A13, Data!$A$3:$N$54, 8, FALSE)/VLOOKUP($A13, Data!$A$3:$N$54, 3, FALSE)</f>
        <v>0.10859918906058591</v>
      </c>
      <c r="K13" s="5"/>
      <c r="L13" s="54">
        <f>VLOOKUP($A13, Data!$A$3:$N$54, 9, FALSE)/VLOOKUP($A13, Data!$A$3:$N$54, 8, FALSE)</f>
        <v>0.1761240815946023</v>
      </c>
      <c r="M13" s="5"/>
      <c r="N13" s="94">
        <f>VLOOKUP($A13, Data!$A$3:$N$54, 10, FALSE)/VLOOKUP($A13, Data!$A$3:$N$54, 9, FALSE)</f>
        <v>0.29277491067884082</v>
      </c>
      <c r="O13" s="61">
        <f>VLOOKUP($A13, Data!$A$3:$N$54, 11, FALSE)/VLOOKUP($A13, Data!$A$3:$N$54, 10, FALSE)</f>
        <v>3906.1835404896424</v>
      </c>
      <c r="P13" s="5"/>
      <c r="Q13" s="50">
        <f>VLOOKUP($A13, Data!$A$3:$N$54, 12, FALSE)/VLOOKUP($A13, Data!$A$3:$N$54, 10, FALSE)</f>
        <v>9.3822975517890775E-2</v>
      </c>
      <c r="R13" s="5"/>
      <c r="S13" s="42">
        <f>VLOOKUP($A13, Data!$A$3:$N$54, 11, FALSE)/VLOOKUP($A13, Data!$A$3:$N$54, 12, FALSE)</f>
        <v>41633.549979927739</v>
      </c>
    </row>
    <row r="14" spans="1:19" x14ac:dyDescent="0.25">
      <c r="A14" s="27" t="s">
        <v>74</v>
      </c>
      <c r="B14" s="49" t="s">
        <v>75</v>
      </c>
      <c r="C14" s="4">
        <f>VLOOKUP($A14, Data!$A$3:$N$54, 11, FALSE)/VLOOKUP($A14, Data!$A$3:$N$54, 3, FALSE)</f>
        <v>36.261063487170908</v>
      </c>
      <c r="D14" s="5"/>
      <c r="E14" s="54">
        <f>VLOOKUP($A14, Data!$A$3:$N$54, 10, FALSE)/VLOOKUP($A14, Data!$A$3:$N$54, 3, FALSE)</f>
        <v>8.0636772849550873E-3</v>
      </c>
      <c r="F14" s="5"/>
      <c r="G14" s="42">
        <f>VLOOKUP($A14, Data!$A$3:$N$54, 11, FALSE)/VLOOKUP($A14, Data!$A$3:$N$54, 10, FALSE)</f>
        <v>4496.8396186719265</v>
      </c>
      <c r="H14" s="54">
        <f>VLOOKUP($A14, Data!$A$3:$N$54, 10, FALSE)/VLOOKUP($A14, Data!$A$3:$N$54, 3, FALSE)</f>
        <v>8.0636772849550873E-3</v>
      </c>
      <c r="I14" s="5"/>
      <c r="J14" s="54">
        <f>VLOOKUP($A14, Data!$A$3:$N$54, 8, FALSE)/VLOOKUP($A14, Data!$A$3:$N$54, 3, FALSE)</f>
        <v>0.11514263165981016</v>
      </c>
      <c r="K14" s="5"/>
      <c r="L14" s="54">
        <f>VLOOKUP($A14, Data!$A$3:$N$54, 9, FALSE)/VLOOKUP($A14, Data!$A$3:$N$54, 8, FALSE)</f>
        <v>0.29805807182960981</v>
      </c>
      <c r="M14" s="5"/>
      <c r="N14" s="94">
        <f>VLOOKUP($A14, Data!$A$3:$N$54, 10, FALSE)/VLOOKUP($A14, Data!$A$3:$N$54, 9, FALSE)</f>
        <v>0.23496117193256721</v>
      </c>
      <c r="O14" s="61">
        <f>VLOOKUP($A14, Data!$A$3:$N$54, 11, FALSE)/VLOOKUP($A14, Data!$A$3:$N$54, 10, FALSE)</f>
        <v>4496.8396186719265</v>
      </c>
      <c r="P14" s="5"/>
      <c r="Q14" s="50">
        <f>VLOOKUP($A14, Data!$A$3:$N$54, 12, FALSE)/VLOOKUP($A14, Data!$A$3:$N$54, 10, FALSE)</f>
        <v>8.2195923734385279E-2</v>
      </c>
      <c r="R14" s="5"/>
      <c r="S14" s="42">
        <f>VLOOKUP($A14, Data!$A$3:$N$54, 11, FALSE)/VLOOKUP($A14, Data!$A$3:$N$54, 12, FALSE)</f>
        <v>54708.791073428249</v>
      </c>
    </row>
    <row r="15" spans="1:19" x14ac:dyDescent="0.25">
      <c r="A15" s="27" t="s">
        <v>70</v>
      </c>
      <c r="B15" s="49" t="s">
        <v>71</v>
      </c>
      <c r="C15" s="4">
        <f>VLOOKUP($A15, Data!$A$3:$N$54, 11, FALSE)/VLOOKUP($A15, Data!$A$3:$N$54, 3, FALSE)</f>
        <v>35.556953522961393</v>
      </c>
      <c r="D15" s="5"/>
      <c r="E15" s="54">
        <f>VLOOKUP($A15, Data!$A$3:$N$54, 10, FALSE)/VLOOKUP($A15, Data!$A$3:$N$54, 3, FALSE)</f>
        <v>9.9008587459469121E-3</v>
      </c>
      <c r="F15" s="5"/>
      <c r="G15" s="42">
        <f>VLOOKUP($A15, Data!$A$3:$N$54, 11, FALSE)/VLOOKUP($A15, Data!$A$3:$N$54, 10, FALSE)</f>
        <v>3591.2999503722085</v>
      </c>
      <c r="H15" s="54">
        <f>VLOOKUP($A15, Data!$A$3:$N$54, 10, FALSE)/VLOOKUP($A15, Data!$A$3:$N$54, 3, FALSE)</f>
        <v>9.9008587459469121E-3</v>
      </c>
      <c r="I15" s="5"/>
      <c r="J15" s="54">
        <f>VLOOKUP($A15, Data!$A$3:$N$54, 8, FALSE)/VLOOKUP($A15, Data!$A$3:$N$54, 3, FALSE)</f>
        <v>0.13067905150264572</v>
      </c>
      <c r="K15" s="5"/>
      <c r="L15" s="54">
        <f>VLOOKUP($A15, Data!$A$3:$N$54, 9, FALSE)/VLOOKUP($A15, Data!$A$3:$N$54, 8, FALSE)</f>
        <v>0.36102724145062137</v>
      </c>
      <c r="M15" s="5"/>
      <c r="N15" s="94">
        <f>VLOOKUP($A15, Data!$A$3:$N$54, 10, FALSE)/VLOOKUP($A15, Data!$A$3:$N$54, 9, FALSE)</f>
        <v>0.20985867086036847</v>
      </c>
      <c r="O15" s="61">
        <f>VLOOKUP($A15, Data!$A$3:$N$54, 11, FALSE)/VLOOKUP($A15, Data!$A$3:$N$54, 10, FALSE)</f>
        <v>3591.2999503722085</v>
      </c>
      <c r="P15" s="5"/>
      <c r="Q15" s="50">
        <f>VLOOKUP($A15, Data!$A$3:$N$54, 12, FALSE)/VLOOKUP($A15, Data!$A$3:$N$54, 10, FALSE)</f>
        <v>0.15359801488833746</v>
      </c>
      <c r="R15" s="5"/>
      <c r="S15" s="42">
        <f>VLOOKUP($A15, Data!$A$3:$N$54, 11, FALSE)/VLOOKUP($A15, Data!$A$3:$N$54, 12, FALSE)</f>
        <v>23381.161227786753</v>
      </c>
    </row>
    <row r="16" spans="1:19" x14ac:dyDescent="0.25">
      <c r="A16" s="27" t="s">
        <v>88</v>
      </c>
      <c r="B16" s="49" t="s">
        <v>89</v>
      </c>
      <c r="C16" s="4">
        <f>VLOOKUP($A16, Data!$A$3:$N$54, 11, FALSE)/VLOOKUP($A16, Data!$A$3:$N$54, 3, FALSE)</f>
        <v>19.412447865572528</v>
      </c>
      <c r="D16" s="5"/>
      <c r="E16" s="54">
        <f>VLOOKUP($A16, Data!$A$3:$N$54, 10, FALSE)/VLOOKUP($A16, Data!$A$3:$N$54, 3, FALSE)</f>
        <v>3.6539637435174864E-3</v>
      </c>
      <c r="F16" s="5"/>
      <c r="G16" s="42">
        <f>VLOOKUP($A16, Data!$A$3:$N$54, 11, FALSE)/VLOOKUP($A16, Data!$A$3:$N$54, 10, FALSE)</f>
        <v>5312.7094925373131</v>
      </c>
      <c r="H16" s="54">
        <f>VLOOKUP($A16, Data!$A$3:$N$54, 10, FALSE)/VLOOKUP($A16, Data!$A$3:$N$54, 3, FALSE)</f>
        <v>3.6539637435174864E-3</v>
      </c>
      <c r="I16" s="5"/>
      <c r="J16" s="54">
        <f>VLOOKUP($A16, Data!$A$3:$N$54, 8, FALSE)/VLOOKUP($A16, Data!$A$3:$N$54, 3, FALSE)</f>
        <v>0.11314875035530707</v>
      </c>
      <c r="K16" s="5"/>
      <c r="L16" s="54">
        <f>VLOOKUP($A16, Data!$A$3:$N$54, 9, FALSE)/VLOOKUP($A16, Data!$A$3:$N$54, 8, FALSE)</f>
        <v>0.2228788021924844</v>
      </c>
      <c r="M16" s="5"/>
      <c r="N16" s="94">
        <f>VLOOKUP($A16, Data!$A$3:$N$54, 10, FALSE)/VLOOKUP($A16, Data!$A$3:$N$54, 9, FALSE)</f>
        <v>0.14489243358736364</v>
      </c>
      <c r="O16" s="61">
        <f>VLOOKUP($A16, Data!$A$3:$N$54, 11, FALSE)/VLOOKUP($A16, Data!$A$3:$N$54, 10, FALSE)</f>
        <v>5312.7094925373131</v>
      </c>
      <c r="P16" s="5"/>
      <c r="Q16" s="50">
        <f>VLOOKUP($A16, Data!$A$3:$N$54, 12, FALSE)/VLOOKUP($A16, Data!$A$3:$N$54, 10, FALSE)</f>
        <v>0.18328358208955223</v>
      </c>
      <c r="R16" s="5"/>
      <c r="S16" s="42">
        <f>VLOOKUP($A16, Data!$A$3:$N$54, 11, FALSE)/VLOOKUP($A16, Data!$A$3:$N$54, 12, FALSE)</f>
        <v>28986.281433224754</v>
      </c>
    </row>
    <row r="17" spans="1:19" x14ac:dyDescent="0.25">
      <c r="A17" s="27" t="s">
        <v>12</v>
      </c>
      <c r="B17" s="49" t="s">
        <v>13</v>
      </c>
      <c r="C17" s="4">
        <f>VLOOKUP($A17, Data!$A$3:$N$54, 11, FALSE)/VLOOKUP($A17, Data!$A$3:$N$54, 3, FALSE)</f>
        <v>21.849779836803442</v>
      </c>
      <c r="D17" s="5"/>
      <c r="E17" s="54">
        <f>VLOOKUP($A17, Data!$A$3:$N$54, 10, FALSE)/VLOOKUP($A17, Data!$A$3:$N$54, 3, FALSE)</f>
        <v>4.1237723683819043E-3</v>
      </c>
      <c r="F17" s="5"/>
      <c r="G17" s="42">
        <f>VLOOKUP($A17, Data!$A$3:$N$54, 11, FALSE)/VLOOKUP($A17, Data!$A$3:$N$54, 10, FALSE)</f>
        <v>5298.493196261682</v>
      </c>
      <c r="H17" s="54">
        <f>VLOOKUP($A17, Data!$A$3:$N$54, 10, FALSE)/VLOOKUP($A17, Data!$A$3:$N$54, 3, FALSE)</f>
        <v>4.1237723683819043E-3</v>
      </c>
      <c r="I17" s="5"/>
      <c r="J17" s="54">
        <f>VLOOKUP($A17, Data!$A$3:$N$54, 8, FALSE)/VLOOKUP($A17, Data!$A$3:$N$54, 3, FALSE)</f>
        <v>0.12552778505325987</v>
      </c>
      <c r="K17" s="5"/>
      <c r="L17" s="54">
        <f>VLOOKUP($A17, Data!$A$3:$N$54, 9, FALSE)/VLOOKUP($A17, Data!$A$3:$N$54, 8, FALSE)</f>
        <v>0.21305192006101162</v>
      </c>
      <c r="M17" s="5"/>
      <c r="N17" s="94">
        <f>VLOOKUP($A17, Data!$A$3:$N$54, 10, FALSE)/VLOOKUP($A17, Data!$A$3:$N$54, 9, FALSE)</f>
        <v>0.15419467149329613</v>
      </c>
      <c r="O17" s="61">
        <f>VLOOKUP($A17, Data!$A$3:$N$54, 11, FALSE)/VLOOKUP($A17, Data!$A$3:$N$54, 10, FALSE)</f>
        <v>5298.493196261682</v>
      </c>
      <c r="P17" s="5"/>
      <c r="Q17" s="50">
        <f>VLOOKUP($A17, Data!$A$3:$N$54, 12, FALSE)/VLOOKUP($A17, Data!$A$3:$N$54, 10, FALSE)</f>
        <v>0.14134579439252337</v>
      </c>
      <c r="R17" s="5"/>
      <c r="S17" s="42">
        <f>VLOOKUP($A17, Data!$A$3:$N$54, 11, FALSE)/VLOOKUP($A17, Data!$A$3:$N$54, 12, FALSE)</f>
        <v>37486.03358899762</v>
      </c>
    </row>
    <row r="18" spans="1:19" x14ac:dyDescent="0.25">
      <c r="A18" s="27" t="s">
        <v>58</v>
      </c>
      <c r="B18" s="49" t="s">
        <v>59</v>
      </c>
      <c r="C18" s="4">
        <f>VLOOKUP($A18, Data!$A$3:$N$54, 11, FALSE)/VLOOKUP($A18, Data!$A$3:$N$54, 3, FALSE)</f>
        <v>27.082040512275039</v>
      </c>
      <c r="D18" s="5"/>
      <c r="E18" s="54">
        <f>VLOOKUP($A18, Data!$A$3:$N$54, 10, FALSE)/VLOOKUP($A18, Data!$A$3:$N$54, 3, FALSE)</f>
        <v>7.5456975735168344E-3</v>
      </c>
      <c r="F18" s="5"/>
      <c r="G18" s="42">
        <f>VLOOKUP($A18, Data!$A$3:$N$54, 11, FALSE)/VLOOKUP($A18, Data!$A$3:$N$54, 10, FALSE)</f>
        <v>3589.0704932735425</v>
      </c>
      <c r="H18" s="54">
        <f>VLOOKUP($A18, Data!$A$3:$N$54, 10, FALSE)/VLOOKUP($A18, Data!$A$3:$N$54, 3, FALSE)</f>
        <v>7.5456975735168344E-3</v>
      </c>
      <c r="I18" s="5"/>
      <c r="J18" s="54">
        <f>VLOOKUP($A18, Data!$A$3:$N$54, 8, FALSE)/VLOOKUP($A18, Data!$A$3:$N$54, 3, FALSE)</f>
        <v>9.6363295223048956E-2</v>
      </c>
      <c r="K18" s="5"/>
      <c r="L18" s="54">
        <f>VLOOKUP($A18, Data!$A$3:$N$54, 9, FALSE)/VLOOKUP($A18, Data!$A$3:$N$54, 8, FALSE)</f>
        <v>0.21289920466316695</v>
      </c>
      <c r="M18" s="5"/>
      <c r="N18" s="94">
        <f>VLOOKUP($A18, Data!$A$3:$N$54, 10, FALSE)/VLOOKUP($A18, Data!$A$3:$N$54, 9, FALSE)</f>
        <v>0.36780168397093871</v>
      </c>
      <c r="O18" s="61">
        <f>VLOOKUP($A18, Data!$A$3:$N$54, 11, FALSE)/VLOOKUP($A18, Data!$A$3:$N$54, 10, FALSE)</f>
        <v>3589.0704932735425</v>
      </c>
      <c r="P18" s="5"/>
      <c r="Q18" s="50">
        <f>VLOOKUP($A18, Data!$A$3:$N$54, 12, FALSE)/VLOOKUP($A18, Data!$A$3:$N$54, 10, FALSE)</f>
        <v>0.18035874439461883</v>
      </c>
      <c r="R18" s="5"/>
      <c r="S18" s="42">
        <f>VLOOKUP($A18, Data!$A$3:$N$54, 11, FALSE)/VLOOKUP($A18, Data!$A$3:$N$54, 12, FALSE)</f>
        <v>19899.620089507709</v>
      </c>
    </row>
    <row r="19" spans="1:19" x14ac:dyDescent="0.25">
      <c r="A19" s="27" t="s">
        <v>46</v>
      </c>
      <c r="B19" s="49" t="s">
        <v>47</v>
      </c>
      <c r="C19" s="4">
        <f>VLOOKUP($A19, Data!$A$3:$N$54, 11, FALSE)/VLOOKUP($A19, Data!$A$3:$N$54, 3, FALSE)</f>
        <v>15.722185063693443</v>
      </c>
      <c r="D19" s="5"/>
      <c r="E19" s="54">
        <f>VLOOKUP($A19, Data!$A$3:$N$54, 10, FALSE)/VLOOKUP($A19, Data!$A$3:$N$54, 3, FALSE)</f>
        <v>2.0187492286854363E-3</v>
      </c>
      <c r="F19" s="5"/>
      <c r="G19" s="42">
        <f>VLOOKUP($A19, Data!$A$3:$N$54, 11, FALSE)/VLOOKUP($A19, Data!$A$3:$N$54, 10, FALSE)</f>
        <v>7788.082264150943</v>
      </c>
      <c r="H19" s="54">
        <f>VLOOKUP($A19, Data!$A$3:$N$54, 10, FALSE)/VLOOKUP($A19, Data!$A$3:$N$54, 3, FALSE)</f>
        <v>2.0187492286854363E-3</v>
      </c>
      <c r="I19" s="5"/>
      <c r="J19" s="54">
        <f>VLOOKUP($A19, Data!$A$3:$N$54, 8, FALSE)/VLOOKUP($A19, Data!$A$3:$N$54, 3, FALSE)</f>
        <v>7.602838132877883E-2</v>
      </c>
      <c r="K19" s="5"/>
      <c r="L19" s="54">
        <f>VLOOKUP($A19, Data!$A$3:$N$54, 9, FALSE)/VLOOKUP($A19, Data!$A$3:$N$54, 8, FALSE)</f>
        <v>0.41631931223823171</v>
      </c>
      <c r="M19" s="5"/>
      <c r="N19" s="94">
        <f>VLOOKUP($A19, Data!$A$3:$N$54, 10, FALSE)/VLOOKUP($A19, Data!$A$3:$N$54, 9, FALSE)</f>
        <v>6.3779347525240976E-2</v>
      </c>
      <c r="O19" s="61">
        <f>VLOOKUP($A19, Data!$A$3:$N$54, 11, FALSE)/VLOOKUP($A19, Data!$A$3:$N$54, 10, FALSE)</f>
        <v>7788.082264150943</v>
      </c>
      <c r="P19" s="5"/>
      <c r="Q19" s="50">
        <f>VLOOKUP($A19, Data!$A$3:$N$54, 12, FALSE)/VLOOKUP($A19, Data!$A$3:$N$54, 10, FALSE)</f>
        <v>0.3928301886792453</v>
      </c>
      <c r="R19" s="5"/>
      <c r="S19" s="42">
        <f>VLOOKUP($A19, Data!$A$3:$N$54, 11, FALSE)/VLOOKUP($A19, Data!$A$3:$N$54, 12, FALSE)</f>
        <v>19825.569644572526</v>
      </c>
    </row>
    <row r="20" spans="1:19" x14ac:dyDescent="0.25">
      <c r="A20" s="27" t="s">
        <v>94</v>
      </c>
      <c r="B20" s="49" t="s">
        <v>95</v>
      </c>
      <c r="C20" s="4">
        <f>VLOOKUP($A20, Data!$A$3:$N$54, 11, FALSE)/VLOOKUP($A20, Data!$A$3:$N$54, 3, FALSE)</f>
        <v>24.118653561880166</v>
      </c>
      <c r="D20" s="5"/>
      <c r="E20" s="54">
        <f>VLOOKUP($A20, Data!$A$3:$N$54, 10, FALSE)/VLOOKUP($A20, Data!$A$3:$N$54, 3, FALSE)</f>
        <v>4.9867815808188245E-3</v>
      </c>
      <c r="F20" s="5"/>
      <c r="G20" s="42">
        <f>VLOOKUP($A20, Data!$A$3:$N$54, 11, FALSE)/VLOOKUP($A20, Data!$A$3:$N$54, 10, FALSE)</f>
        <v>4836.5169340181747</v>
      </c>
      <c r="H20" s="54">
        <f>VLOOKUP($A20, Data!$A$3:$N$54, 10, FALSE)/VLOOKUP($A20, Data!$A$3:$N$54, 3, FALSE)</f>
        <v>4.9867815808188245E-3</v>
      </c>
      <c r="I20" s="5"/>
      <c r="J20" s="54">
        <f>VLOOKUP($A20, Data!$A$3:$N$54, 8, FALSE)/VLOOKUP($A20, Data!$A$3:$N$54, 3, FALSE)</f>
        <v>0.13987136192019503</v>
      </c>
      <c r="K20" s="5"/>
      <c r="L20" s="54">
        <f>VLOOKUP($A20, Data!$A$3:$N$54, 9, FALSE)/VLOOKUP($A20, Data!$A$3:$N$54, 8, FALSE)</f>
        <v>0.31663787410607835</v>
      </c>
      <c r="M20" s="5"/>
      <c r="N20" s="94">
        <f>VLOOKUP($A20, Data!$A$3:$N$54, 10, FALSE)/VLOOKUP($A20, Data!$A$3:$N$54, 9, FALSE)</f>
        <v>0.11259748290573575</v>
      </c>
      <c r="O20" s="61">
        <f>VLOOKUP($A20, Data!$A$3:$N$54, 11, FALSE)/VLOOKUP($A20, Data!$A$3:$N$54, 10, FALSE)</f>
        <v>4836.5169340181747</v>
      </c>
      <c r="P20" s="5"/>
      <c r="Q20" s="50">
        <f>VLOOKUP($A20, Data!$A$3:$N$54, 12, FALSE)/VLOOKUP($A20, Data!$A$3:$N$54, 10, FALSE)</f>
        <v>8.3429474516001578E-2</v>
      </c>
      <c r="R20" s="5"/>
      <c r="S20" s="42">
        <f>VLOOKUP($A20, Data!$A$3:$N$54, 11, FALSE)/VLOOKUP($A20, Data!$A$3:$N$54, 12, FALSE)</f>
        <v>57971.322030687632</v>
      </c>
    </row>
    <row r="21" spans="1:19" x14ac:dyDescent="0.25">
      <c r="A21" s="27" t="s">
        <v>104</v>
      </c>
      <c r="B21" s="49" t="s">
        <v>105</v>
      </c>
      <c r="C21" s="4">
        <f>VLOOKUP($A21, Data!$A$3:$N$54, 11, FALSE)/VLOOKUP($A21, Data!$A$3:$N$54, 3, FALSE)</f>
        <v>23.351769167934123</v>
      </c>
      <c r="D21" s="5"/>
      <c r="E21" s="54">
        <f>VLOOKUP($A21, Data!$A$3:$N$54, 10, FALSE)/VLOOKUP($A21, Data!$A$3:$N$54, 3, FALSE)</f>
        <v>4.1530409335815994E-3</v>
      </c>
      <c r="F21" s="5"/>
      <c r="G21" s="42">
        <f>VLOOKUP($A21, Data!$A$3:$N$54, 11, FALSE)/VLOOKUP($A21, Data!$A$3:$N$54, 10, FALSE)</f>
        <v>5622.8121854304636</v>
      </c>
      <c r="H21" s="54">
        <f>VLOOKUP($A21, Data!$A$3:$N$54, 10, FALSE)/VLOOKUP($A21, Data!$A$3:$N$54, 3, FALSE)</f>
        <v>4.1530409335815994E-3</v>
      </c>
      <c r="I21" s="5"/>
      <c r="J21" s="54">
        <f>VLOOKUP($A21, Data!$A$3:$N$54, 8, FALSE)/VLOOKUP($A21, Data!$A$3:$N$54, 3, FALSE)</f>
        <v>9.5811479445197731E-2</v>
      </c>
      <c r="K21" s="5"/>
      <c r="L21" s="54">
        <f>VLOOKUP($A21, Data!$A$3:$N$54, 9, FALSE)/VLOOKUP($A21, Data!$A$3:$N$54, 8, FALSE)</f>
        <v>0.23807842461821105</v>
      </c>
      <c r="M21" s="5"/>
      <c r="N21" s="94">
        <f>VLOOKUP($A21, Data!$A$3:$N$54, 10, FALSE)/VLOOKUP($A21, Data!$A$3:$N$54, 9, FALSE)</f>
        <v>0.18206590544630261</v>
      </c>
      <c r="O21" s="61">
        <f>VLOOKUP($A21, Data!$A$3:$N$54, 11, FALSE)/VLOOKUP($A21, Data!$A$3:$N$54, 10, FALSE)</f>
        <v>5622.8121854304636</v>
      </c>
      <c r="P21" s="5"/>
      <c r="Q21" s="50">
        <f>VLOOKUP($A21, Data!$A$3:$N$54, 12, FALSE)/VLOOKUP($A21, Data!$A$3:$N$54, 10, FALSE)</f>
        <v>0.30516556291390728</v>
      </c>
      <c r="R21" s="5"/>
      <c r="S21" s="42">
        <f>VLOOKUP($A21, Data!$A$3:$N$54, 11, FALSE)/VLOOKUP($A21, Data!$A$3:$N$54, 12, FALSE)</f>
        <v>18425.447916666668</v>
      </c>
    </row>
    <row r="22" spans="1:19" x14ac:dyDescent="0.25">
      <c r="A22" s="27" t="s">
        <v>28</v>
      </c>
      <c r="B22" s="49" t="s">
        <v>29</v>
      </c>
      <c r="C22" s="4">
        <f>VLOOKUP($A22, Data!$A$3:$N$54, 11, FALSE)/VLOOKUP($A22, Data!$A$3:$N$54, 3, FALSE)</f>
        <v>18.467146596587792</v>
      </c>
      <c r="D22" s="5"/>
      <c r="E22" s="54">
        <f>VLOOKUP($A22, Data!$A$3:$N$54, 10, FALSE)/VLOOKUP($A22, Data!$A$3:$N$54, 3, FALSE)</f>
        <v>5.5300921854469082E-3</v>
      </c>
      <c r="F22" s="5"/>
      <c r="G22" s="42">
        <f>VLOOKUP($A22, Data!$A$3:$N$54, 11, FALSE)/VLOOKUP($A22, Data!$A$3:$N$54, 10, FALSE)</f>
        <v>3339.3921796071095</v>
      </c>
      <c r="H22" s="54">
        <f>VLOOKUP($A22, Data!$A$3:$N$54, 10, FALSE)/VLOOKUP($A22, Data!$A$3:$N$54, 3, FALSE)</f>
        <v>5.5300921854469082E-3</v>
      </c>
      <c r="I22" s="5"/>
      <c r="J22" s="54">
        <f>VLOOKUP($A22, Data!$A$3:$N$54, 8, FALSE)/VLOOKUP($A22, Data!$A$3:$N$54, 3, FALSE)</f>
        <v>0.12127724954217665</v>
      </c>
      <c r="K22" s="5"/>
      <c r="L22" s="54">
        <f>VLOOKUP($A22, Data!$A$3:$N$54, 9, FALSE)/VLOOKUP($A22, Data!$A$3:$N$54, 8, FALSE)</f>
        <v>0.20270461643722257</v>
      </c>
      <c r="M22" s="5"/>
      <c r="N22" s="94">
        <f>VLOOKUP($A22, Data!$A$3:$N$54, 10, FALSE)/VLOOKUP($A22, Data!$A$3:$N$54, 9, FALSE)</f>
        <v>0.22495175847462084</v>
      </c>
      <c r="O22" s="61">
        <f>VLOOKUP($A22, Data!$A$3:$N$54, 11, FALSE)/VLOOKUP($A22, Data!$A$3:$N$54, 10, FALSE)</f>
        <v>3339.3921796071095</v>
      </c>
      <c r="P22" s="5"/>
      <c r="Q22" s="50">
        <f>VLOOKUP($A22, Data!$A$3:$N$54, 12, FALSE)/VLOOKUP($A22, Data!$A$3:$N$54, 10, FALSE)</f>
        <v>9.3956969130028059E-2</v>
      </c>
      <c r="R22" s="5"/>
      <c r="S22" s="42">
        <f>VLOOKUP($A22, Data!$A$3:$N$54, 11, FALSE)/VLOOKUP($A22, Data!$A$3:$N$54, 12, FALSE)</f>
        <v>35541.718837116685</v>
      </c>
    </row>
    <row r="23" spans="1:19" x14ac:dyDescent="0.25">
      <c r="A23" s="27" t="s">
        <v>96</v>
      </c>
      <c r="B23" s="49" t="s">
        <v>97</v>
      </c>
      <c r="C23" s="4">
        <f>VLOOKUP($A23, Data!$A$3:$N$54, 11, FALSE)/VLOOKUP($A23, Data!$A$3:$N$54, 3, FALSE)</f>
        <v>22.557028228027615</v>
      </c>
      <c r="D23" s="5"/>
      <c r="E23" s="54">
        <f>VLOOKUP($A23, Data!$A$3:$N$54, 10, FALSE)/VLOOKUP($A23, Data!$A$3:$N$54, 3, FALSE)</f>
        <v>4.3723821705723628E-3</v>
      </c>
      <c r="F23" s="5"/>
      <c r="G23" s="42">
        <f>VLOOKUP($A23, Data!$A$3:$N$54, 11, FALSE)/VLOOKUP($A23, Data!$A$3:$N$54, 10, FALSE)</f>
        <v>5158.9790983606554</v>
      </c>
      <c r="H23" s="54">
        <f>VLOOKUP($A23, Data!$A$3:$N$54, 10, FALSE)/VLOOKUP($A23, Data!$A$3:$N$54, 3, FALSE)</f>
        <v>4.3723821705723628E-3</v>
      </c>
      <c r="I23" s="5"/>
      <c r="J23" s="54">
        <f>VLOOKUP($A23, Data!$A$3:$N$54, 8, FALSE)/VLOOKUP($A23, Data!$A$3:$N$54, 3, FALSE)</f>
        <v>0.11913666238866105</v>
      </c>
      <c r="K23" s="5"/>
      <c r="L23" s="54">
        <f>VLOOKUP($A23, Data!$A$3:$N$54, 9, FALSE)/VLOOKUP($A23, Data!$A$3:$N$54, 8, FALSE)</f>
        <v>0.24041423500391071</v>
      </c>
      <c r="M23" s="5"/>
      <c r="N23" s="94">
        <f>VLOOKUP($A23, Data!$A$3:$N$54, 10, FALSE)/VLOOKUP($A23, Data!$A$3:$N$54, 9, FALSE)</f>
        <v>0.15265551780876768</v>
      </c>
      <c r="O23" s="61">
        <f>VLOOKUP($A23, Data!$A$3:$N$54, 11, FALSE)/VLOOKUP($A23, Data!$A$3:$N$54, 10, FALSE)</f>
        <v>5158.9790983606554</v>
      </c>
      <c r="P23" s="5"/>
      <c r="Q23" s="50">
        <f>VLOOKUP($A23, Data!$A$3:$N$54, 12, FALSE)/VLOOKUP($A23, Data!$A$3:$N$54, 10, FALSE)</f>
        <v>0.45491803278688525</v>
      </c>
      <c r="R23" s="5"/>
      <c r="S23" s="42">
        <f>VLOOKUP($A23, Data!$A$3:$N$54, 11, FALSE)/VLOOKUP($A23, Data!$A$3:$N$54, 12, FALSE)</f>
        <v>11340.458558558559</v>
      </c>
    </row>
    <row r="24" spans="1:19" x14ac:dyDescent="0.25">
      <c r="A24" s="27" t="s">
        <v>36</v>
      </c>
      <c r="B24" s="49" t="s">
        <v>37</v>
      </c>
      <c r="C24" s="4">
        <f>VLOOKUP($A24, Data!$A$3:$N$54, 11, FALSE)/VLOOKUP($A24, Data!$A$3:$N$54, 3, FALSE)</f>
        <v>27.183011411769474</v>
      </c>
      <c r="D24" s="5"/>
      <c r="E24" s="54">
        <f>VLOOKUP($A24, Data!$A$3:$N$54, 10, FALSE)/VLOOKUP($A24, Data!$A$3:$N$54, 3, FALSE)</f>
        <v>5.2298577447282878E-3</v>
      </c>
      <c r="F24" s="5"/>
      <c r="G24" s="42">
        <f>VLOOKUP($A24, Data!$A$3:$N$54, 11, FALSE)/VLOOKUP($A24, Data!$A$3:$N$54, 10, FALSE)</f>
        <v>5197.6578978978978</v>
      </c>
      <c r="H24" s="54">
        <f>VLOOKUP($A24, Data!$A$3:$N$54, 10, FALSE)/VLOOKUP($A24, Data!$A$3:$N$54, 3, FALSE)</f>
        <v>5.2298577447282878E-3</v>
      </c>
      <c r="I24" s="5"/>
      <c r="J24" s="54">
        <f>VLOOKUP($A24, Data!$A$3:$N$54, 8, FALSE)/VLOOKUP($A24, Data!$A$3:$N$54, 3, FALSE)</f>
        <v>0.10837914301320846</v>
      </c>
      <c r="K24" s="5"/>
      <c r="L24" s="54">
        <f>VLOOKUP($A24, Data!$A$3:$N$54, 9, FALSE)/VLOOKUP($A24, Data!$A$3:$N$54, 8, FALSE)</f>
        <v>0.22878328775897322</v>
      </c>
      <c r="M24" s="5"/>
      <c r="N24" s="94">
        <f>VLOOKUP($A24, Data!$A$3:$N$54, 10, FALSE)/VLOOKUP($A24, Data!$A$3:$N$54, 9, FALSE)</f>
        <v>0.21092102179517225</v>
      </c>
      <c r="O24" s="61">
        <f>VLOOKUP($A24, Data!$A$3:$N$54, 11, FALSE)/VLOOKUP($A24, Data!$A$3:$N$54, 10, FALSE)</f>
        <v>5197.6578978978978</v>
      </c>
      <c r="P24" s="5"/>
      <c r="Q24" s="50">
        <f>VLOOKUP($A24, Data!$A$3:$N$54, 12, FALSE)/VLOOKUP($A24, Data!$A$3:$N$54, 10, FALSE)</f>
        <v>0.11837837837837838</v>
      </c>
      <c r="R24" s="5"/>
      <c r="S24" s="42">
        <f>VLOOKUP($A24, Data!$A$3:$N$54, 11, FALSE)/VLOOKUP($A24, Data!$A$3:$N$54, 12, FALSE)</f>
        <v>43907.155758498222</v>
      </c>
    </row>
    <row r="25" spans="1:19" x14ac:dyDescent="0.25">
      <c r="A25" s="27" t="s">
        <v>38</v>
      </c>
      <c r="B25" s="49" t="s">
        <v>39</v>
      </c>
      <c r="C25" s="4">
        <f>VLOOKUP($A25, Data!$A$3:$N$54, 11, FALSE)/VLOOKUP($A25, Data!$A$3:$N$54, 3, FALSE)</f>
        <v>27.845997774876086</v>
      </c>
      <c r="D25" s="5"/>
      <c r="E25" s="54">
        <f>VLOOKUP($A25, Data!$A$3:$N$54, 10, FALSE)/VLOOKUP($A25, Data!$A$3:$N$54, 3, FALSE)</f>
        <v>5.296327879336993E-3</v>
      </c>
      <c r="F25" s="5"/>
      <c r="G25" s="42">
        <f>VLOOKUP($A25, Data!$A$3:$N$54, 11, FALSE)/VLOOKUP($A25, Data!$A$3:$N$54, 10, FALSE)</f>
        <v>5257.6045911949686</v>
      </c>
      <c r="H25" s="54">
        <f>VLOOKUP($A25, Data!$A$3:$N$54, 10, FALSE)/VLOOKUP($A25, Data!$A$3:$N$54, 3, FALSE)</f>
        <v>5.296327879336993E-3</v>
      </c>
      <c r="I25" s="5"/>
      <c r="J25" s="54">
        <f>VLOOKUP($A25, Data!$A$3:$N$54, 8, FALSE)/VLOOKUP($A25, Data!$A$3:$N$54, 3, FALSE)</f>
        <v>8.2837232851889361E-2</v>
      </c>
      <c r="K25" s="5"/>
      <c r="L25" s="54">
        <f>VLOOKUP($A25, Data!$A$3:$N$54, 9, FALSE)/VLOOKUP($A25, Data!$A$3:$N$54, 8, FALSE)</f>
        <v>0.22091288542889773</v>
      </c>
      <c r="M25" s="5"/>
      <c r="N25" s="94">
        <f>VLOOKUP($A25, Data!$A$3:$N$54, 10, FALSE)/VLOOKUP($A25, Data!$A$3:$N$54, 9, FALSE)</f>
        <v>0.28941979522184302</v>
      </c>
      <c r="O25" s="61">
        <f>VLOOKUP($A25, Data!$A$3:$N$54, 11, FALSE)/VLOOKUP($A25, Data!$A$3:$N$54, 10, FALSE)</f>
        <v>5257.6045911949686</v>
      </c>
      <c r="P25" s="5"/>
      <c r="Q25" s="50">
        <f>VLOOKUP($A25, Data!$A$3:$N$54, 12, FALSE)/VLOOKUP($A25, Data!$A$3:$N$54, 10, FALSE)</f>
        <v>0.37144654088050316</v>
      </c>
      <c r="R25" s="5"/>
      <c r="S25" s="42">
        <f>VLOOKUP($A25, Data!$A$3:$N$54, 11, FALSE)/VLOOKUP($A25, Data!$A$3:$N$54, 12, FALSE)</f>
        <v>14154.404503894344</v>
      </c>
    </row>
    <row r="26" spans="1:19" x14ac:dyDescent="0.25">
      <c r="A26" s="27" t="s">
        <v>62</v>
      </c>
      <c r="B26" s="49" t="s">
        <v>63</v>
      </c>
      <c r="C26" s="4">
        <f>VLOOKUP($A26, Data!$A$3:$N$54, 11, FALSE)/VLOOKUP($A26, Data!$A$3:$N$54, 3, FALSE)</f>
        <v>57.698456882708967</v>
      </c>
      <c r="D26" s="5"/>
      <c r="E26" s="54">
        <f>VLOOKUP($A26, Data!$A$3:$N$54, 10, FALSE)/VLOOKUP($A26, Data!$A$3:$N$54, 3, FALSE)</f>
        <v>6.3965696740837467E-3</v>
      </c>
      <c r="F26" s="5"/>
      <c r="G26" s="42">
        <f>VLOOKUP($A26, Data!$A$3:$N$54, 11, FALSE)/VLOOKUP($A26, Data!$A$3:$N$54, 10, FALSE)</f>
        <v>9020.2186206896549</v>
      </c>
      <c r="H26" s="54">
        <f>VLOOKUP($A26, Data!$A$3:$N$54, 10, FALSE)/VLOOKUP($A26, Data!$A$3:$N$54, 3, FALSE)</f>
        <v>6.3965696740837467E-3</v>
      </c>
      <c r="I26" s="5"/>
      <c r="J26" s="54">
        <f>VLOOKUP($A26, Data!$A$3:$N$54, 8, FALSE)/VLOOKUP($A26, Data!$A$3:$N$54, 3, FALSE)</f>
        <v>8.3586622787669179E-2</v>
      </c>
      <c r="K26" s="5"/>
      <c r="L26" s="54">
        <f>VLOOKUP($A26, Data!$A$3:$N$54, 9, FALSE)/VLOOKUP($A26, Data!$A$3:$N$54, 8, FALSE)</f>
        <v>0.24071459671992718</v>
      </c>
      <c r="M26" s="5"/>
      <c r="N26" s="94">
        <f>VLOOKUP($A26, Data!$A$3:$N$54, 10, FALSE)/VLOOKUP($A26, Data!$A$3:$N$54, 9, FALSE)</f>
        <v>0.31791273843455381</v>
      </c>
      <c r="O26" s="61">
        <f>VLOOKUP($A26, Data!$A$3:$N$54, 11, FALSE)/VLOOKUP($A26, Data!$A$3:$N$54, 10, FALSE)</f>
        <v>9020.2186206896549</v>
      </c>
      <c r="P26" s="5"/>
      <c r="Q26" s="50">
        <f>VLOOKUP($A26, Data!$A$3:$N$54, 12, FALSE)/VLOOKUP($A26, Data!$A$3:$N$54, 10, FALSE)</f>
        <v>0.28706896551724137</v>
      </c>
      <c r="R26" s="5"/>
      <c r="S26" s="42">
        <f>VLOOKUP($A26, Data!$A$3:$N$54, 11, FALSE)/VLOOKUP($A26, Data!$A$3:$N$54, 12, FALSE)</f>
        <v>31421.782582582582</v>
      </c>
    </row>
    <row r="27" spans="1:19" x14ac:dyDescent="0.25">
      <c r="A27" s="27" t="s">
        <v>18</v>
      </c>
      <c r="B27" s="49" t="s">
        <v>19</v>
      </c>
      <c r="C27" s="4">
        <f>VLOOKUP($A27, Data!$A$3:$N$54, 11, FALSE)/VLOOKUP($A27, Data!$A$3:$N$54, 3, FALSE)</f>
        <v>21.191456543965849</v>
      </c>
      <c r="D27" s="5"/>
      <c r="E27" s="54">
        <f>VLOOKUP($A27, Data!$A$3:$N$54, 10, FALSE)/VLOOKUP($A27, Data!$A$3:$N$54, 3, FALSE)</f>
        <v>3.2662594796439119E-3</v>
      </c>
      <c r="F27" s="5"/>
      <c r="G27" s="42">
        <f>VLOOKUP($A27, Data!$A$3:$N$54, 11, FALSE)/VLOOKUP($A27, Data!$A$3:$N$54, 10, FALSE)</f>
        <v>6487.9892966360858</v>
      </c>
      <c r="H27" s="54">
        <f>VLOOKUP($A27, Data!$A$3:$N$54, 10, FALSE)/VLOOKUP($A27, Data!$A$3:$N$54, 3, FALSE)</f>
        <v>3.2662594796439119E-3</v>
      </c>
      <c r="I27" s="5"/>
      <c r="J27" s="54">
        <f>VLOOKUP($A27, Data!$A$3:$N$54, 8, FALSE)/VLOOKUP($A27, Data!$A$3:$N$54, 3, FALSE)</f>
        <v>8.137620796663661E-2</v>
      </c>
      <c r="K27" s="5"/>
      <c r="L27" s="54">
        <f>VLOOKUP($A27, Data!$A$3:$N$54, 9, FALSE)/VLOOKUP($A27, Data!$A$3:$N$54, 8, FALSE)</f>
        <v>0.30285604165490354</v>
      </c>
      <c r="M27" s="5"/>
      <c r="N27" s="94">
        <f>VLOOKUP($A27, Data!$A$3:$N$54, 10, FALSE)/VLOOKUP($A27, Data!$A$3:$N$54, 9, FALSE)</f>
        <v>0.1325308529393884</v>
      </c>
      <c r="O27" s="61">
        <f>VLOOKUP($A27, Data!$A$3:$N$54, 11, FALSE)/VLOOKUP($A27, Data!$A$3:$N$54, 10, FALSE)</f>
        <v>6487.9892966360858</v>
      </c>
      <c r="P27" s="5"/>
      <c r="Q27" s="50">
        <f>VLOOKUP($A27, Data!$A$3:$N$54, 12, FALSE)/VLOOKUP($A27, Data!$A$3:$N$54, 10, FALSE)</f>
        <v>0.15688073394495414</v>
      </c>
      <c r="R27" s="5"/>
      <c r="S27" s="42">
        <f>VLOOKUP($A27, Data!$A$3:$N$54, 11, FALSE)/VLOOKUP($A27, Data!$A$3:$N$54, 12, FALSE)</f>
        <v>41356.18908382066</v>
      </c>
    </row>
    <row r="28" spans="1:19" x14ac:dyDescent="0.25">
      <c r="A28" s="27" t="s">
        <v>60</v>
      </c>
      <c r="B28" s="49" t="s">
        <v>61</v>
      </c>
      <c r="C28" s="4">
        <f>VLOOKUP($A28, Data!$A$3:$N$54, 11, FALSE)/VLOOKUP($A28, Data!$A$3:$N$54, 3, FALSE)</f>
        <v>28.56251234184624</v>
      </c>
      <c r="D28" s="5"/>
      <c r="E28" s="54">
        <f>VLOOKUP($A28, Data!$A$3:$N$54, 10, FALSE)/VLOOKUP($A28, Data!$A$3:$N$54, 3, FALSE)</f>
        <v>4.3769021711470533E-3</v>
      </c>
      <c r="F28" s="5"/>
      <c r="G28" s="42">
        <f>VLOOKUP($A28, Data!$A$3:$N$54, 11, FALSE)/VLOOKUP($A28, Data!$A$3:$N$54, 10, FALSE)</f>
        <v>6525.736976744186</v>
      </c>
      <c r="H28" s="54">
        <f>VLOOKUP($A28, Data!$A$3:$N$54, 10, FALSE)/VLOOKUP($A28, Data!$A$3:$N$54, 3, FALSE)</f>
        <v>4.3769021711470533E-3</v>
      </c>
      <c r="I28" s="5"/>
      <c r="J28" s="54">
        <f>VLOOKUP($A28, Data!$A$3:$N$54, 8, FALSE)/VLOOKUP($A28, Data!$A$3:$N$54, 3, FALSE)</f>
        <v>0.10289486273831215</v>
      </c>
      <c r="K28" s="5"/>
      <c r="L28" s="54">
        <f>VLOOKUP($A28, Data!$A$3:$N$54, 9, FALSE)/VLOOKUP($A28, Data!$A$3:$N$54, 8, FALSE)</f>
        <v>0.16851326085451146</v>
      </c>
      <c r="M28" s="5"/>
      <c r="N28" s="94">
        <f>VLOOKUP($A28, Data!$A$3:$N$54, 10, FALSE)/VLOOKUP($A28, Data!$A$3:$N$54, 9, FALSE)</f>
        <v>0.25242889430273857</v>
      </c>
      <c r="O28" s="61">
        <f>VLOOKUP($A28, Data!$A$3:$N$54, 11, FALSE)/VLOOKUP($A28, Data!$A$3:$N$54, 10, FALSE)</f>
        <v>6525.736976744186</v>
      </c>
      <c r="P28" s="5"/>
      <c r="Q28" s="50">
        <f>VLOOKUP($A28, Data!$A$3:$N$54, 12, FALSE)/VLOOKUP($A28, Data!$A$3:$N$54, 10, FALSE)</f>
        <v>0.38139534883720932</v>
      </c>
      <c r="R28" s="5"/>
      <c r="S28" s="42">
        <f>VLOOKUP($A28, Data!$A$3:$N$54, 11, FALSE)/VLOOKUP($A28, Data!$A$3:$N$54, 12, FALSE)</f>
        <v>17110.164024390244</v>
      </c>
    </row>
    <row r="29" spans="1:19" x14ac:dyDescent="0.25">
      <c r="A29" s="27" t="s">
        <v>100</v>
      </c>
      <c r="B29" s="49" t="s">
        <v>101</v>
      </c>
      <c r="C29" s="4">
        <f>VLOOKUP($A29, Data!$A$3:$N$54, 11, FALSE)/VLOOKUP($A29, Data!$A$3:$N$54, 3, FALSE)</f>
        <v>22.38660537272947</v>
      </c>
      <c r="D29" s="5"/>
      <c r="E29" s="54">
        <f>VLOOKUP($A29, Data!$A$3:$N$54, 10, FALSE)/VLOOKUP($A29, Data!$A$3:$N$54, 3, FALSE)</f>
        <v>2.8150339259032462E-3</v>
      </c>
      <c r="F29" s="5"/>
      <c r="G29" s="42">
        <f>VLOOKUP($A29, Data!$A$3:$N$54, 11, FALSE)/VLOOKUP($A29, Data!$A$3:$N$54, 10, FALSE)</f>
        <v>7952.5170786516856</v>
      </c>
      <c r="H29" s="54">
        <f>VLOOKUP($A29, Data!$A$3:$N$54, 10, FALSE)/VLOOKUP($A29, Data!$A$3:$N$54, 3, FALSE)</f>
        <v>2.8150339259032462E-3</v>
      </c>
      <c r="I29" s="5"/>
      <c r="J29" s="54">
        <f>VLOOKUP($A29, Data!$A$3:$N$54, 8, FALSE)/VLOOKUP($A29, Data!$A$3:$N$54, 3, FALSE)</f>
        <v>7.0888500618042277E-2</v>
      </c>
      <c r="K29" s="5"/>
      <c r="L29" s="54">
        <f>VLOOKUP($A29, Data!$A$3:$N$54, 9, FALSE)/VLOOKUP($A29, Data!$A$3:$N$54, 8, FALSE)</f>
        <v>0.29052189711976756</v>
      </c>
      <c r="M29" s="5"/>
      <c r="N29" s="94">
        <f>VLOOKUP($A29, Data!$A$3:$N$54, 10, FALSE)/VLOOKUP($A29, Data!$A$3:$N$54, 9, FALSE)</f>
        <v>0.13668755375353236</v>
      </c>
      <c r="O29" s="61">
        <f>VLOOKUP($A29, Data!$A$3:$N$54, 11, FALSE)/VLOOKUP($A29, Data!$A$3:$N$54, 10, FALSE)</f>
        <v>7952.5170786516856</v>
      </c>
      <c r="P29" s="5"/>
      <c r="Q29" s="50">
        <f>VLOOKUP($A29, Data!$A$3:$N$54, 12, FALSE)/VLOOKUP($A29, Data!$A$3:$N$54, 10, FALSE)</f>
        <v>0.15110112359550562</v>
      </c>
      <c r="R29" s="5"/>
      <c r="S29" s="42">
        <f>VLOOKUP($A29, Data!$A$3:$N$54, 11, FALSE)/VLOOKUP($A29, Data!$A$3:$N$54, 12, FALSE)</f>
        <v>52630.429803688283</v>
      </c>
    </row>
    <row r="30" spans="1:19" x14ac:dyDescent="0.25">
      <c r="A30" s="27" t="s">
        <v>76</v>
      </c>
      <c r="B30" s="49" t="s">
        <v>77</v>
      </c>
      <c r="C30" s="4">
        <f>VLOOKUP($A30, Data!$A$3:$N$54, 11, FALSE)/VLOOKUP($A30, Data!$A$3:$N$54, 3, FALSE)</f>
        <v>16.731919055232492</v>
      </c>
      <c r="D30" s="5"/>
      <c r="E30" s="54">
        <f>VLOOKUP($A30, Data!$A$3:$N$54, 10, FALSE)/VLOOKUP($A30, Data!$A$3:$N$54, 3, FALSE)</f>
        <v>4.5207070988663575E-3</v>
      </c>
      <c r="F30" s="5"/>
      <c r="G30" s="42">
        <f>VLOOKUP($A30, Data!$A$3:$N$54, 11, FALSE)/VLOOKUP($A30, Data!$A$3:$N$54, 10, FALSE)</f>
        <v>3701.1729999999998</v>
      </c>
      <c r="H30" s="54">
        <f>VLOOKUP($A30, Data!$A$3:$N$54, 10, FALSE)/VLOOKUP($A30, Data!$A$3:$N$54, 3, FALSE)</f>
        <v>4.5207070988663575E-3</v>
      </c>
      <c r="I30" s="5"/>
      <c r="J30" s="54">
        <f>VLOOKUP($A30, Data!$A$3:$N$54, 8, FALSE)/VLOOKUP($A30, Data!$A$3:$N$54, 3, FALSE)</f>
        <v>6.6760295533692074E-2</v>
      </c>
      <c r="K30" s="5"/>
      <c r="L30" s="54">
        <f>VLOOKUP($A30, Data!$A$3:$N$54, 9, FALSE)/VLOOKUP($A30, Data!$A$3:$N$54, 8, FALSE)</f>
        <v>0.34540550301333994</v>
      </c>
      <c r="M30" s="5"/>
      <c r="N30" s="94">
        <f>VLOOKUP($A30, Data!$A$3:$N$54, 10, FALSE)/VLOOKUP($A30, Data!$A$3:$N$54, 9, FALSE)</f>
        <v>0.19604639764744322</v>
      </c>
      <c r="O30" s="61">
        <f>VLOOKUP($A30, Data!$A$3:$N$54, 11, FALSE)/VLOOKUP($A30, Data!$A$3:$N$54, 10, FALSE)</f>
        <v>3701.1729999999998</v>
      </c>
      <c r="P30" s="5"/>
      <c r="Q30" s="50">
        <f>VLOOKUP($A30, Data!$A$3:$N$54, 12, FALSE)/VLOOKUP($A30, Data!$A$3:$N$54, 10, FALSE)</f>
        <v>0.52900000000000003</v>
      </c>
      <c r="R30" s="5"/>
      <c r="S30" s="42">
        <f>VLOOKUP($A30, Data!$A$3:$N$54, 11, FALSE)/VLOOKUP($A30, Data!$A$3:$N$54, 12, FALSE)</f>
        <v>6996.5463137996221</v>
      </c>
    </row>
    <row r="31" spans="1:19" x14ac:dyDescent="0.25">
      <c r="A31" s="27" t="s">
        <v>98</v>
      </c>
      <c r="B31" s="49" t="s">
        <v>99</v>
      </c>
      <c r="C31" s="4">
        <f>VLOOKUP($A31, Data!$A$3:$N$54, 11, FALSE)/VLOOKUP($A31, Data!$A$3:$N$54, 3, FALSE)</f>
        <v>42.035828557591415</v>
      </c>
      <c r="D31" s="5"/>
      <c r="E31" s="54">
        <f>VLOOKUP($A31, Data!$A$3:$N$54, 10, FALSE)/VLOOKUP($A31, Data!$A$3:$N$54, 3, FALSE)</f>
        <v>7.2645088384857533E-3</v>
      </c>
      <c r="F31" s="5"/>
      <c r="G31" s="42">
        <f>VLOOKUP($A31, Data!$A$3:$N$54, 11, FALSE)/VLOOKUP($A31, Data!$A$3:$N$54, 10, FALSE)</f>
        <v>5786.4653333333335</v>
      </c>
      <c r="H31" s="54">
        <f>VLOOKUP($A31, Data!$A$3:$N$54, 10, FALSE)/VLOOKUP($A31, Data!$A$3:$N$54, 3, FALSE)</f>
        <v>7.2645088384857533E-3</v>
      </c>
      <c r="I31" s="5"/>
      <c r="J31" s="54">
        <f>VLOOKUP($A31, Data!$A$3:$N$54, 8, FALSE)/VLOOKUP($A31, Data!$A$3:$N$54, 3, FALSE)</f>
        <v>6.3013964000322872E-2</v>
      </c>
      <c r="K31" s="5"/>
      <c r="L31" s="54">
        <f>VLOOKUP($A31, Data!$A$3:$N$54, 9, FALSE)/VLOOKUP($A31, Data!$A$3:$N$54, 8, FALSE)</f>
        <v>0.36609110006660861</v>
      </c>
      <c r="M31" s="5"/>
      <c r="N31" s="94">
        <f>VLOOKUP($A31, Data!$A$3:$N$54, 10, FALSE)/VLOOKUP($A31, Data!$A$3:$N$54, 9, FALSE)</f>
        <v>0.31490552834149754</v>
      </c>
      <c r="O31" s="61">
        <f>VLOOKUP($A31, Data!$A$3:$N$54, 11, FALSE)/VLOOKUP($A31, Data!$A$3:$N$54, 10, FALSE)</f>
        <v>5786.4653333333335</v>
      </c>
      <c r="P31" s="5"/>
      <c r="Q31" s="50">
        <f>VLOOKUP($A31, Data!$A$3:$N$54, 12, FALSE)/VLOOKUP($A31, Data!$A$3:$N$54, 10, FALSE)</f>
        <v>0.48888888888888887</v>
      </c>
      <c r="R31" s="5"/>
      <c r="S31" s="42">
        <f>VLOOKUP($A31, Data!$A$3:$N$54, 11, FALSE)/VLOOKUP($A31, Data!$A$3:$N$54, 12, FALSE)</f>
        <v>11835.951818181818</v>
      </c>
    </row>
    <row r="32" spans="1:19" x14ac:dyDescent="0.25">
      <c r="A32" s="27" t="s">
        <v>66</v>
      </c>
      <c r="B32" s="49" t="s">
        <v>67</v>
      </c>
      <c r="C32" s="4">
        <f>VLOOKUP($A32, Data!$A$3:$N$54, 11, FALSE)/VLOOKUP($A32, Data!$A$3:$N$54, 3, FALSE)</f>
        <v>21.447408142907143</v>
      </c>
      <c r="D32" s="5"/>
      <c r="E32" s="54">
        <f>VLOOKUP($A32, Data!$A$3:$N$54, 10, FALSE)/VLOOKUP($A32, Data!$A$3:$N$54, 3, FALSE)</f>
        <v>3.7774306995647473E-3</v>
      </c>
      <c r="F32" s="5"/>
      <c r="G32" s="42">
        <f>VLOOKUP($A32, Data!$A$3:$N$54, 11, FALSE)/VLOOKUP($A32, Data!$A$3:$N$54, 10, FALSE)</f>
        <v>5677.7767346938772</v>
      </c>
      <c r="H32" s="54">
        <f>VLOOKUP($A32, Data!$A$3:$N$54, 10, FALSE)/VLOOKUP($A32, Data!$A$3:$N$54, 3, FALSE)</f>
        <v>3.7774306995647473E-3</v>
      </c>
      <c r="I32" s="5"/>
      <c r="J32" s="54">
        <f>VLOOKUP($A32, Data!$A$3:$N$54, 8, FALSE)/VLOOKUP($A32, Data!$A$3:$N$54, 3, FALSE)</f>
        <v>4.0839422191865725E-2</v>
      </c>
      <c r="K32" s="5"/>
      <c r="L32" s="54">
        <f>VLOOKUP($A32, Data!$A$3:$N$54, 9, FALSE)/VLOOKUP($A32, Data!$A$3:$N$54, 8, FALSE)</f>
        <v>0.52928684687405614</v>
      </c>
      <c r="M32" s="5"/>
      <c r="N32" s="94">
        <f>VLOOKUP($A32, Data!$A$3:$N$54, 10, FALSE)/VLOOKUP($A32, Data!$A$3:$N$54, 9, FALSE)</f>
        <v>0.17475347277947181</v>
      </c>
      <c r="O32" s="61">
        <f>VLOOKUP($A32, Data!$A$3:$N$54, 11, FALSE)/VLOOKUP($A32, Data!$A$3:$N$54, 10, FALSE)</f>
        <v>5677.7767346938772</v>
      </c>
      <c r="P32" s="5"/>
      <c r="Q32" s="50">
        <f>VLOOKUP($A32, Data!$A$3:$N$54, 12, FALSE)/VLOOKUP($A32, Data!$A$3:$N$54, 10, FALSE)</f>
        <v>0.24020408163265305</v>
      </c>
      <c r="R32" s="5"/>
      <c r="S32" s="42">
        <f>VLOOKUP($A32, Data!$A$3:$N$54, 11, FALSE)/VLOOKUP($A32, Data!$A$3:$N$54, 12, FALSE)</f>
        <v>23637.303313508921</v>
      </c>
    </row>
    <row r="33" spans="1:19" x14ac:dyDescent="0.25">
      <c r="A33" s="27" t="s">
        <v>108</v>
      </c>
      <c r="B33" s="49" t="s">
        <v>109</v>
      </c>
      <c r="C33" s="4">
        <f>VLOOKUP($A33, Data!$A$3:$N$54, 11, FALSE)/VLOOKUP($A33, Data!$A$3:$N$54, 3, FALSE)</f>
        <v>35.424700078947886</v>
      </c>
      <c r="D33" s="5"/>
      <c r="E33" s="54">
        <f>VLOOKUP($A33, Data!$A$3:$N$54, 10, FALSE)/VLOOKUP($A33, Data!$A$3:$N$54, 3, FALSE)</f>
        <v>8.8119511638069786E-3</v>
      </c>
      <c r="F33" s="5"/>
      <c r="G33" s="42">
        <f>VLOOKUP($A33, Data!$A$3:$N$54, 11, FALSE)/VLOOKUP($A33, Data!$A$3:$N$54, 10, FALSE)</f>
        <v>4020.0744897959185</v>
      </c>
      <c r="H33" s="54">
        <f>VLOOKUP($A33, Data!$A$3:$N$54, 10, FALSE)/VLOOKUP($A33, Data!$A$3:$N$54, 3, FALSE)</f>
        <v>8.8119511638069786E-3</v>
      </c>
      <c r="I33" s="5"/>
      <c r="J33" s="54">
        <f>VLOOKUP($A33, Data!$A$3:$N$54, 8, FALSE)/VLOOKUP($A33, Data!$A$3:$N$54, 3, FALSE)</f>
        <v>8.510726302595209E-2</v>
      </c>
      <c r="K33" s="5"/>
      <c r="L33" s="54">
        <f>VLOOKUP($A33, Data!$A$3:$N$54, 9, FALSE)/VLOOKUP($A33, Data!$A$3:$N$54, 8, FALSE)</f>
        <v>0.46507131537242474</v>
      </c>
      <c r="M33" s="5"/>
      <c r="N33" s="94">
        <f>VLOOKUP($A33, Data!$A$3:$N$54, 10, FALSE)/VLOOKUP($A33, Data!$A$3:$N$54, 9, FALSE)</f>
        <v>0.22263113655466957</v>
      </c>
      <c r="O33" s="61">
        <f>VLOOKUP($A33, Data!$A$3:$N$54, 11, FALSE)/VLOOKUP($A33, Data!$A$3:$N$54, 10, FALSE)</f>
        <v>4020.0744897959185</v>
      </c>
      <c r="P33" s="5"/>
      <c r="Q33" s="50">
        <f>VLOOKUP($A33, Data!$A$3:$N$54, 12, FALSE)/VLOOKUP($A33, Data!$A$3:$N$54, 10, FALSE)</f>
        <v>0.21081632653061225</v>
      </c>
      <c r="R33" s="5"/>
      <c r="S33" s="42">
        <f>VLOOKUP($A33, Data!$A$3:$N$54, 11, FALSE)/VLOOKUP($A33, Data!$A$3:$N$54, 12, FALSE)</f>
        <v>19069.085188770572</v>
      </c>
    </row>
    <row r="34" spans="1:19" x14ac:dyDescent="0.25">
      <c r="A34" s="27" t="s">
        <v>82</v>
      </c>
      <c r="B34" s="49" t="s">
        <v>83</v>
      </c>
      <c r="C34" s="4">
        <f>VLOOKUP($A34, Data!$A$3:$N$54, 11, FALSE)/VLOOKUP($A34, Data!$A$3:$N$54, 3, FALSE)</f>
        <v>22.517924586631445</v>
      </c>
      <c r="D34" s="5"/>
      <c r="E34" s="54">
        <f>VLOOKUP($A34, Data!$A$3:$N$54, 10, FALSE)/VLOOKUP($A34, Data!$A$3:$N$54, 3, FALSE)</f>
        <v>4.2885877522669657E-3</v>
      </c>
      <c r="F34" s="5"/>
      <c r="G34" s="42">
        <f>VLOOKUP($A34, Data!$A$3:$N$54, 11, FALSE)/VLOOKUP($A34, Data!$A$3:$N$54, 10, FALSE)</f>
        <v>5250.661963190184</v>
      </c>
      <c r="H34" s="54">
        <f>VLOOKUP($A34, Data!$A$3:$N$54, 10, FALSE)/VLOOKUP($A34, Data!$A$3:$N$54, 3, FALSE)</f>
        <v>4.2885877522669657E-3</v>
      </c>
      <c r="I34" s="5"/>
      <c r="J34" s="54">
        <f>VLOOKUP($A34, Data!$A$3:$N$54, 8, FALSE)/VLOOKUP($A34, Data!$A$3:$N$54, 3, FALSE)</f>
        <v>9.5165603947605565E-2</v>
      </c>
      <c r="K34" s="5"/>
      <c r="L34" s="54">
        <f>VLOOKUP($A34, Data!$A$3:$N$54, 9, FALSE)/VLOOKUP($A34, Data!$A$3:$N$54, 8, FALSE)</f>
        <v>0.21919857120739611</v>
      </c>
      <c r="M34" s="5"/>
      <c r="N34" s="94">
        <f>VLOOKUP($A34, Data!$A$3:$N$54, 10, FALSE)/VLOOKUP($A34, Data!$A$3:$N$54, 9, FALSE)</f>
        <v>0.20558743772466417</v>
      </c>
      <c r="O34" s="61">
        <f>VLOOKUP($A34, Data!$A$3:$N$54, 11, FALSE)/VLOOKUP($A34, Data!$A$3:$N$54, 10, FALSE)</f>
        <v>5250.661963190184</v>
      </c>
      <c r="P34" s="5"/>
      <c r="Q34" s="50">
        <f>VLOOKUP($A34, Data!$A$3:$N$54, 12, FALSE)/VLOOKUP($A34, Data!$A$3:$N$54, 10, FALSE)</f>
        <v>0.53987730061349692</v>
      </c>
      <c r="R34" s="5"/>
      <c r="S34" s="42">
        <f>VLOOKUP($A34, Data!$A$3:$N$54, 11, FALSE)/VLOOKUP($A34, Data!$A$3:$N$54, 12, FALSE)</f>
        <v>9725.6579545454551</v>
      </c>
    </row>
    <row r="35" spans="1:19" x14ac:dyDescent="0.25">
      <c r="A35" s="27" t="s">
        <v>30</v>
      </c>
      <c r="B35" s="49" t="s">
        <v>31</v>
      </c>
      <c r="C35" s="4">
        <f>VLOOKUP($A35, Data!$A$3:$N$54, 11, FALSE)/VLOOKUP($A35, Data!$A$3:$N$54, 3, FALSE)</f>
        <v>35.178951749476163</v>
      </c>
      <c r="D35" s="5"/>
      <c r="E35" s="54">
        <f>VLOOKUP($A35, Data!$A$3:$N$54, 10, FALSE)/VLOOKUP($A35, Data!$A$3:$N$54, 3, FALSE)</f>
        <v>6.7981889624604006E-3</v>
      </c>
      <c r="F35" s="5"/>
      <c r="G35" s="42">
        <f>VLOOKUP($A35, Data!$A$3:$N$54, 11, FALSE)/VLOOKUP($A35, Data!$A$3:$N$54, 10, FALSE)</f>
        <v>5174.7534444444445</v>
      </c>
      <c r="H35" s="54">
        <f>VLOOKUP($A35, Data!$A$3:$N$54, 10, FALSE)/VLOOKUP($A35, Data!$A$3:$N$54, 3, FALSE)</f>
        <v>6.7981889624604006E-3</v>
      </c>
      <c r="I35" s="5"/>
      <c r="J35" s="54">
        <f>VLOOKUP($A35, Data!$A$3:$N$54, 8, FALSE)/VLOOKUP($A35, Data!$A$3:$N$54, 3, FALSE)</f>
        <v>9.757667224118162E-2</v>
      </c>
      <c r="K35" s="5"/>
      <c r="L35" s="54">
        <f>VLOOKUP($A35, Data!$A$3:$N$54, 9, FALSE)/VLOOKUP($A35, Data!$A$3:$N$54, 8, FALSE)</f>
        <v>0.41344635392475615</v>
      </c>
      <c r="M35" s="5"/>
      <c r="N35" s="94">
        <f>VLOOKUP($A35, Data!$A$3:$N$54, 10, FALSE)/VLOOKUP($A35, Data!$A$3:$N$54, 9, FALSE)</f>
        <v>0.16851092512497895</v>
      </c>
      <c r="O35" s="61">
        <f>VLOOKUP($A35, Data!$A$3:$N$54, 11, FALSE)/VLOOKUP($A35, Data!$A$3:$N$54, 10, FALSE)</f>
        <v>5174.7534444444445</v>
      </c>
      <c r="P35" s="5"/>
      <c r="Q35" s="50">
        <f>VLOOKUP($A35, Data!$A$3:$N$54, 12, FALSE)/VLOOKUP($A35, Data!$A$3:$N$54, 10, FALSE)</f>
        <v>0.83855555555555561</v>
      </c>
      <c r="R35" s="5"/>
      <c r="S35" s="42">
        <f>VLOOKUP($A35, Data!$A$3:$N$54, 11, FALSE)/VLOOKUP($A35, Data!$A$3:$N$54, 12, FALSE)</f>
        <v>6171.0323307274411</v>
      </c>
    </row>
    <row r="36" spans="1:19" x14ac:dyDescent="0.25">
      <c r="A36" s="27" t="s">
        <v>78</v>
      </c>
      <c r="B36" s="49" t="s">
        <v>79</v>
      </c>
      <c r="C36" s="4">
        <f>VLOOKUP($A36, Data!$A$3:$N$54, 11, FALSE)/VLOOKUP($A36, Data!$A$3:$N$54, 3, FALSE)</f>
        <v>26.302194089257771</v>
      </c>
      <c r="D36" s="5"/>
      <c r="E36" s="54">
        <f>VLOOKUP($A36, Data!$A$3:$N$54, 10, FALSE)/VLOOKUP($A36, Data!$A$3:$N$54, 3, FALSE)</f>
        <v>4.1500704319931934E-3</v>
      </c>
      <c r="F36" s="5"/>
      <c r="G36" s="42">
        <f>VLOOKUP($A36, Data!$A$3:$N$54, 11, FALSE)/VLOOKUP($A36, Data!$A$3:$N$54, 10, FALSE)</f>
        <v>6337.7705319148936</v>
      </c>
      <c r="H36" s="54">
        <f>VLOOKUP($A36, Data!$A$3:$N$54, 10, FALSE)/VLOOKUP($A36, Data!$A$3:$N$54, 3, FALSE)</f>
        <v>4.1500704319931934E-3</v>
      </c>
      <c r="I36" s="5"/>
      <c r="J36" s="54">
        <f>VLOOKUP($A36, Data!$A$3:$N$54, 8, FALSE)/VLOOKUP($A36, Data!$A$3:$N$54, 3, FALSE)</f>
        <v>9.8608410744655969E-2</v>
      </c>
      <c r="K36" s="5"/>
      <c r="L36" s="54">
        <f>VLOOKUP($A36, Data!$A$3:$N$54, 9, FALSE)/VLOOKUP($A36, Data!$A$3:$N$54, 8, FALSE)</f>
        <v>0.21136717137481856</v>
      </c>
      <c r="M36" s="5"/>
      <c r="N36" s="94">
        <f>VLOOKUP($A36, Data!$A$3:$N$54, 10, FALSE)/VLOOKUP($A36, Data!$A$3:$N$54, 9, FALSE)</f>
        <v>0.19911499738396785</v>
      </c>
      <c r="O36" s="61">
        <f>VLOOKUP($A36, Data!$A$3:$N$54, 11, FALSE)/VLOOKUP($A36, Data!$A$3:$N$54, 10, FALSE)</f>
        <v>6337.7705319148936</v>
      </c>
      <c r="P36" s="5"/>
      <c r="Q36" s="50">
        <f>VLOOKUP($A36, Data!$A$3:$N$54, 12, FALSE)/VLOOKUP($A36, Data!$A$3:$N$54, 10, FALSE)</f>
        <v>0.3323404255319149</v>
      </c>
      <c r="R36" s="5"/>
      <c r="S36" s="42">
        <f>VLOOKUP($A36, Data!$A$3:$N$54, 11, FALSE)/VLOOKUP($A36, Data!$A$3:$N$54, 12, FALSE)</f>
        <v>19070.116197183099</v>
      </c>
    </row>
    <row r="37" spans="1:19" x14ac:dyDescent="0.25">
      <c r="A37" s="27" t="s">
        <v>6</v>
      </c>
      <c r="B37" s="49" t="s">
        <v>7</v>
      </c>
      <c r="C37" s="4">
        <f>VLOOKUP($A37, Data!$A$3:$N$54, 11, FALSE)/VLOOKUP($A37, Data!$A$3:$N$54, 3, FALSE)</f>
        <v>28.120975474018547</v>
      </c>
      <c r="D37" s="5"/>
      <c r="E37" s="54">
        <f>VLOOKUP($A37, Data!$A$3:$N$54, 10, FALSE)/VLOOKUP($A37, Data!$A$3:$N$54, 3, FALSE)</f>
        <v>5.0359079600167849E-3</v>
      </c>
      <c r="F37" s="5"/>
      <c r="G37" s="42">
        <f>VLOOKUP($A37, Data!$A$3:$N$54, 11, FALSE)/VLOOKUP($A37, Data!$A$3:$N$54, 10, FALSE)</f>
        <v>5584.0924213247172</v>
      </c>
      <c r="H37" s="54">
        <f>VLOOKUP($A37, Data!$A$3:$N$54, 10, FALSE)/VLOOKUP($A37, Data!$A$3:$N$54, 3, FALSE)</f>
        <v>5.0359079600167849E-3</v>
      </c>
      <c r="I37" s="5"/>
      <c r="J37" s="54">
        <f>VLOOKUP($A37, Data!$A$3:$N$54, 8, FALSE)/VLOOKUP($A37, Data!$A$3:$N$54, 3, FALSE)</f>
        <v>0.10261440715635096</v>
      </c>
      <c r="K37" s="5"/>
      <c r="L37" s="54">
        <f>VLOOKUP($A37, Data!$A$3:$N$54, 9, FALSE)/VLOOKUP($A37, Data!$A$3:$N$54, 8, FALSE)</f>
        <v>0.27370979666063527</v>
      </c>
      <c r="M37" s="5"/>
      <c r="N37" s="94">
        <f>VLOOKUP($A37, Data!$A$3:$N$54, 10, FALSE)/VLOOKUP($A37, Data!$A$3:$N$54, 9, FALSE)</f>
        <v>0.1792995095477713</v>
      </c>
      <c r="O37" s="61">
        <f>VLOOKUP($A37, Data!$A$3:$N$54, 11, FALSE)/VLOOKUP($A37, Data!$A$3:$N$54, 10, FALSE)</f>
        <v>5584.0924213247172</v>
      </c>
      <c r="P37" s="5"/>
      <c r="Q37" s="50">
        <f>VLOOKUP($A37, Data!$A$3:$N$54, 12, FALSE)/VLOOKUP($A37, Data!$A$3:$N$54, 10, FALSE)</f>
        <v>0.29823134087237479</v>
      </c>
      <c r="R37" s="5"/>
      <c r="S37" s="42">
        <f>VLOOKUP($A37, Data!$A$3:$N$54, 11, FALSE)/VLOOKUP($A37, Data!$A$3:$N$54, 12, FALSE)</f>
        <v>18724.029489960198</v>
      </c>
    </row>
    <row r="38" spans="1:19" x14ac:dyDescent="0.25">
      <c r="A38" s="27" t="s">
        <v>106</v>
      </c>
      <c r="B38" s="49" t="s">
        <v>107</v>
      </c>
      <c r="C38" s="4">
        <f>VLOOKUP($A38, Data!$A$3:$N$54, 11, FALSE)/VLOOKUP($A38, Data!$A$3:$N$54, 3, FALSE)</f>
        <v>33.690032684654142</v>
      </c>
      <c r="D38" s="5"/>
      <c r="E38" s="54">
        <f>VLOOKUP($A38, Data!$A$3:$N$54, 10, FALSE)/VLOOKUP($A38, Data!$A$3:$N$54, 3, FALSE)</f>
        <v>5.361911317879939E-3</v>
      </c>
      <c r="F38" s="5"/>
      <c r="G38" s="42">
        <f>VLOOKUP($A38, Data!$A$3:$N$54, 11, FALSE)/VLOOKUP($A38, Data!$A$3:$N$54, 10, FALSE)</f>
        <v>6283.2133333333331</v>
      </c>
      <c r="H38" s="54">
        <f>VLOOKUP($A38, Data!$A$3:$N$54, 10, FALSE)/VLOOKUP($A38, Data!$A$3:$N$54, 3, FALSE)</f>
        <v>5.361911317879939E-3</v>
      </c>
      <c r="I38" s="5"/>
      <c r="J38" s="54">
        <f>VLOOKUP($A38, Data!$A$3:$N$54, 8, FALSE)/VLOOKUP($A38, Data!$A$3:$N$54, 3, FALSE)</f>
        <v>8.5346940436774571E-2</v>
      </c>
      <c r="K38" s="5"/>
      <c r="L38" s="54">
        <f>VLOOKUP($A38, Data!$A$3:$N$54, 9, FALSE)/VLOOKUP($A38, Data!$A$3:$N$54, 8, FALSE)</f>
        <v>0.32005233333264221</v>
      </c>
      <c r="M38" s="5"/>
      <c r="N38" s="94">
        <f>VLOOKUP($A38, Data!$A$3:$N$54, 10, FALSE)/VLOOKUP($A38, Data!$A$3:$N$54, 9, FALSE)</f>
        <v>0.19629564845587236</v>
      </c>
      <c r="O38" s="61">
        <f>VLOOKUP($A38, Data!$A$3:$N$54, 11, FALSE)/VLOOKUP($A38, Data!$A$3:$N$54, 10, FALSE)</f>
        <v>6283.2133333333331</v>
      </c>
      <c r="P38" s="5"/>
      <c r="Q38" s="50">
        <f>VLOOKUP($A38, Data!$A$3:$N$54, 12, FALSE)/VLOOKUP($A38, Data!$A$3:$N$54, 10, FALSE)</f>
        <v>0.19617161716171616</v>
      </c>
      <c r="R38" s="5"/>
      <c r="S38" s="42">
        <f>VLOOKUP($A38, Data!$A$3:$N$54, 11, FALSE)/VLOOKUP($A38, Data!$A$3:$N$54, 12, FALSE)</f>
        <v>32029.166218034992</v>
      </c>
    </row>
    <row r="39" spans="1:19" x14ac:dyDescent="0.25">
      <c r="A39" s="27" t="s">
        <v>52</v>
      </c>
      <c r="B39" s="49" t="s">
        <v>53</v>
      </c>
      <c r="C39" s="4">
        <f>VLOOKUP($A39, Data!$A$3:$N$54, 11, FALSE)/VLOOKUP($A39, Data!$A$3:$N$54, 3, FALSE)</f>
        <v>21.184871029076984</v>
      </c>
      <c r="D39" s="5"/>
      <c r="E39" s="54">
        <f>VLOOKUP($A39, Data!$A$3:$N$54, 10, FALSE)/VLOOKUP($A39, Data!$A$3:$N$54, 3, FALSE)</f>
        <v>5.5094015287843337E-3</v>
      </c>
      <c r="F39" s="5"/>
      <c r="G39" s="42">
        <f>VLOOKUP($A39, Data!$A$3:$N$54, 11, FALSE)/VLOOKUP($A39, Data!$A$3:$N$54, 10, FALSE)</f>
        <v>3845.2218300653594</v>
      </c>
      <c r="H39" s="54">
        <f>VLOOKUP($A39, Data!$A$3:$N$54, 10, FALSE)/VLOOKUP($A39, Data!$A$3:$N$54, 3, FALSE)</f>
        <v>5.5094015287843337E-3</v>
      </c>
      <c r="I39" s="5"/>
      <c r="J39" s="54">
        <f>VLOOKUP($A39, Data!$A$3:$N$54, 8, FALSE)/VLOOKUP($A39, Data!$A$3:$N$54, 3, FALSE)</f>
        <v>9.5626131909373385E-2</v>
      </c>
      <c r="K39" s="5"/>
      <c r="L39" s="54">
        <f>VLOOKUP($A39, Data!$A$3:$N$54, 9, FALSE)/VLOOKUP($A39, Data!$A$3:$N$54, 8, FALSE)</f>
        <v>0.18359222862257951</v>
      </c>
      <c r="M39" s="5"/>
      <c r="N39" s="94">
        <f>VLOOKUP($A39, Data!$A$3:$N$54, 10, FALSE)/VLOOKUP($A39, Data!$A$3:$N$54, 9, FALSE)</f>
        <v>0.31381488730793122</v>
      </c>
      <c r="O39" s="61">
        <f>VLOOKUP($A39, Data!$A$3:$N$54, 11, FALSE)/VLOOKUP($A39, Data!$A$3:$N$54, 10, FALSE)</f>
        <v>3845.2218300653594</v>
      </c>
      <c r="P39" s="5"/>
      <c r="Q39" s="50">
        <f>VLOOKUP($A39, Data!$A$3:$N$54, 12, FALSE)/VLOOKUP($A39, Data!$A$3:$N$54, 10, FALSE)</f>
        <v>0.43957049486461253</v>
      </c>
      <c r="R39" s="5"/>
      <c r="S39" s="42">
        <f>VLOOKUP($A39, Data!$A$3:$N$54, 11, FALSE)/VLOOKUP($A39, Data!$A$3:$N$54, 12, FALSE)</f>
        <v>8747.6795530821182</v>
      </c>
    </row>
    <row r="40" spans="1:19" x14ac:dyDescent="0.25">
      <c r="A40" s="27" t="s">
        <v>84</v>
      </c>
      <c r="B40" s="49" t="s">
        <v>85</v>
      </c>
      <c r="C40" s="4">
        <f>VLOOKUP($A40, Data!$A$3:$N$54, 11, FALSE)/VLOOKUP($A40, Data!$A$3:$N$54, 3, FALSE)</f>
        <v>34.450024976907955</v>
      </c>
      <c r="D40" s="5"/>
      <c r="E40" s="54">
        <f>VLOOKUP($A40, Data!$A$3:$N$54, 10, FALSE)/VLOOKUP($A40, Data!$A$3:$N$54, 3, FALSE)</f>
        <v>7.7971080696619876E-3</v>
      </c>
      <c r="F40" s="5"/>
      <c r="G40" s="42">
        <f>VLOOKUP($A40, Data!$A$3:$N$54, 11, FALSE)/VLOOKUP($A40, Data!$A$3:$N$54, 10, FALSE)</f>
        <v>4418.3080020335537</v>
      </c>
      <c r="H40" s="54">
        <f>VLOOKUP($A40, Data!$A$3:$N$54, 10, FALSE)/VLOOKUP($A40, Data!$A$3:$N$54, 3, FALSE)</f>
        <v>7.7971080696619876E-3</v>
      </c>
      <c r="I40" s="5"/>
      <c r="J40" s="54">
        <f>VLOOKUP($A40, Data!$A$3:$N$54, 8, FALSE)/VLOOKUP($A40, Data!$A$3:$N$54, 3, FALSE)</f>
        <v>7.7611311744712141E-2</v>
      </c>
      <c r="K40" s="5"/>
      <c r="L40" s="54">
        <f>VLOOKUP($A40, Data!$A$3:$N$54, 9, FALSE)/VLOOKUP($A40, Data!$A$3:$N$54, 8, FALSE)</f>
        <v>0.30833985384519524</v>
      </c>
      <c r="M40" s="5"/>
      <c r="N40" s="94">
        <f>VLOOKUP($A40, Data!$A$3:$N$54, 10, FALSE)/VLOOKUP($A40, Data!$A$3:$N$54, 9, FALSE)</f>
        <v>0.32582084657101307</v>
      </c>
      <c r="O40" s="61">
        <f>VLOOKUP($A40, Data!$A$3:$N$54, 11, FALSE)/VLOOKUP($A40, Data!$A$3:$N$54, 10, FALSE)</f>
        <v>4418.3080020335537</v>
      </c>
      <c r="P40" s="5"/>
      <c r="Q40" s="50">
        <f>VLOOKUP($A40, Data!$A$3:$N$54, 12, FALSE)/VLOOKUP($A40, Data!$A$3:$N$54, 10, FALSE)</f>
        <v>0.2553329944077275</v>
      </c>
      <c r="R40" s="5"/>
      <c r="S40" s="42">
        <f>VLOOKUP($A40, Data!$A$3:$N$54, 11, FALSE)/VLOOKUP($A40, Data!$A$3:$N$54, 12, FALSE)</f>
        <v>17304.101306148455</v>
      </c>
    </row>
    <row r="41" spans="1:19" x14ac:dyDescent="0.25">
      <c r="A41" s="27" t="s">
        <v>34</v>
      </c>
      <c r="B41" s="49" t="s">
        <v>35</v>
      </c>
      <c r="C41" s="4">
        <f>VLOOKUP($A41, Data!$A$3:$N$54, 11, FALSE)/VLOOKUP($A41, Data!$A$3:$N$54, 3, FALSE)</f>
        <v>26.39944148329128</v>
      </c>
      <c r="D41" s="5"/>
      <c r="E41" s="54">
        <f>VLOOKUP($A41, Data!$A$3:$N$54, 10, FALSE)/VLOOKUP($A41, Data!$A$3:$N$54, 3, FALSE)</f>
        <v>4.5445512008446742E-3</v>
      </c>
      <c r="F41" s="5"/>
      <c r="G41" s="42">
        <f>VLOOKUP($A41, Data!$A$3:$N$54, 11, FALSE)/VLOOKUP($A41, Data!$A$3:$N$54, 10, FALSE)</f>
        <v>5809.0315889464591</v>
      </c>
      <c r="H41" s="54">
        <f>VLOOKUP($A41, Data!$A$3:$N$54, 10, FALSE)/VLOOKUP($A41, Data!$A$3:$N$54, 3, FALSE)</f>
        <v>4.5445512008446742E-3</v>
      </c>
      <c r="I41" s="5"/>
      <c r="J41" s="54">
        <f>VLOOKUP($A41, Data!$A$3:$N$54, 8, FALSE)/VLOOKUP($A41, Data!$A$3:$N$54, 3, FALSE)</f>
        <v>0.10587885968968956</v>
      </c>
      <c r="K41" s="5"/>
      <c r="L41" s="54">
        <f>VLOOKUP($A41, Data!$A$3:$N$54, 9, FALSE)/VLOOKUP($A41, Data!$A$3:$N$54, 8, FALSE)</f>
        <v>0.33396085704987499</v>
      </c>
      <c r="M41" s="5"/>
      <c r="N41" s="94">
        <f>VLOOKUP($A41, Data!$A$3:$N$54, 10, FALSE)/VLOOKUP($A41, Data!$A$3:$N$54, 9, FALSE)</f>
        <v>0.12852457560807773</v>
      </c>
      <c r="O41" s="61">
        <f>VLOOKUP($A41, Data!$A$3:$N$54, 11, FALSE)/VLOOKUP($A41, Data!$A$3:$N$54, 10, FALSE)</f>
        <v>5809.0315889464591</v>
      </c>
      <c r="P41" s="5"/>
      <c r="Q41" s="50">
        <f>VLOOKUP($A41, Data!$A$3:$N$54, 12, FALSE)/VLOOKUP($A41, Data!$A$3:$N$54, 10, FALSE)</f>
        <v>1.1459412780656304</v>
      </c>
      <c r="R41" s="5"/>
      <c r="S41" s="42">
        <f>VLOOKUP($A41, Data!$A$3:$N$54, 11, FALSE)/VLOOKUP($A41, Data!$A$3:$N$54, 12, FALSE)</f>
        <v>5069.2227430293897</v>
      </c>
    </row>
    <row r="42" spans="1:19" x14ac:dyDescent="0.25">
      <c r="A42" s="27" t="s">
        <v>22</v>
      </c>
      <c r="B42" s="49" t="s">
        <v>23</v>
      </c>
      <c r="C42" s="4">
        <f>VLOOKUP($A42, Data!$A$3:$N$54, 11, FALSE)/VLOOKUP($A42, Data!$A$3:$N$54, 3, FALSE)</f>
        <v>26.985523392759465</v>
      </c>
      <c r="D42" s="5"/>
      <c r="E42" s="54">
        <f>VLOOKUP($A42, Data!$A$3:$N$54, 10, FALSE)/VLOOKUP($A42, Data!$A$3:$N$54, 3, FALSE)</f>
        <v>7.7026981770280979E-3</v>
      </c>
      <c r="F42" s="5"/>
      <c r="G42" s="42">
        <f>VLOOKUP($A42, Data!$A$3:$N$54, 11, FALSE)/VLOOKUP($A42, Data!$A$3:$N$54, 10, FALSE)</f>
        <v>3503.3857971014495</v>
      </c>
      <c r="H42" s="54">
        <f>VLOOKUP($A42, Data!$A$3:$N$54, 10, FALSE)/VLOOKUP($A42, Data!$A$3:$N$54, 3, FALSE)</f>
        <v>7.7026981770280979E-3</v>
      </c>
      <c r="I42" s="5"/>
      <c r="J42" s="54">
        <f>VLOOKUP($A42, Data!$A$3:$N$54, 8, FALSE)/VLOOKUP($A42, Data!$A$3:$N$54, 3, FALSE)</f>
        <v>9.2695832728652922E-2</v>
      </c>
      <c r="K42" s="5"/>
      <c r="L42" s="54">
        <f>VLOOKUP($A42, Data!$A$3:$N$54, 9, FALSE)/VLOOKUP($A42, Data!$A$3:$N$54, 8, FALSE)</f>
        <v>0.37954019943157186</v>
      </c>
      <c r="M42" s="5"/>
      <c r="N42" s="94">
        <f>VLOOKUP($A42, Data!$A$3:$N$54, 10, FALSE)/VLOOKUP($A42, Data!$A$3:$N$54, 9, FALSE)</f>
        <v>0.21893988672240644</v>
      </c>
      <c r="O42" s="61">
        <f>VLOOKUP($A42, Data!$A$3:$N$54, 11, FALSE)/VLOOKUP($A42, Data!$A$3:$N$54, 10, FALSE)</f>
        <v>3503.3857971014495</v>
      </c>
      <c r="P42" s="5"/>
      <c r="Q42" s="50">
        <f>VLOOKUP($A42, Data!$A$3:$N$54, 12, FALSE)/VLOOKUP($A42, Data!$A$3:$N$54, 10, FALSE)</f>
        <v>0.20623188405797102</v>
      </c>
      <c r="R42" s="5"/>
      <c r="S42" s="42">
        <f>VLOOKUP($A42, Data!$A$3:$N$54, 11, FALSE)/VLOOKUP($A42, Data!$A$3:$N$54, 12, FALSE)</f>
        <v>16987.605059732959</v>
      </c>
    </row>
    <row r="43" spans="1:19" x14ac:dyDescent="0.25">
      <c r="A43" s="27" t="s">
        <v>10</v>
      </c>
      <c r="B43" s="49" t="s">
        <v>11</v>
      </c>
      <c r="C43" s="4">
        <f>VLOOKUP($A43, Data!$A$3:$N$54, 11, FALSE)/VLOOKUP($A43, Data!$A$3:$N$54, 3, FALSE)</f>
        <v>41.73732349530458</v>
      </c>
      <c r="D43" s="5"/>
      <c r="E43" s="54">
        <f>VLOOKUP($A43, Data!$A$3:$N$54, 10, FALSE)/VLOOKUP($A43, Data!$A$3:$N$54, 3, FALSE)</f>
        <v>5.9687578162304737E-3</v>
      </c>
      <c r="F43" s="5"/>
      <c r="G43" s="42">
        <f>VLOOKUP($A43, Data!$A$3:$N$54, 11, FALSE)/VLOOKUP($A43, Data!$A$3:$N$54, 10, FALSE)</f>
        <v>6992.6314285714288</v>
      </c>
      <c r="H43" s="54">
        <f>VLOOKUP($A43, Data!$A$3:$N$54, 10, FALSE)/VLOOKUP($A43, Data!$A$3:$N$54, 3, FALSE)</f>
        <v>5.9687578162304737E-3</v>
      </c>
      <c r="I43" s="5"/>
      <c r="J43" s="54">
        <f>VLOOKUP($A43, Data!$A$3:$N$54, 8, FALSE)/VLOOKUP($A43, Data!$A$3:$N$54, 3, FALSE)</f>
        <v>9.5178949043861844E-2</v>
      </c>
      <c r="K43" s="5"/>
      <c r="L43" s="54">
        <f>VLOOKUP($A43, Data!$A$3:$N$54, 9, FALSE)/VLOOKUP($A43, Data!$A$3:$N$54, 8, FALSE)</f>
        <v>0.38515692656851913</v>
      </c>
      <c r="M43" s="5"/>
      <c r="N43" s="94">
        <f>VLOOKUP($A43, Data!$A$3:$N$54, 10, FALSE)/VLOOKUP($A43, Data!$A$3:$N$54, 9, FALSE)</f>
        <v>0.16281909635401523</v>
      </c>
      <c r="O43" s="61">
        <f>VLOOKUP($A43, Data!$A$3:$N$54, 11, FALSE)/VLOOKUP($A43, Data!$A$3:$N$54, 10, FALSE)</f>
        <v>6992.6314285714288</v>
      </c>
      <c r="P43" s="5"/>
      <c r="Q43" s="50">
        <f>VLOOKUP($A43, Data!$A$3:$N$54, 12, FALSE)/VLOOKUP($A43, Data!$A$3:$N$54, 10, FALSE)</f>
        <v>0.25642857142857145</v>
      </c>
      <c r="R43" s="5"/>
      <c r="S43" s="42">
        <f>VLOOKUP($A43, Data!$A$3:$N$54, 11, FALSE)/VLOOKUP($A43, Data!$A$3:$N$54, 12, FALSE)</f>
        <v>27269.314763231199</v>
      </c>
    </row>
    <row r="44" spans="1:19" x14ac:dyDescent="0.25">
      <c r="A44" s="27" t="s">
        <v>50</v>
      </c>
      <c r="B44" s="49" t="s">
        <v>51</v>
      </c>
      <c r="C44" s="4">
        <f>VLOOKUP($A44, Data!$A$3:$N$54, 11, FALSE)/VLOOKUP($A44, Data!$A$3:$N$54, 3, FALSE)</f>
        <v>41.802039354901318</v>
      </c>
      <c r="D44" s="5"/>
      <c r="E44" s="54">
        <f>VLOOKUP($A44, Data!$A$3:$N$54, 10, FALSE)/VLOOKUP($A44, Data!$A$3:$N$54, 3, FALSE)</f>
        <v>4.3309309569885667E-3</v>
      </c>
      <c r="F44" s="5"/>
      <c r="G44" s="42">
        <f>VLOOKUP($A44, Data!$A$3:$N$54, 11, FALSE)/VLOOKUP($A44, Data!$A$3:$N$54, 10, FALSE)</f>
        <v>9651.975469026549</v>
      </c>
      <c r="H44" s="54">
        <f>VLOOKUP($A44, Data!$A$3:$N$54, 10, FALSE)/VLOOKUP($A44, Data!$A$3:$N$54, 3, FALSE)</f>
        <v>4.3309309569885667E-3</v>
      </c>
      <c r="I44" s="5"/>
      <c r="J44" s="54">
        <f>VLOOKUP($A44, Data!$A$3:$N$54, 8, FALSE)/VLOOKUP($A44, Data!$A$3:$N$54, 3, FALSE)</f>
        <v>6.4158794465054902E-2</v>
      </c>
      <c r="K44" s="5"/>
      <c r="L44" s="54">
        <f>VLOOKUP($A44, Data!$A$3:$N$54, 9, FALSE)/VLOOKUP($A44, Data!$A$3:$N$54, 8, FALSE)</f>
        <v>0.31868491605694649</v>
      </c>
      <c r="M44" s="5"/>
      <c r="N44" s="94">
        <f>VLOOKUP($A44, Data!$A$3:$N$54, 10, FALSE)/VLOOKUP($A44, Data!$A$3:$N$54, 9, FALSE)</f>
        <v>0.211818338594426</v>
      </c>
      <c r="O44" s="61">
        <f>VLOOKUP($A44, Data!$A$3:$N$54, 11, FALSE)/VLOOKUP($A44, Data!$A$3:$N$54, 10, FALSE)</f>
        <v>9651.975469026549</v>
      </c>
      <c r="P44" s="5"/>
      <c r="Q44" s="50">
        <f>VLOOKUP($A44, Data!$A$3:$N$54, 12, FALSE)/VLOOKUP($A44, Data!$A$3:$N$54, 10, FALSE)</f>
        <v>0.51387610619469026</v>
      </c>
      <c r="R44" s="5"/>
      <c r="S44" s="42">
        <f>VLOOKUP($A44, Data!$A$3:$N$54, 11, FALSE)/VLOOKUP($A44, Data!$A$3:$N$54, 12, FALSE)</f>
        <v>18782.689743059862</v>
      </c>
    </row>
    <row r="45" spans="1:19" x14ac:dyDescent="0.25">
      <c r="A45" s="27" t="s">
        <v>102</v>
      </c>
      <c r="B45" s="49" t="s">
        <v>103</v>
      </c>
      <c r="C45" s="4">
        <f>VLOOKUP($A45, Data!$A$3:$N$54, 11, FALSE)/VLOOKUP($A45, Data!$A$3:$N$54, 3, FALSE)</f>
        <v>39.720667662440619</v>
      </c>
      <c r="D45" s="5"/>
      <c r="E45" s="54">
        <f>VLOOKUP($A45, Data!$A$3:$N$54, 10, FALSE)/VLOOKUP($A45, Data!$A$3:$N$54, 3, FALSE)</f>
        <v>6.203254705046699E-3</v>
      </c>
      <c r="F45" s="5"/>
      <c r="G45" s="42">
        <f>VLOOKUP($A45, Data!$A$3:$N$54, 11, FALSE)/VLOOKUP($A45, Data!$A$3:$N$54, 10, FALSE)</f>
        <v>6403.1979261025026</v>
      </c>
      <c r="H45" s="54">
        <f>VLOOKUP($A45, Data!$A$3:$N$54, 10, FALSE)/VLOOKUP($A45, Data!$A$3:$N$54, 3, FALSE)</f>
        <v>6.203254705046699E-3</v>
      </c>
      <c r="I45" s="5"/>
      <c r="J45" s="54">
        <f>VLOOKUP($A45, Data!$A$3:$N$54, 8, FALSE)/VLOOKUP($A45, Data!$A$3:$N$54, 3, FALSE)</f>
        <v>9.9059101564654556E-2</v>
      </c>
      <c r="K45" s="5"/>
      <c r="L45" s="54">
        <f>VLOOKUP($A45, Data!$A$3:$N$54, 9, FALSE)/VLOOKUP($A45, Data!$A$3:$N$54, 8, FALSE)</f>
        <v>0.2604005105277693</v>
      </c>
      <c r="M45" s="5"/>
      <c r="N45" s="94">
        <f>VLOOKUP($A45, Data!$A$3:$N$54, 10, FALSE)/VLOOKUP($A45, Data!$A$3:$N$54, 9, FALSE)</f>
        <v>0.24048245538606175</v>
      </c>
      <c r="O45" s="61">
        <f>VLOOKUP($A45, Data!$A$3:$N$54, 11, FALSE)/VLOOKUP($A45, Data!$A$3:$N$54, 10, FALSE)</f>
        <v>6403.1979261025026</v>
      </c>
      <c r="P45" s="5"/>
      <c r="Q45" s="50">
        <f>VLOOKUP($A45, Data!$A$3:$N$54, 12, FALSE)/VLOOKUP($A45, Data!$A$3:$N$54, 10, FALSE)</f>
        <v>0.30135876042908222</v>
      </c>
      <c r="R45" s="5"/>
      <c r="S45" s="42">
        <f>VLOOKUP($A45, Data!$A$3:$N$54, 11, FALSE)/VLOOKUP($A45, Data!$A$3:$N$54, 12, FALSE)</f>
        <v>21247.75771238728</v>
      </c>
    </row>
    <row r="46" spans="1:19" x14ac:dyDescent="0.25">
      <c r="A46" s="27" t="s">
        <v>64</v>
      </c>
      <c r="B46" s="49" t="s">
        <v>65</v>
      </c>
      <c r="C46" s="4">
        <f>VLOOKUP($A46, Data!$A$3:$N$54, 11, FALSE)/VLOOKUP($A46, Data!$A$3:$N$54, 3, FALSE)</f>
        <v>18.591527373470154</v>
      </c>
      <c r="D46" s="5"/>
      <c r="E46" s="54">
        <f>VLOOKUP($A46, Data!$A$3:$N$54, 10, FALSE)/VLOOKUP($A46, Data!$A$3:$N$54, 3, FALSE)</f>
        <v>2.2501137144244933E-3</v>
      </c>
      <c r="F46" s="5"/>
      <c r="G46" s="42">
        <f>VLOOKUP($A46, Data!$A$3:$N$54, 11, FALSE)/VLOOKUP($A46, Data!$A$3:$N$54, 10, FALSE)</f>
        <v>8262.4834710743798</v>
      </c>
      <c r="H46" s="54">
        <f>VLOOKUP($A46, Data!$A$3:$N$54, 10, FALSE)/VLOOKUP($A46, Data!$A$3:$N$54, 3, FALSE)</f>
        <v>2.2501137144244933E-3</v>
      </c>
      <c r="I46" s="5"/>
      <c r="J46" s="54">
        <f>VLOOKUP($A46, Data!$A$3:$N$54, 8, FALSE)/VLOOKUP($A46, Data!$A$3:$N$54, 3, FALSE)</f>
        <v>0.1158157703589731</v>
      </c>
      <c r="K46" s="5"/>
      <c r="L46" s="54">
        <f>VLOOKUP($A46, Data!$A$3:$N$54, 9, FALSE)/VLOOKUP($A46, Data!$A$3:$N$54, 8, FALSE)</f>
        <v>0.38219974309569688</v>
      </c>
      <c r="M46" s="5"/>
      <c r="N46" s="94">
        <f>VLOOKUP($A46, Data!$A$3:$N$54, 10, FALSE)/VLOOKUP($A46, Data!$A$3:$N$54, 9, FALSE)</f>
        <v>5.0833074266701396E-2</v>
      </c>
      <c r="O46" s="61">
        <f>VLOOKUP($A46, Data!$A$3:$N$54, 11, FALSE)/VLOOKUP($A46, Data!$A$3:$N$54, 10, FALSE)</f>
        <v>8262.4834710743798</v>
      </c>
      <c r="P46" s="5"/>
      <c r="Q46" s="50">
        <f>VLOOKUP($A46, Data!$A$3:$N$54, 12, FALSE)/VLOOKUP($A46, Data!$A$3:$N$54, 10, FALSE)</f>
        <v>0.30495867768595042</v>
      </c>
      <c r="R46" s="5"/>
      <c r="S46" s="42">
        <f>VLOOKUP($A46, Data!$A$3:$N$54, 11, FALSE)/VLOOKUP($A46, Data!$A$3:$N$54, 12, FALSE)</f>
        <v>27093.780487804877</v>
      </c>
    </row>
    <row r="47" spans="1:19" x14ac:dyDescent="0.25">
      <c r="A47" s="27" t="s">
        <v>16</v>
      </c>
      <c r="B47" s="49" t="s">
        <v>17</v>
      </c>
      <c r="C47" s="4">
        <f>VLOOKUP($A47, Data!$A$3:$N$54, 11, FALSE)/VLOOKUP($A47, Data!$A$3:$N$54, 3, FALSE)</f>
        <v>22.845356048984129</v>
      </c>
      <c r="D47" s="5"/>
      <c r="E47" s="54">
        <f>VLOOKUP($A47, Data!$A$3:$N$54, 10, FALSE)/VLOOKUP($A47, Data!$A$3:$N$54, 3, FALSE)</f>
        <v>2.8824412954816365E-3</v>
      </c>
      <c r="F47" s="5"/>
      <c r="G47" s="42">
        <f>VLOOKUP($A47, Data!$A$3:$N$54, 11, FALSE)/VLOOKUP($A47, Data!$A$3:$N$54, 10, FALSE)</f>
        <v>7925.6969031061662</v>
      </c>
      <c r="H47" s="54">
        <f>VLOOKUP($A47, Data!$A$3:$N$54, 10, FALSE)/VLOOKUP($A47, Data!$A$3:$N$54, 3, FALSE)</f>
        <v>2.8824412954816365E-3</v>
      </c>
      <c r="I47" s="5"/>
      <c r="J47" s="54">
        <f>VLOOKUP($A47, Data!$A$3:$N$54, 8, FALSE)/VLOOKUP($A47, Data!$A$3:$N$54, 3, FALSE)</f>
        <v>0.11547220188046889</v>
      </c>
      <c r="K47" s="5"/>
      <c r="L47" s="54">
        <f>VLOOKUP($A47, Data!$A$3:$N$54, 9, FALSE)/VLOOKUP($A47, Data!$A$3:$N$54, 8, FALSE)</f>
        <v>0.28864623353009156</v>
      </c>
      <c r="M47" s="5"/>
      <c r="N47" s="94">
        <f>VLOOKUP($A47, Data!$A$3:$N$54, 10, FALSE)/VLOOKUP($A47, Data!$A$3:$N$54, 9, FALSE)</f>
        <v>8.648028834781353E-2</v>
      </c>
      <c r="O47" s="61">
        <f>VLOOKUP($A47, Data!$A$3:$N$54, 11, FALSE)/VLOOKUP($A47, Data!$A$3:$N$54, 10, FALSE)</f>
        <v>7925.6969031061662</v>
      </c>
      <c r="P47" s="5"/>
      <c r="Q47" s="50">
        <f>VLOOKUP($A47, Data!$A$3:$N$54, 12, FALSE)/VLOOKUP($A47, Data!$A$3:$N$54, 10, FALSE)</f>
        <v>0.53942512749188687</v>
      </c>
      <c r="R47" s="5"/>
      <c r="S47" s="42">
        <f>VLOOKUP($A47, Data!$A$3:$N$54, 11, FALSE)/VLOOKUP($A47, Data!$A$3:$N$54, 12, FALSE)</f>
        <v>14692.858191381474</v>
      </c>
    </row>
    <row r="48" spans="1:19" x14ac:dyDescent="0.25">
      <c r="A48" s="27" t="s">
        <v>20</v>
      </c>
      <c r="B48" s="49" t="s">
        <v>21</v>
      </c>
      <c r="C48" s="4">
        <f>VLOOKUP($A48, Data!$A$3:$N$54, 11, FALSE)/VLOOKUP($A48, Data!$A$3:$N$54, 3, FALSE)</f>
        <v>33.467742703652782</v>
      </c>
      <c r="D48" s="5"/>
      <c r="E48" s="54">
        <f>VLOOKUP($A48, Data!$A$3:$N$54, 10, FALSE)/VLOOKUP($A48, Data!$A$3:$N$54, 3, FALSE)</f>
        <v>2.7073381621284497E-3</v>
      </c>
      <c r="F48" s="5"/>
      <c r="G48" s="42">
        <f>VLOOKUP($A48, Data!$A$3:$N$54, 11, FALSE)/VLOOKUP($A48, Data!$A$3:$N$54, 10, FALSE)</f>
        <v>12361.862722513089</v>
      </c>
      <c r="H48" s="54">
        <f>VLOOKUP($A48, Data!$A$3:$N$54, 10, FALSE)/VLOOKUP($A48, Data!$A$3:$N$54, 3, FALSE)</f>
        <v>2.7073381621284497E-3</v>
      </c>
      <c r="I48" s="5"/>
      <c r="J48" s="54">
        <f>VLOOKUP($A48, Data!$A$3:$N$54, 8, FALSE)/VLOOKUP($A48, Data!$A$3:$N$54, 3, FALSE)</f>
        <v>6.5801357921444675E-2</v>
      </c>
      <c r="K48" s="5"/>
      <c r="L48" s="54">
        <f>VLOOKUP($A48, Data!$A$3:$N$54, 9, FALSE)/VLOOKUP($A48, Data!$A$3:$N$54, 8, FALSE)</f>
        <v>0.3709044379628712</v>
      </c>
      <c r="M48" s="5"/>
      <c r="N48" s="94">
        <f>VLOOKUP($A48, Data!$A$3:$N$54, 10, FALSE)/VLOOKUP($A48, Data!$A$3:$N$54, 9, FALSE)</f>
        <v>0.11092913312657537</v>
      </c>
      <c r="O48" s="61">
        <f>VLOOKUP($A48, Data!$A$3:$N$54, 11, FALSE)/VLOOKUP($A48, Data!$A$3:$N$54, 10, FALSE)</f>
        <v>12361.862722513089</v>
      </c>
      <c r="P48" s="5"/>
      <c r="Q48" s="50">
        <f>VLOOKUP($A48, Data!$A$3:$N$54, 12, FALSE)/VLOOKUP($A48, Data!$A$3:$N$54, 10, FALSE)</f>
        <v>1.0158115183246073</v>
      </c>
      <c r="R48" s="5"/>
      <c r="S48" s="42">
        <f>VLOOKUP($A48, Data!$A$3:$N$54, 11, FALSE)/VLOOKUP($A48, Data!$A$3:$N$54, 12, FALSE)</f>
        <v>12169.445314915987</v>
      </c>
    </row>
    <row r="49" spans="1:19" x14ac:dyDescent="0.25">
      <c r="A49" s="27" t="s">
        <v>72</v>
      </c>
      <c r="B49" s="49" t="s">
        <v>73</v>
      </c>
      <c r="C49" s="4">
        <f>VLOOKUP($A49, Data!$A$3:$N$54, 11, FALSE)/VLOOKUP($A49, Data!$A$3:$N$54, 3, FALSE)</f>
        <v>44.378028250930022</v>
      </c>
      <c r="D49" s="5"/>
      <c r="E49" s="54">
        <f>VLOOKUP($A49, Data!$A$3:$N$54, 10, FALSE)/VLOOKUP($A49, Data!$A$3:$N$54, 3, FALSE)</f>
        <v>6.5937564539480086E-3</v>
      </c>
      <c r="F49" s="5"/>
      <c r="G49" s="42">
        <f>VLOOKUP($A49, Data!$A$3:$N$54, 11, FALSE)/VLOOKUP($A49, Data!$A$3:$N$54, 10, FALSE)</f>
        <v>6730.3104930966465</v>
      </c>
      <c r="H49" s="54">
        <f>VLOOKUP($A49, Data!$A$3:$N$54, 10, FALSE)/VLOOKUP($A49, Data!$A$3:$N$54, 3, FALSE)</f>
        <v>6.5937564539480086E-3</v>
      </c>
      <c r="I49" s="5"/>
      <c r="J49" s="54">
        <f>VLOOKUP($A49, Data!$A$3:$N$54, 8, FALSE)/VLOOKUP($A49, Data!$A$3:$N$54, 3, FALSE)</f>
        <v>9.330599763925311E-2</v>
      </c>
      <c r="K49" s="5"/>
      <c r="L49" s="54">
        <f>VLOOKUP($A49, Data!$A$3:$N$54, 9, FALSE)/VLOOKUP($A49, Data!$A$3:$N$54, 8, FALSE)</f>
        <v>0.2896340647503674</v>
      </c>
      <c r="M49" s="5"/>
      <c r="N49" s="94">
        <f>VLOOKUP($A49, Data!$A$3:$N$54, 10, FALSE)/VLOOKUP($A49, Data!$A$3:$N$54, 9, FALSE)</f>
        <v>0.24399094105429112</v>
      </c>
      <c r="O49" s="61">
        <f>VLOOKUP($A49, Data!$A$3:$N$54, 11, FALSE)/VLOOKUP($A49, Data!$A$3:$N$54, 10, FALSE)</f>
        <v>6730.3104930966465</v>
      </c>
      <c r="P49" s="5"/>
      <c r="Q49" s="50">
        <f>VLOOKUP($A49, Data!$A$3:$N$54, 12, FALSE)/VLOOKUP($A49, Data!$A$3:$N$54, 10, FALSE)</f>
        <v>0.49713609467455622</v>
      </c>
      <c r="R49" s="5"/>
      <c r="S49" s="42">
        <f>VLOOKUP($A49, Data!$A$3:$N$54, 11, FALSE)/VLOOKUP($A49, Data!$A$3:$N$54, 12, FALSE)</f>
        <v>13538.165032057386</v>
      </c>
    </row>
    <row r="50" spans="1:19" x14ac:dyDescent="0.25">
      <c r="A50" s="27" t="s">
        <v>86</v>
      </c>
      <c r="B50" s="49" t="s">
        <v>87</v>
      </c>
      <c r="C50" s="4">
        <f>VLOOKUP($A50, Data!$A$3:$N$54, 11, FALSE)/VLOOKUP($A50, Data!$A$3:$N$54, 3, FALSE)</f>
        <v>36.375729787647423</v>
      </c>
      <c r="D50" s="5"/>
      <c r="E50" s="54">
        <f>VLOOKUP($A50, Data!$A$3:$N$54, 10, FALSE)/VLOOKUP($A50, Data!$A$3:$N$54, 3, FALSE)</f>
        <v>5.3862416152569139E-3</v>
      </c>
      <c r="F50" s="5"/>
      <c r="G50" s="42">
        <f>VLOOKUP($A50, Data!$A$3:$N$54, 11, FALSE)/VLOOKUP($A50, Data!$A$3:$N$54, 10, FALSE)</f>
        <v>6753.4530357142858</v>
      </c>
      <c r="H50" s="54">
        <f>VLOOKUP($A50, Data!$A$3:$N$54, 10, FALSE)/VLOOKUP($A50, Data!$A$3:$N$54, 3, FALSE)</f>
        <v>5.3862416152569139E-3</v>
      </c>
      <c r="I50" s="5"/>
      <c r="J50" s="54">
        <f>VLOOKUP($A50, Data!$A$3:$N$54, 8, FALSE)/VLOOKUP($A50, Data!$A$3:$N$54, 3, FALSE)</f>
        <v>7.9325873388696205E-2</v>
      </c>
      <c r="K50" s="5"/>
      <c r="L50" s="54">
        <f>VLOOKUP($A50, Data!$A$3:$N$54, 9, FALSE)/VLOOKUP($A50, Data!$A$3:$N$54, 8, FALSE)</f>
        <v>0.27779057642408517</v>
      </c>
      <c r="M50" s="5"/>
      <c r="N50" s="94">
        <f>VLOOKUP($A50, Data!$A$3:$N$54, 10, FALSE)/VLOOKUP($A50, Data!$A$3:$N$54, 9, FALSE)</f>
        <v>0.2444294100958076</v>
      </c>
      <c r="O50" s="61">
        <f>VLOOKUP($A50, Data!$A$3:$N$54, 11, FALSE)/VLOOKUP($A50, Data!$A$3:$N$54, 10, FALSE)</f>
        <v>6753.4530357142858</v>
      </c>
      <c r="P50" s="5"/>
      <c r="Q50" s="50">
        <f>VLOOKUP($A50, Data!$A$3:$N$54, 12, FALSE)/VLOOKUP($A50, Data!$A$3:$N$54, 10, FALSE)</f>
        <v>0.16732142857142857</v>
      </c>
      <c r="R50" s="5"/>
      <c r="S50" s="42">
        <f>VLOOKUP($A50, Data!$A$3:$N$54, 11, FALSE)/VLOOKUP($A50, Data!$A$3:$N$54, 12, FALSE)</f>
        <v>40362.152614727856</v>
      </c>
    </row>
    <row r="51" spans="1:19" x14ac:dyDescent="0.25">
      <c r="A51" s="27" t="s">
        <v>48</v>
      </c>
      <c r="B51" s="49" t="s">
        <v>49</v>
      </c>
      <c r="C51" s="4">
        <f>VLOOKUP($A51, Data!$A$3:$N$54, 11, FALSE)/VLOOKUP($A51, Data!$A$3:$N$54, 3, FALSE)</f>
        <v>22.681947495215955</v>
      </c>
      <c r="D51" s="5"/>
      <c r="E51" s="54">
        <f>VLOOKUP($A51, Data!$A$3:$N$54, 10, FALSE)/VLOOKUP($A51, Data!$A$3:$N$54, 3, FALSE)</f>
        <v>3.7351104523054863E-3</v>
      </c>
      <c r="F51" s="5"/>
      <c r="G51" s="42">
        <f>VLOOKUP($A51, Data!$A$3:$N$54, 11, FALSE)/VLOOKUP($A51, Data!$A$3:$N$54, 10, FALSE)</f>
        <v>6072.6309930715934</v>
      </c>
      <c r="H51" s="54">
        <f>VLOOKUP($A51, Data!$A$3:$N$54, 10, FALSE)/VLOOKUP($A51, Data!$A$3:$N$54, 3, FALSE)</f>
        <v>3.7351104523054863E-3</v>
      </c>
      <c r="I51" s="5"/>
      <c r="J51" s="54">
        <f>VLOOKUP($A51, Data!$A$3:$N$54, 8, FALSE)/VLOOKUP($A51, Data!$A$3:$N$54, 3, FALSE)</f>
        <v>6.9696298427906672E-2</v>
      </c>
      <c r="K51" s="5"/>
      <c r="L51" s="54">
        <f>VLOOKUP($A51, Data!$A$3:$N$54, 9, FALSE)/VLOOKUP($A51, Data!$A$3:$N$54, 8, FALSE)</f>
        <v>0.26760465761020236</v>
      </c>
      <c r="M51" s="5"/>
      <c r="N51" s="94">
        <f>VLOOKUP($A51, Data!$A$3:$N$54, 10, FALSE)/VLOOKUP($A51, Data!$A$3:$N$54, 9, FALSE)</f>
        <v>0.20026270026270027</v>
      </c>
      <c r="O51" s="61">
        <f>VLOOKUP($A51, Data!$A$3:$N$54, 11, FALSE)/VLOOKUP($A51, Data!$A$3:$N$54, 10, FALSE)</f>
        <v>6072.6309930715934</v>
      </c>
      <c r="P51" s="5"/>
      <c r="Q51" s="50">
        <f>VLOOKUP($A51, Data!$A$3:$N$54, 12, FALSE)/VLOOKUP($A51, Data!$A$3:$N$54, 10, FALSE)</f>
        <v>0.32170900692840648</v>
      </c>
      <c r="R51" s="5"/>
      <c r="S51" s="42">
        <f>VLOOKUP($A51, Data!$A$3:$N$54, 11, FALSE)/VLOOKUP($A51, Data!$A$3:$N$54, 12, FALSE)</f>
        <v>18876.160947595119</v>
      </c>
    </row>
    <row r="52" spans="1:19" x14ac:dyDescent="0.25">
      <c r="A52" s="27" t="s">
        <v>54</v>
      </c>
      <c r="B52" s="49" t="s">
        <v>55</v>
      </c>
      <c r="C52" s="4">
        <f>VLOOKUP($A52, Data!$A$3:$N$54, 11, FALSE)/VLOOKUP($A52, Data!$A$3:$N$54, 3, FALSE)</f>
        <v>37.167410286715416</v>
      </c>
      <c r="D52" s="5"/>
      <c r="E52" s="54">
        <f>VLOOKUP($A52, Data!$A$3:$N$54, 10, FALSE)/VLOOKUP($A52, Data!$A$3:$N$54, 3, FALSE)</f>
        <v>5.4225273323014328E-3</v>
      </c>
      <c r="F52" s="5"/>
      <c r="G52" s="42">
        <f>VLOOKUP($A52, Data!$A$3:$N$54, 11, FALSE)/VLOOKUP($A52, Data!$A$3:$N$54, 10, FALSE)</f>
        <v>6854.2596485061513</v>
      </c>
      <c r="H52" s="54">
        <f>VLOOKUP($A52, Data!$A$3:$N$54, 10, FALSE)/VLOOKUP($A52, Data!$A$3:$N$54, 3, FALSE)</f>
        <v>5.4225273323014328E-3</v>
      </c>
      <c r="I52" s="5"/>
      <c r="J52" s="54">
        <f>VLOOKUP($A52, Data!$A$3:$N$54, 8, FALSE)/VLOOKUP($A52, Data!$A$3:$N$54, 3, FALSE)</f>
        <v>7.3316000305719997E-2</v>
      </c>
      <c r="K52" s="5"/>
      <c r="L52" s="54">
        <f>VLOOKUP($A52, Data!$A$3:$N$54, 9, FALSE)/VLOOKUP($A52, Data!$A$3:$N$54, 8, FALSE)</f>
        <v>0.29677613073295517</v>
      </c>
      <c r="M52" s="5"/>
      <c r="N52" s="94">
        <f>VLOOKUP($A52, Data!$A$3:$N$54, 10, FALSE)/VLOOKUP($A52, Data!$A$3:$N$54, 9, FALSE)</f>
        <v>0.249214907343737</v>
      </c>
      <c r="O52" s="61">
        <f>VLOOKUP($A52, Data!$A$3:$N$54, 11, FALSE)/VLOOKUP($A52, Data!$A$3:$N$54, 10, FALSE)</f>
        <v>6854.2596485061513</v>
      </c>
      <c r="P52" s="5"/>
      <c r="Q52" s="50">
        <f>VLOOKUP($A52, Data!$A$3:$N$54, 12, FALSE)/VLOOKUP($A52, Data!$A$3:$N$54, 10, FALSE)</f>
        <v>0.33381370826010542</v>
      </c>
      <c r="R52" s="5"/>
      <c r="S52" s="42">
        <f>VLOOKUP($A52, Data!$A$3:$N$54, 11, FALSE)/VLOOKUP($A52, Data!$A$3:$N$54, 12, FALSE)</f>
        <v>20533.188059387176</v>
      </c>
    </row>
    <row r="53" spans="1:19" x14ac:dyDescent="0.25">
      <c r="A53" s="27" t="s">
        <v>68</v>
      </c>
      <c r="B53" s="49" t="s">
        <v>69</v>
      </c>
      <c r="C53" s="4">
        <f>VLOOKUP($A53, Data!$A$3:$N$54, 11, FALSE)/VLOOKUP($A53, Data!$A$3:$N$54, 3, FALSE)</f>
        <v>28.975988774863612</v>
      </c>
      <c r="D53" s="5"/>
      <c r="E53" s="54">
        <f>VLOOKUP($A53, Data!$A$3:$N$54, 10, FALSE)/VLOOKUP($A53, Data!$A$3:$N$54, 3, FALSE)</f>
        <v>3.8963378452963951E-3</v>
      </c>
      <c r="F53" s="5"/>
      <c r="G53" s="42">
        <f>VLOOKUP($A53, Data!$A$3:$N$54, 11, FALSE)/VLOOKUP($A53, Data!$A$3:$N$54, 10, FALSE)</f>
        <v>7436.7238995568687</v>
      </c>
      <c r="H53" s="54">
        <f>VLOOKUP($A53, Data!$A$3:$N$54, 10, FALSE)/VLOOKUP($A53, Data!$A$3:$N$54, 3, FALSE)</f>
        <v>3.8963378452963951E-3</v>
      </c>
      <c r="I53" s="5"/>
      <c r="J53" s="54">
        <f>VLOOKUP($A53, Data!$A$3:$N$54, 8, FALSE)/VLOOKUP($A53, Data!$A$3:$N$54, 3, FALSE)</f>
        <v>7.2016409510287316E-2</v>
      </c>
      <c r="K53" s="5"/>
      <c r="L53" s="54">
        <f>VLOOKUP($A53, Data!$A$3:$N$54, 9, FALSE)/VLOOKUP($A53, Data!$A$3:$N$54, 8, FALSE)</f>
        <v>0.30712391693158986</v>
      </c>
      <c r="M53" s="5"/>
      <c r="N53" s="94">
        <f>VLOOKUP($A53, Data!$A$3:$N$54, 10, FALSE)/VLOOKUP($A53, Data!$A$3:$N$54, 9, FALSE)</f>
        <v>0.17616170447507976</v>
      </c>
      <c r="O53" s="61">
        <f>VLOOKUP($A53, Data!$A$3:$N$54, 11, FALSE)/VLOOKUP($A53, Data!$A$3:$N$54, 10, FALSE)</f>
        <v>7436.7238995568687</v>
      </c>
      <c r="P53" s="5"/>
      <c r="Q53" s="50">
        <f>VLOOKUP($A53, Data!$A$3:$N$54, 12, FALSE)/VLOOKUP($A53, Data!$A$3:$N$54, 10, FALSE)</f>
        <v>0.18257016248153618</v>
      </c>
      <c r="R53" s="5"/>
      <c r="S53" s="42">
        <f>VLOOKUP($A53, Data!$A$3:$N$54, 11, FALSE)/VLOOKUP($A53, Data!$A$3:$N$54, 12, FALSE)</f>
        <v>40733.511974110035</v>
      </c>
    </row>
    <row r="54" spans="1:19" x14ac:dyDescent="0.25">
      <c r="A54" s="28" t="s">
        <v>24</v>
      </c>
      <c r="B54" s="51" t="s">
        <v>25</v>
      </c>
      <c r="C54" s="30">
        <f>VLOOKUP($A54, Data!$A$3:$N$54, 11, FALSE)/VLOOKUP($A54, Data!$A$3:$N$54, 3, FALSE)</f>
        <v>25.206228924583723</v>
      </c>
      <c r="D54" s="7"/>
      <c r="E54" s="55">
        <f>VLOOKUP($A54, Data!$A$3:$N$54, 10, FALSE)/VLOOKUP($A54, Data!$A$3:$N$54, 3, FALSE)</f>
        <v>2.1249086697908274E-3</v>
      </c>
      <c r="F54" s="7"/>
      <c r="G54" s="43">
        <f>VLOOKUP($A54, Data!$A$3:$N$54, 11, FALSE)/VLOOKUP($A54, Data!$A$3:$N$54, 10, FALSE)</f>
        <v>11862.264615384616</v>
      </c>
      <c r="H54" s="55">
        <f>VLOOKUP($A54, Data!$A$3:$N$54, 10, FALSE)/VLOOKUP($A54, Data!$A$3:$N$54, 3, FALSE)</f>
        <v>2.1249086697908274E-3</v>
      </c>
      <c r="I54" s="7"/>
      <c r="J54" s="55">
        <f>VLOOKUP($A54, Data!$A$3:$N$54, 8, FALSE)/VLOOKUP($A54, Data!$A$3:$N$54, 3, FALSE)</f>
        <v>8.6465802864049979E-2</v>
      </c>
      <c r="K54" s="7"/>
      <c r="L54" s="55">
        <f>VLOOKUP($A54, Data!$A$3:$N$54, 9, FALSE)/VLOOKUP($A54, Data!$A$3:$N$54, 8, FALSE)</f>
        <v>0.34656609765780072</v>
      </c>
      <c r="M54" s="7"/>
      <c r="N54" s="95">
        <f>VLOOKUP($A54, Data!$A$3:$N$54, 10, FALSE)/VLOOKUP($A54, Data!$A$3:$N$54, 9, FALSE)</f>
        <v>7.0910380188730707E-2</v>
      </c>
      <c r="O54" s="64">
        <f>VLOOKUP($A54, Data!$A$3:$N$54, 11, FALSE)/VLOOKUP($A54, Data!$A$3:$N$54, 10, FALSE)</f>
        <v>11862.264615384616</v>
      </c>
      <c r="P54" s="7"/>
      <c r="Q54" s="52">
        <f>VLOOKUP($A54, Data!$A$3:$N$54, 12, FALSE)/VLOOKUP($A54, Data!$A$3:$N$54, 10, FALSE)</f>
        <v>0.17846153846153845</v>
      </c>
      <c r="R54" s="7"/>
      <c r="S54" s="43">
        <f>VLOOKUP($A54, Data!$A$3:$N$54, 11, FALSE)/VLOOKUP($A54, Data!$A$3:$N$54, 12, FALSE)</f>
        <v>66469.586206896551</v>
      </c>
    </row>
  </sheetData>
  <mergeCells count="3">
    <mergeCell ref="C1:G1"/>
    <mergeCell ref="H1:N1"/>
    <mergeCell ref="O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K13" sqref="K13"/>
    </sheetView>
  </sheetViews>
  <sheetFormatPr defaultRowHeight="15" x14ac:dyDescent="0.25"/>
  <cols>
    <col min="2" max="2" width="19.140625" bestFit="1" customWidth="1"/>
    <col min="3" max="3" width="16.28515625" style="8" customWidth="1"/>
    <col min="4" max="4" width="2.5703125" bestFit="1" customWidth="1"/>
    <col min="5" max="5" width="15.85546875" style="56" customWidth="1"/>
    <col min="6" max="6" width="2.28515625" bestFit="1" customWidth="1"/>
    <col min="7" max="7" width="17.5703125" style="8" customWidth="1"/>
  </cols>
  <sheetData>
    <row r="1" spans="1:7" x14ac:dyDescent="0.25">
      <c r="A1" s="1"/>
      <c r="B1" s="1"/>
      <c r="C1" s="105" t="s">
        <v>110</v>
      </c>
      <c r="D1" s="106"/>
      <c r="E1" s="106"/>
      <c r="F1" s="106"/>
      <c r="G1" s="119"/>
    </row>
    <row r="2" spans="1:7" s="3" customFormat="1" ht="45.75" customHeight="1" x14ac:dyDescent="0.25">
      <c r="A2" s="2" t="s">
        <v>0</v>
      </c>
      <c r="B2" s="2" t="s">
        <v>1</v>
      </c>
      <c r="C2" s="45" t="s">
        <v>112</v>
      </c>
      <c r="D2" s="45" t="s">
        <v>113</v>
      </c>
      <c r="E2" s="57" t="s">
        <v>114</v>
      </c>
      <c r="F2" s="45" t="s">
        <v>115</v>
      </c>
      <c r="G2" s="46" t="s">
        <v>116</v>
      </c>
    </row>
    <row r="3" spans="1:7" x14ac:dyDescent="0.25">
      <c r="A3" s="26" t="s">
        <v>56</v>
      </c>
      <c r="B3" s="47" t="s">
        <v>57</v>
      </c>
      <c r="C3" s="29">
        <f>VLOOKUP($A3, Data!$A$3:$N$54, 14, FALSE)/VLOOKUP($A3, Data!$A$3:$N$54, 3, FALSE)</f>
        <v>9.1270875326633547</v>
      </c>
      <c r="D3" s="6"/>
      <c r="E3" s="59">
        <f>VLOOKUP($A3, Data!$A$3:$N$54, 13, FALSE)/VLOOKUP($A3, Data!$A$3:$N$54, 3, FALSE)</f>
        <v>3.2383797745912421E-2</v>
      </c>
      <c r="F3" s="6"/>
      <c r="G3" s="44">
        <f>VLOOKUP($A3, Data!$A$3:$N$54, 14, FALSE)/VLOOKUP($A3, Data!$A$3:$N$54, 13, FALSE)</f>
        <v>281.84117268381226</v>
      </c>
    </row>
    <row r="4" spans="1:7" x14ac:dyDescent="0.25">
      <c r="A4" s="27" t="s">
        <v>32</v>
      </c>
      <c r="B4" s="49" t="s">
        <v>33</v>
      </c>
      <c r="C4" s="29">
        <f>VLOOKUP($A4, Data!$A$3:$N$54, 14, FALSE)/VLOOKUP($A4, Data!$A$3:$N$54, 3, FALSE)</f>
        <v>43.474739178448203</v>
      </c>
      <c r="D4" s="5"/>
      <c r="E4" s="59">
        <f>VLOOKUP($A4, Data!$A$3:$N$54, 13, FALSE)/VLOOKUP($A4, Data!$A$3:$N$54, 3, FALSE)</f>
        <v>2.910280209517075E-2</v>
      </c>
      <c r="F4" s="5"/>
      <c r="G4" s="44">
        <f>VLOOKUP($A4, Data!$A$3:$N$54, 14, FALSE)/VLOOKUP($A4, Data!$A$3:$N$54, 13, FALSE)</f>
        <v>1493.8334472494764</v>
      </c>
    </row>
    <row r="5" spans="1:7" x14ac:dyDescent="0.25">
      <c r="A5" s="27" t="s">
        <v>80</v>
      </c>
      <c r="B5" s="49" t="s">
        <v>81</v>
      </c>
      <c r="C5" s="29">
        <f>VLOOKUP($A5, Data!$A$3:$N$54, 14, FALSE)/VLOOKUP($A5, Data!$A$3:$N$54, 3, FALSE)</f>
        <v>55.74861200736617</v>
      </c>
      <c r="D5" s="5"/>
      <c r="E5" s="59">
        <f>VLOOKUP($A5, Data!$A$3:$N$54, 13, FALSE)/VLOOKUP($A5, Data!$A$3:$N$54, 3, FALSE)</f>
        <v>3.036546384248693E-2</v>
      </c>
      <c r="F5" s="5"/>
      <c r="G5" s="44">
        <f>VLOOKUP($A5, Data!$A$3:$N$54, 14, FALSE)/VLOOKUP($A5, Data!$A$3:$N$54, 13, FALSE)</f>
        <v>1835.9216344116401</v>
      </c>
    </row>
    <row r="6" spans="1:7" x14ac:dyDescent="0.25">
      <c r="A6" s="27" t="s">
        <v>92</v>
      </c>
      <c r="B6" s="49" t="s">
        <v>93</v>
      </c>
      <c r="C6" s="29">
        <f>VLOOKUP($A6, Data!$A$3:$N$54, 14, FALSE)/VLOOKUP($A6, Data!$A$3:$N$54, 3, FALSE)</f>
        <v>70.16974554380819</v>
      </c>
      <c r="D6" s="5"/>
      <c r="E6" s="59">
        <f>VLOOKUP($A6, Data!$A$3:$N$54, 13, FALSE)/VLOOKUP($A6, Data!$A$3:$N$54, 3, FALSE)</f>
        <v>8.4055980773640373E-3</v>
      </c>
      <c r="F6" s="5"/>
      <c r="G6" s="44">
        <f>VLOOKUP($A6, Data!$A$3:$N$54, 14, FALSE)/VLOOKUP($A6, Data!$A$3:$N$54, 13, FALSE)</f>
        <v>8347.9777284108659</v>
      </c>
    </row>
    <row r="7" spans="1:7" x14ac:dyDescent="0.25">
      <c r="A7" s="27" t="s">
        <v>42</v>
      </c>
      <c r="B7" s="49" t="s">
        <v>43</v>
      </c>
      <c r="C7" s="29">
        <f>VLOOKUP($A7, Data!$A$3:$N$54, 14, FALSE)/VLOOKUP($A7, Data!$A$3:$N$54, 3, FALSE)</f>
        <v>33.745378123420821</v>
      </c>
      <c r="D7" s="5"/>
      <c r="E7" s="59">
        <f>VLOOKUP($A7, Data!$A$3:$N$54, 13, FALSE)/VLOOKUP($A7, Data!$A$3:$N$54, 3, FALSE)</f>
        <v>4.5685898569517477E-2</v>
      </c>
      <c r="F7" s="5"/>
      <c r="G7" s="44">
        <f>VLOOKUP($A7, Data!$A$3:$N$54, 14, FALSE)/VLOOKUP($A7, Data!$A$3:$N$54, 13, FALSE)</f>
        <v>738.63881810428916</v>
      </c>
    </row>
    <row r="8" spans="1:7" x14ac:dyDescent="0.25">
      <c r="A8" s="27" t="s">
        <v>90</v>
      </c>
      <c r="B8" s="49" t="s">
        <v>91</v>
      </c>
      <c r="C8" s="29">
        <f>VLOOKUP($A8, Data!$A$3:$N$54, 14, FALSE)/VLOOKUP($A8, Data!$A$3:$N$54, 3, FALSE)</f>
        <v>48.173684812983531</v>
      </c>
      <c r="D8" s="5"/>
      <c r="E8" s="59">
        <f>VLOOKUP($A8, Data!$A$3:$N$54, 13, FALSE)/VLOOKUP($A8, Data!$A$3:$N$54, 3, FALSE)</f>
        <v>2.6750409965585288E-2</v>
      </c>
      <c r="F8" s="5"/>
      <c r="G8" s="44">
        <f>VLOOKUP($A8, Data!$A$3:$N$54, 14, FALSE)/VLOOKUP($A8, Data!$A$3:$N$54, 13, FALSE)</f>
        <v>1800.8578139534884</v>
      </c>
    </row>
    <row r="9" spans="1:7" x14ac:dyDescent="0.25">
      <c r="A9" s="27" t="s">
        <v>14</v>
      </c>
      <c r="B9" s="49" t="s">
        <v>15</v>
      </c>
      <c r="C9" s="29">
        <f>VLOOKUP($A9, Data!$A$3:$N$54, 14, FALSE)/VLOOKUP($A9, Data!$A$3:$N$54, 3, FALSE)</f>
        <v>5.9597423938889902</v>
      </c>
      <c r="D9" s="5"/>
      <c r="E9" s="59">
        <f>VLOOKUP($A9, Data!$A$3:$N$54, 13, FALSE)/VLOOKUP($A9, Data!$A$3:$N$54, 3, FALSE)</f>
        <v>1.7406966933016743E-2</v>
      </c>
      <c r="F9" s="5"/>
      <c r="G9" s="44">
        <f>VLOOKUP($A9, Data!$A$3:$N$54, 14, FALSE)/VLOOKUP($A9, Data!$A$3:$N$54, 13, FALSE)</f>
        <v>342.37684352607238</v>
      </c>
    </row>
    <row r="10" spans="1:7" x14ac:dyDescent="0.25">
      <c r="A10" s="27" t="s">
        <v>44</v>
      </c>
      <c r="B10" s="49" t="s">
        <v>45</v>
      </c>
      <c r="C10" s="29">
        <f>VLOOKUP($A10, Data!$A$3:$N$54, 14, FALSE)/VLOOKUP($A10, Data!$A$3:$N$54, 3, FALSE)</f>
        <v>53.216097979308067</v>
      </c>
      <c r="D10" s="5"/>
      <c r="E10" s="59">
        <f>VLOOKUP($A10, Data!$A$3:$N$54, 13, FALSE)/VLOOKUP($A10, Data!$A$3:$N$54, 3, FALSE)</f>
        <v>1.5964797186791405E-2</v>
      </c>
      <c r="F10" s="5"/>
      <c r="G10" s="44">
        <f>VLOOKUP($A10, Data!$A$3:$N$54, 14, FALSE)/VLOOKUP($A10, Data!$A$3:$N$54, 13, FALSE)</f>
        <v>3333.3400579204858</v>
      </c>
    </row>
    <row r="11" spans="1:7" x14ac:dyDescent="0.25">
      <c r="A11" s="27" t="s">
        <v>40</v>
      </c>
      <c r="B11" s="49" t="s">
        <v>41</v>
      </c>
      <c r="C11" s="29">
        <f>VLOOKUP($A11, Data!$A$3:$N$54, 14, FALSE)/VLOOKUP($A11, Data!$A$3:$N$54, 3, FALSE)</f>
        <v>83.263107881738748</v>
      </c>
      <c r="D11" s="5"/>
      <c r="E11" s="59">
        <f>VLOOKUP($A11, Data!$A$3:$N$54, 13, FALSE)/VLOOKUP($A11, Data!$A$3:$N$54, 3, FALSE)</f>
        <v>2.5811334350566487E-2</v>
      </c>
      <c r="F11" s="5"/>
      <c r="G11" s="44">
        <f>VLOOKUP($A11, Data!$A$3:$N$54, 14, FALSE)/VLOOKUP($A11, Data!$A$3:$N$54, 13, FALSE)</f>
        <v>3225.8350827922754</v>
      </c>
    </row>
    <row r="12" spans="1:7" x14ac:dyDescent="0.25">
      <c r="A12" s="27" t="s">
        <v>26</v>
      </c>
      <c r="B12" s="49" t="s">
        <v>27</v>
      </c>
      <c r="C12" s="29">
        <f>VLOOKUP($A12, Data!$A$3:$N$54, 14, FALSE)/VLOOKUP($A12, Data!$A$3:$N$54, 3, FALSE)</f>
        <v>28.006512173645529</v>
      </c>
      <c r="D12" s="5"/>
      <c r="E12" s="59">
        <f>VLOOKUP($A12, Data!$A$3:$N$54, 13, FALSE)/VLOOKUP($A12, Data!$A$3:$N$54, 3, FALSE)</f>
        <v>0.10874077382015269</v>
      </c>
      <c r="F12" s="5"/>
      <c r="G12" s="44">
        <f>VLOOKUP($A12, Data!$A$3:$N$54, 14, FALSE)/VLOOKUP($A12, Data!$A$3:$N$54, 13, FALSE)</f>
        <v>257.55299681760351</v>
      </c>
    </row>
    <row r="13" spans="1:7" x14ac:dyDescent="0.25">
      <c r="A13" s="27" t="s">
        <v>8</v>
      </c>
      <c r="B13" s="49" t="s">
        <v>9</v>
      </c>
      <c r="C13" s="29">
        <f>VLOOKUP($A13, Data!$A$3:$N$54, 14, FALSE)/VLOOKUP($A13, Data!$A$3:$N$54, 3, FALSE)</f>
        <v>90.108812638573454</v>
      </c>
      <c r="D13" s="5"/>
      <c r="E13" s="59">
        <f>VLOOKUP($A13, Data!$A$3:$N$54, 13, FALSE)/VLOOKUP($A13, Data!$A$3:$N$54, 3, FALSE)</f>
        <v>1.0711917400944239E-2</v>
      </c>
      <c r="F13" s="5"/>
      <c r="G13" s="44">
        <f>VLOOKUP($A13, Data!$A$3:$N$54, 14, FALSE)/VLOOKUP($A13, Data!$A$3:$N$54, 13, FALSE)</f>
        <v>8412.0152598105815</v>
      </c>
    </row>
    <row r="14" spans="1:7" x14ac:dyDescent="0.25">
      <c r="A14" s="27" t="s">
        <v>74</v>
      </c>
      <c r="B14" s="49" t="s">
        <v>75</v>
      </c>
      <c r="C14" s="29">
        <f>VLOOKUP($A14, Data!$A$3:$N$54, 14, FALSE)/VLOOKUP($A14, Data!$A$3:$N$54, 3, FALSE)</f>
        <v>60.074431187356069</v>
      </c>
      <c r="D14" s="5"/>
      <c r="E14" s="59">
        <f>VLOOKUP($A14, Data!$A$3:$N$54, 13, FALSE)/VLOOKUP($A14, Data!$A$3:$N$54, 3, FALSE)</f>
        <v>0.12495752122666291</v>
      </c>
      <c r="F14" s="5"/>
      <c r="G14" s="44">
        <f>VLOOKUP($A14, Data!$A$3:$N$54, 14, FALSE)/VLOOKUP($A14, Data!$A$3:$N$54, 13, FALSE)</f>
        <v>480.75882586039677</v>
      </c>
    </row>
    <row r="15" spans="1:7" x14ac:dyDescent="0.25">
      <c r="A15" s="27" t="s">
        <v>70</v>
      </c>
      <c r="B15" s="49" t="s">
        <v>71</v>
      </c>
      <c r="C15" s="29">
        <f>VLOOKUP($A15, Data!$A$3:$N$54, 14, FALSE)/VLOOKUP($A15, Data!$A$3:$N$54, 3, FALSE)</f>
        <v>7.3126927043692023</v>
      </c>
      <c r="D15" s="5"/>
      <c r="E15" s="59">
        <f>VLOOKUP($A15, Data!$A$3:$N$54, 13, FALSE)/VLOOKUP($A15, Data!$A$3:$N$54, 3, FALSE)</f>
        <v>1.2758104086278491E-2</v>
      </c>
      <c r="F15" s="5"/>
      <c r="G15" s="44">
        <f>VLOOKUP($A15, Data!$A$3:$N$54, 14, FALSE)/VLOOKUP($A15, Data!$A$3:$N$54, 13, FALSE)</f>
        <v>573.18020412093199</v>
      </c>
    </row>
    <row r="16" spans="1:7" x14ac:dyDescent="0.25">
      <c r="A16" s="27" t="s">
        <v>88</v>
      </c>
      <c r="B16" s="49" t="s">
        <v>89</v>
      </c>
      <c r="C16" s="29">
        <f>VLOOKUP($A16, Data!$A$3:$N$54, 14, FALSE)/VLOOKUP($A16, Data!$A$3:$N$54, 3, FALSE)</f>
        <v>4.5919665589238194</v>
      </c>
      <c r="D16" s="5"/>
      <c r="E16" s="59">
        <f>VLOOKUP($A16, Data!$A$3:$N$54, 13, FALSE)/VLOOKUP($A16, Data!$A$3:$N$54, 3, FALSE)</f>
        <v>5.5485712129174488E-3</v>
      </c>
      <c r="F16" s="5"/>
      <c r="G16" s="44">
        <f>VLOOKUP($A16, Data!$A$3:$N$54, 14, FALSE)/VLOOKUP($A16, Data!$A$3:$N$54, 13, FALSE)</f>
        <v>827.59441714173386</v>
      </c>
    </row>
    <row r="17" spans="1:7" x14ac:dyDescent="0.25">
      <c r="A17" s="27" t="s">
        <v>12</v>
      </c>
      <c r="B17" s="49" t="s">
        <v>13</v>
      </c>
      <c r="C17" s="29">
        <f>VLOOKUP($A17, Data!$A$3:$N$54, 14, FALSE)/VLOOKUP($A17, Data!$A$3:$N$54, 3, FALSE)</f>
        <v>214.16638411760289</v>
      </c>
      <c r="D17" s="5"/>
      <c r="E17" s="59">
        <f>VLOOKUP($A17, Data!$A$3:$N$54, 13, FALSE)/VLOOKUP($A17, Data!$A$3:$N$54, 3, FALSE)</f>
        <v>1.0608758214207699</v>
      </c>
      <c r="F17" s="5"/>
      <c r="G17" s="44">
        <f>VLOOKUP($A17, Data!$A$3:$N$54, 14, FALSE)/VLOOKUP($A17, Data!$A$3:$N$54, 13, FALSE)</f>
        <v>201.87695844626018</v>
      </c>
    </row>
    <row r="18" spans="1:7" x14ac:dyDescent="0.25">
      <c r="A18" s="27" t="s">
        <v>58</v>
      </c>
      <c r="B18" s="49" t="s">
        <v>59</v>
      </c>
      <c r="C18" s="29">
        <f>VLOOKUP($A18, Data!$A$3:$N$54, 14, FALSE)/VLOOKUP($A18, Data!$A$3:$N$54, 3, FALSE)</f>
        <v>106.4905984161141</v>
      </c>
      <c r="D18" s="5"/>
      <c r="E18" s="59">
        <f>VLOOKUP($A18, Data!$A$3:$N$54, 13, FALSE)/VLOOKUP($A18, Data!$A$3:$N$54, 3, FALSE)</f>
        <v>2.2502759001416593E-2</v>
      </c>
      <c r="F18" s="5"/>
      <c r="G18" s="44">
        <f>VLOOKUP($A18, Data!$A$3:$N$54, 14, FALSE)/VLOOKUP($A18, Data!$A$3:$N$54, 13, FALSE)</f>
        <v>4732.3351954047184</v>
      </c>
    </row>
    <row r="19" spans="1:7" x14ac:dyDescent="0.25">
      <c r="A19" s="27" t="s">
        <v>46</v>
      </c>
      <c r="B19" s="49" t="s">
        <v>47</v>
      </c>
      <c r="C19" s="29">
        <f>VLOOKUP($A19, Data!$A$3:$N$54, 14, FALSE)/VLOOKUP($A19, Data!$A$3:$N$54, 3, FALSE)</f>
        <v>27.749302579275902</v>
      </c>
      <c r="D19" s="5"/>
      <c r="E19" s="59">
        <f>VLOOKUP($A19, Data!$A$3:$N$54, 13, FALSE)/VLOOKUP($A19, Data!$A$3:$N$54, 3, FALSE)</f>
        <v>7.4903214305847371E-2</v>
      </c>
      <c r="F19" s="5"/>
      <c r="G19" s="44">
        <f>VLOOKUP($A19, Data!$A$3:$N$54, 14, FALSE)/VLOOKUP($A19, Data!$A$3:$N$54, 13, FALSE)</f>
        <v>370.46878210017798</v>
      </c>
    </row>
    <row r="20" spans="1:7" x14ac:dyDescent="0.25">
      <c r="A20" s="27" t="s">
        <v>94</v>
      </c>
      <c r="B20" s="49" t="s">
        <v>95</v>
      </c>
      <c r="C20" s="29">
        <f>VLOOKUP($A20, Data!$A$3:$N$54, 14, FALSE)/VLOOKUP($A20, Data!$A$3:$N$54, 3, FALSE)</f>
        <v>78.573601763385867</v>
      </c>
      <c r="D20" s="5"/>
      <c r="E20" s="59">
        <f>VLOOKUP($A20, Data!$A$3:$N$54, 13, FALSE)/VLOOKUP($A20, Data!$A$3:$N$54, 3, FALSE)</f>
        <v>7.2346398753615912E-2</v>
      </c>
      <c r="F20" s="5"/>
      <c r="G20" s="44">
        <f>VLOOKUP($A20, Data!$A$3:$N$54, 14, FALSE)/VLOOKUP($A20, Data!$A$3:$N$54, 13, FALSE)</f>
        <v>1086.074816674392</v>
      </c>
    </row>
    <row r="21" spans="1:7" x14ac:dyDescent="0.25">
      <c r="A21" s="27" t="s">
        <v>104</v>
      </c>
      <c r="B21" s="49" t="s">
        <v>105</v>
      </c>
      <c r="C21" s="29">
        <f>VLOOKUP($A21, Data!$A$3:$N$54, 14, FALSE)/VLOOKUP($A21, Data!$A$3:$N$54, 3, FALSE)</f>
        <v>141.05916845669148</v>
      </c>
      <c r="D21" s="5"/>
      <c r="E21" s="59">
        <f>VLOOKUP($A21, Data!$A$3:$N$54, 13, FALSE)/VLOOKUP($A21, Data!$A$3:$N$54, 3, FALSE)</f>
        <v>3.6317930410435961E-2</v>
      </c>
      <c r="F21" s="5"/>
      <c r="G21" s="44">
        <f>VLOOKUP($A21, Data!$A$3:$N$54, 14, FALSE)/VLOOKUP($A21, Data!$A$3:$N$54, 13, FALSE)</f>
        <v>3884.0089967284625</v>
      </c>
    </row>
    <row r="22" spans="1:7" x14ac:dyDescent="0.25">
      <c r="A22" s="27" t="s">
        <v>28</v>
      </c>
      <c r="B22" s="49" t="s">
        <v>29</v>
      </c>
      <c r="C22" s="29">
        <f>VLOOKUP($A22, Data!$A$3:$N$54, 14, FALSE)/VLOOKUP($A22, Data!$A$3:$N$54, 3, FALSE)</f>
        <v>9.5943411999627539</v>
      </c>
      <c r="D22" s="5"/>
      <c r="E22" s="59">
        <f>VLOOKUP($A22, Data!$A$3:$N$54, 13, FALSE)/VLOOKUP($A22, Data!$A$3:$N$54, 3, FALSE)</f>
        <v>2.7006197427912222E-2</v>
      </c>
      <c r="F22" s="5"/>
      <c r="G22" s="44">
        <f>VLOOKUP($A22, Data!$A$3:$N$54, 14, FALSE)/VLOOKUP($A22, Data!$A$3:$N$54, 13, FALSE)</f>
        <v>355.26442497404446</v>
      </c>
    </row>
    <row r="23" spans="1:7" x14ac:dyDescent="0.25">
      <c r="A23" s="27" t="s">
        <v>96</v>
      </c>
      <c r="B23" s="49" t="s">
        <v>97</v>
      </c>
      <c r="C23" s="29">
        <f>VLOOKUP($A23, Data!$A$3:$N$54, 14, FALSE)/VLOOKUP($A23, Data!$A$3:$N$54, 3, FALSE)</f>
        <v>127.26044273595005</v>
      </c>
      <c r="D23" s="5"/>
      <c r="E23" s="59">
        <f>VLOOKUP($A23, Data!$A$3:$N$54, 13, FALSE)/VLOOKUP($A23, Data!$A$3:$N$54, 3, FALSE)</f>
        <v>9.8876046907776072E-2</v>
      </c>
      <c r="F23" s="5"/>
      <c r="G23" s="44">
        <f>VLOOKUP($A23, Data!$A$3:$N$54, 14, FALSE)/VLOOKUP($A23, Data!$A$3:$N$54, 13, FALSE)</f>
        <v>1287.0704959983761</v>
      </c>
    </row>
    <row r="24" spans="1:7" x14ac:dyDescent="0.25">
      <c r="A24" s="27" t="s">
        <v>36</v>
      </c>
      <c r="B24" s="49" t="s">
        <v>37</v>
      </c>
      <c r="C24" s="29">
        <f>VLOOKUP($A24, Data!$A$3:$N$54, 14, FALSE)/VLOOKUP($A24, Data!$A$3:$N$54, 3, FALSE)</f>
        <v>141.720251611126</v>
      </c>
      <c r="D24" s="5"/>
      <c r="E24" s="59">
        <f>VLOOKUP($A24, Data!$A$3:$N$54, 13, FALSE)/VLOOKUP($A24, Data!$A$3:$N$54, 3, FALSE)</f>
        <v>8.3167773522345306E-2</v>
      </c>
      <c r="F24" s="5"/>
      <c r="G24" s="44">
        <f>VLOOKUP($A24, Data!$A$3:$N$54, 14, FALSE)/VLOOKUP($A24, Data!$A$3:$N$54, 13, FALSE)</f>
        <v>1704.0284428565224</v>
      </c>
    </row>
    <row r="25" spans="1:7" x14ac:dyDescent="0.25">
      <c r="A25" s="27" t="s">
        <v>38</v>
      </c>
      <c r="B25" s="49" t="s">
        <v>39</v>
      </c>
      <c r="C25" s="29">
        <f>VLOOKUP($A25, Data!$A$3:$N$54, 14, FALSE)/VLOOKUP($A25, Data!$A$3:$N$54, 3, FALSE)</f>
        <v>126.82268094121409</v>
      </c>
      <c r="D25" s="5"/>
      <c r="E25" s="59">
        <f>VLOOKUP($A25, Data!$A$3:$N$54, 13, FALSE)/VLOOKUP($A25, Data!$A$3:$N$54, 3, FALSE)</f>
        <v>3.8916684432127056E-2</v>
      </c>
      <c r="F25" s="5"/>
      <c r="G25" s="44">
        <f>VLOOKUP($A25, Data!$A$3:$N$54, 14, FALSE)/VLOOKUP($A25, Data!$A$3:$N$54, 13, FALSE)</f>
        <v>3258.8254316063371</v>
      </c>
    </row>
    <row r="26" spans="1:7" x14ac:dyDescent="0.25">
      <c r="A26" s="27" t="s">
        <v>62</v>
      </c>
      <c r="B26" s="49" t="s">
        <v>63</v>
      </c>
      <c r="C26" s="29">
        <f>VLOOKUP($A26, Data!$A$3:$N$54, 14, FALSE)/VLOOKUP($A26, Data!$A$3:$N$54, 3, FALSE)</f>
        <v>14.848945007146511</v>
      </c>
      <c r="D26" s="5"/>
      <c r="E26" s="59">
        <f>VLOOKUP($A26, Data!$A$3:$N$54, 13, FALSE)/VLOOKUP($A26, Data!$A$3:$N$54, 3, FALSE)</f>
        <v>2.6391915618217431E-2</v>
      </c>
      <c r="F26" s="5"/>
      <c r="G26" s="44">
        <f>VLOOKUP($A26, Data!$A$3:$N$54, 14, FALSE)/VLOOKUP($A26, Data!$A$3:$N$54, 13, FALSE)</f>
        <v>562.6323311255511</v>
      </c>
    </row>
    <row r="27" spans="1:7" x14ac:dyDescent="0.25">
      <c r="A27" s="27" t="s">
        <v>18</v>
      </c>
      <c r="B27" s="49" t="s">
        <v>19</v>
      </c>
      <c r="C27" s="29">
        <f>VLOOKUP($A27, Data!$A$3:$N$54, 14, FALSE)/VLOOKUP($A27, Data!$A$3:$N$54, 3, FALSE)</f>
        <v>17.449598919317598</v>
      </c>
      <c r="D27" s="5"/>
      <c r="E27" s="59">
        <f>VLOOKUP($A27, Data!$A$3:$N$54, 13, FALSE)/VLOOKUP($A27, Data!$A$3:$N$54, 3, FALSE)</f>
        <v>1.4262866165667078E-2</v>
      </c>
      <c r="F27" s="5"/>
      <c r="G27" s="44">
        <f>VLOOKUP($A27, Data!$A$3:$N$54, 14, FALSE)/VLOOKUP($A27, Data!$A$3:$N$54, 13, FALSE)</f>
        <v>1223.4286374586811</v>
      </c>
    </row>
    <row r="28" spans="1:7" x14ac:dyDescent="0.25">
      <c r="A28" s="27" t="s">
        <v>60</v>
      </c>
      <c r="B28" s="49" t="s">
        <v>61</v>
      </c>
      <c r="C28" s="29">
        <f>VLOOKUP($A28, Data!$A$3:$N$54, 14, FALSE)/VLOOKUP($A28, Data!$A$3:$N$54, 3, FALSE)</f>
        <v>158.27821422391418</v>
      </c>
      <c r="D28" s="5"/>
      <c r="E28" s="59">
        <f>VLOOKUP($A28, Data!$A$3:$N$54, 13, FALSE)/VLOOKUP($A28, Data!$A$3:$N$54, 3, FALSE)</f>
        <v>1.3644738047494479E-2</v>
      </c>
      <c r="F28" s="5"/>
      <c r="G28" s="44">
        <f>VLOOKUP($A28, Data!$A$3:$N$54, 14, FALSE)/VLOOKUP($A28, Data!$A$3:$N$54, 13, FALSE)</f>
        <v>11599.945244311824</v>
      </c>
    </row>
    <row r="29" spans="1:7" x14ac:dyDescent="0.25">
      <c r="A29" s="27" t="s">
        <v>100</v>
      </c>
      <c r="B29" s="49" t="s">
        <v>101</v>
      </c>
      <c r="C29" s="29">
        <f>VLOOKUP($A29, Data!$A$3:$N$54, 14, FALSE)/VLOOKUP($A29, Data!$A$3:$N$54, 3, FALSE)</f>
        <v>20.334797108802011</v>
      </c>
      <c r="D29" s="5"/>
      <c r="E29" s="59">
        <f>VLOOKUP($A29, Data!$A$3:$N$54, 13, FALSE)/VLOOKUP($A29, Data!$A$3:$N$54, 3, FALSE)</f>
        <v>6.6357624440314322E-3</v>
      </c>
      <c r="F29" s="5"/>
      <c r="G29" s="44">
        <f>VLOOKUP($A29, Data!$A$3:$N$54, 14, FALSE)/VLOOKUP($A29, Data!$A$3:$N$54, 13, FALSE)</f>
        <v>3064.4251177334172</v>
      </c>
    </row>
    <row r="30" spans="1:7" x14ac:dyDescent="0.25">
      <c r="A30" s="27" t="s">
        <v>76</v>
      </c>
      <c r="B30" s="49" t="s">
        <v>77</v>
      </c>
      <c r="C30" s="29">
        <f>VLOOKUP($A30, Data!$A$3:$N$54, 14, FALSE)/VLOOKUP($A30, Data!$A$3:$N$54, 3, FALSE)</f>
        <v>16.636108695881486</v>
      </c>
      <c r="D30" s="5"/>
      <c r="E30" s="59">
        <f>VLOOKUP($A30, Data!$A$3:$N$54, 13, FALSE)/VLOOKUP($A30, Data!$A$3:$N$54, 3, FALSE)</f>
        <v>8.7882546001961988E-3</v>
      </c>
      <c r="F30" s="5"/>
      <c r="G30" s="44">
        <f>VLOOKUP($A30, Data!$A$3:$N$54, 14, FALSE)/VLOOKUP($A30, Data!$A$3:$N$54, 13, FALSE)</f>
        <v>1892.9934842249656</v>
      </c>
    </row>
    <row r="31" spans="1:7" x14ac:dyDescent="0.25">
      <c r="A31" s="27" t="s">
        <v>98</v>
      </c>
      <c r="B31" s="49" t="s">
        <v>99</v>
      </c>
      <c r="C31" s="29">
        <f>VLOOKUP($A31, Data!$A$3:$N$54, 14, FALSE)/VLOOKUP($A31, Data!$A$3:$N$54, 3, FALSE)</f>
        <v>18.174440229235611</v>
      </c>
      <c r="D31" s="5"/>
      <c r="E31" s="59">
        <f>VLOOKUP($A31, Data!$A$3:$N$54, 13, FALSE)/VLOOKUP($A31, Data!$A$3:$N$54, 3, FALSE)</f>
        <v>3.9949955605779318E-2</v>
      </c>
      <c r="F31" s="5"/>
      <c r="G31" s="44">
        <f>VLOOKUP($A31, Data!$A$3:$N$54, 14, FALSE)/VLOOKUP($A31, Data!$A$3:$N$54, 13, FALSE)</f>
        <v>454.93017335434598</v>
      </c>
    </row>
    <row r="32" spans="1:7" x14ac:dyDescent="0.25">
      <c r="A32" s="27" t="s">
        <v>66</v>
      </c>
      <c r="B32" s="49" t="s">
        <v>67</v>
      </c>
      <c r="C32" s="29">
        <f>VLOOKUP($A32, Data!$A$3:$N$54, 14, FALSE)/VLOOKUP($A32, Data!$A$3:$N$54, 3, FALSE)</f>
        <v>67.871751602324437</v>
      </c>
      <c r="D32" s="5"/>
      <c r="E32" s="59">
        <f>VLOOKUP($A32, Data!$A$3:$N$54, 13, FALSE)/VLOOKUP($A32, Data!$A$3:$N$54, 3, FALSE)</f>
        <v>0.20108728331809514</v>
      </c>
      <c r="F32" s="5"/>
      <c r="G32" s="44">
        <f>VLOOKUP($A32, Data!$A$3:$N$54, 14, FALSE)/VLOOKUP($A32, Data!$A$3:$N$54, 13, FALSE)</f>
        <v>337.52383782001641</v>
      </c>
    </row>
    <row r="33" spans="1:7" x14ac:dyDescent="0.25">
      <c r="A33" s="27" t="s">
        <v>108</v>
      </c>
      <c r="B33" s="49" t="s">
        <v>109</v>
      </c>
      <c r="C33" s="29" t="e">
        <f>VLOOKUP($A33, Data!$A$3:$N$54, 14, FALSE)/VLOOKUP($A33, Data!$A$3:$N$54, 3, FALSE)</f>
        <v>#N/A</v>
      </c>
      <c r="D33" s="5"/>
      <c r="E33" s="59">
        <f>VLOOKUP($A33, Data!$A$3:$N$54, 13, FALSE)/VLOOKUP($A33, Data!$A$3:$N$54, 3, FALSE)</f>
        <v>1.4280755957508412E-2</v>
      </c>
      <c r="F33" s="5"/>
      <c r="G33" s="44" t="e">
        <f>VLOOKUP($A33, Data!$A$3:$N$54, 14, FALSE)/VLOOKUP($A33, Data!$A$3:$N$54, 13, FALSE)</f>
        <v>#N/A</v>
      </c>
    </row>
    <row r="34" spans="1:7" x14ac:dyDescent="0.25">
      <c r="A34" s="27" t="s">
        <v>82</v>
      </c>
      <c r="B34" s="49" t="s">
        <v>83</v>
      </c>
      <c r="C34" s="29">
        <f>VLOOKUP($A34, Data!$A$3:$N$54, 14, FALSE)/VLOOKUP($A34, Data!$A$3:$N$54, 3, FALSE)</f>
        <v>89.676409215464702</v>
      </c>
      <c r="D34" s="5"/>
      <c r="E34" s="59">
        <f>VLOOKUP($A34, Data!$A$3:$N$54, 13, FALSE)/VLOOKUP($A34, Data!$A$3:$N$54, 3, FALSE)</f>
        <v>1.217195921368875E-2</v>
      </c>
      <c r="F34" s="5"/>
      <c r="G34" s="44">
        <f>VLOOKUP($A34, Data!$A$3:$N$54, 14, FALSE)/VLOOKUP($A34, Data!$A$3:$N$54, 13, FALSE)</f>
        <v>7367.4588980394701</v>
      </c>
    </row>
    <row r="35" spans="1:7" x14ac:dyDescent="0.25">
      <c r="A35" s="27" t="s">
        <v>30</v>
      </c>
      <c r="B35" s="49" t="s">
        <v>31</v>
      </c>
      <c r="C35" s="29">
        <f>VLOOKUP($A35, Data!$A$3:$N$54, 14, FALSE)/VLOOKUP($A35, Data!$A$3:$N$54, 3, FALSE)</f>
        <v>48.366697334052432</v>
      </c>
      <c r="D35" s="5"/>
      <c r="E35" s="59">
        <f>VLOOKUP($A35, Data!$A$3:$N$54, 13, FALSE)/VLOOKUP($A35, Data!$A$3:$N$54, 3, FALSE)</f>
        <v>8.6125500611081655E-3</v>
      </c>
      <c r="F35" s="5"/>
      <c r="G35" s="44">
        <f>VLOOKUP($A35, Data!$A$3:$N$54, 14, FALSE)/VLOOKUP($A35, Data!$A$3:$N$54, 13, FALSE)</f>
        <v>5615.8393264339593</v>
      </c>
    </row>
    <row r="36" spans="1:7" x14ac:dyDescent="0.25">
      <c r="A36" s="27" t="s">
        <v>78</v>
      </c>
      <c r="B36" s="49" t="s">
        <v>79</v>
      </c>
      <c r="C36" s="29">
        <f>VLOOKUP($A36, Data!$A$3:$N$54, 14, FALSE)/VLOOKUP($A36, Data!$A$3:$N$54, 3, FALSE)</f>
        <v>11.136290608770299</v>
      </c>
      <c r="D36" s="5"/>
      <c r="E36" s="59">
        <f>VLOOKUP($A36, Data!$A$3:$N$54, 13, FALSE)/VLOOKUP($A36, Data!$A$3:$N$54, 3, FALSE)</f>
        <v>2.554156432401666E-2</v>
      </c>
      <c r="F36" s="5"/>
      <c r="G36" s="44">
        <f>VLOOKUP($A36, Data!$A$3:$N$54, 14, FALSE)/VLOOKUP($A36, Data!$A$3:$N$54, 13, FALSE)</f>
        <v>436.00659957616131</v>
      </c>
    </row>
    <row r="37" spans="1:7" x14ac:dyDescent="0.25">
      <c r="A37" s="27" t="s">
        <v>6</v>
      </c>
      <c r="B37" s="49" t="s">
        <v>7</v>
      </c>
      <c r="C37" s="29">
        <f>VLOOKUP($A37, Data!$A$3:$N$54, 14, FALSE)/VLOOKUP($A37, Data!$A$3:$N$54, 3, FALSE)</f>
        <v>89.74184439831275</v>
      </c>
      <c r="D37" s="5"/>
      <c r="E37" s="59">
        <f>VLOOKUP($A37, Data!$A$3:$N$54, 13, FALSE)/VLOOKUP($A37, Data!$A$3:$N$54, 3, FALSE)</f>
        <v>9.6060056607966127E-2</v>
      </c>
      <c r="F37" s="5"/>
      <c r="G37" s="44">
        <f>VLOOKUP($A37, Data!$A$3:$N$54, 14, FALSE)/VLOOKUP($A37, Data!$A$3:$N$54, 13, FALSE)</f>
        <v>934.22643674426672</v>
      </c>
    </row>
    <row r="38" spans="1:7" x14ac:dyDescent="0.25">
      <c r="A38" s="27" t="s">
        <v>106</v>
      </c>
      <c r="B38" s="49" t="s">
        <v>107</v>
      </c>
      <c r="C38" s="29">
        <f>VLOOKUP($A38, Data!$A$3:$N$54, 14, FALSE)/VLOOKUP($A38, Data!$A$3:$N$54, 3, FALSE)</f>
        <v>105.34735983379845</v>
      </c>
      <c r="D38" s="5"/>
      <c r="E38" s="59">
        <f>VLOOKUP($A38, Data!$A$3:$N$54, 13, FALSE)/VLOOKUP($A38, Data!$A$3:$N$54, 3, FALSE)</f>
        <v>3.2129174283353122E-2</v>
      </c>
      <c r="F38" s="5"/>
      <c r="G38" s="44">
        <f>VLOOKUP($A38, Data!$A$3:$N$54, 14, FALSE)/VLOOKUP($A38, Data!$A$3:$N$54, 13, FALSE)</f>
        <v>3278.869195477002</v>
      </c>
    </row>
    <row r="39" spans="1:7" x14ac:dyDescent="0.25">
      <c r="A39" s="27" t="s">
        <v>52</v>
      </c>
      <c r="B39" s="49" t="s">
        <v>53</v>
      </c>
      <c r="C39" s="29">
        <f>VLOOKUP($A39, Data!$A$3:$N$54, 14, FALSE)/VLOOKUP($A39, Data!$A$3:$N$54, 3, FALSE)</f>
        <v>16.224307335508357</v>
      </c>
      <c r="D39" s="5"/>
      <c r="E39" s="59">
        <f>VLOOKUP($A39, Data!$A$3:$N$54, 13, FALSE)/VLOOKUP($A39, Data!$A$3:$N$54, 3, FALSE)</f>
        <v>3.3791098926525778E-2</v>
      </c>
      <c r="F39" s="5"/>
      <c r="G39" s="44">
        <f>VLOOKUP($A39, Data!$A$3:$N$54, 14, FALSE)/VLOOKUP($A39, Data!$A$3:$N$54, 13, FALSE)</f>
        <v>480.13553423598148</v>
      </c>
    </row>
    <row r="40" spans="1:7" x14ac:dyDescent="0.25">
      <c r="A40" s="27" t="s">
        <v>84</v>
      </c>
      <c r="B40" s="49" t="s">
        <v>85</v>
      </c>
      <c r="C40" s="29">
        <f>VLOOKUP($A40, Data!$A$3:$N$54, 14, FALSE)/VLOOKUP($A40, Data!$A$3:$N$54, 3, FALSE)</f>
        <v>419.39060578099077</v>
      </c>
      <c r="D40" s="5"/>
      <c r="E40" s="59">
        <f>VLOOKUP($A40, Data!$A$3:$N$54, 13, FALSE)/VLOOKUP($A40, Data!$A$3:$N$54, 3, FALSE)</f>
        <v>0.47444542424711134</v>
      </c>
      <c r="F40" s="5"/>
      <c r="G40" s="44">
        <f>VLOOKUP($A40, Data!$A$3:$N$54, 14, FALSE)/VLOOKUP($A40, Data!$A$3:$N$54, 13, FALSE)</f>
        <v>883.95963865920714</v>
      </c>
    </row>
    <row r="41" spans="1:7" x14ac:dyDescent="0.25">
      <c r="A41" s="27" t="s">
        <v>34</v>
      </c>
      <c r="B41" s="49" t="s">
        <v>35</v>
      </c>
      <c r="C41" s="29">
        <f>VLOOKUP($A41, Data!$A$3:$N$54, 14, FALSE)/VLOOKUP($A41, Data!$A$3:$N$54, 3, FALSE)</f>
        <v>139.32138563758562</v>
      </c>
      <c r="D41" s="5"/>
      <c r="E41" s="59">
        <f>VLOOKUP($A41, Data!$A$3:$N$54, 13, FALSE)/VLOOKUP($A41, Data!$A$3:$N$54, 3, FALSE)</f>
        <v>8.6955160114193034E-2</v>
      </c>
      <c r="F41" s="5"/>
      <c r="G41" s="44">
        <f>VLOOKUP($A41, Data!$A$3:$N$54, 14, FALSE)/VLOOKUP($A41, Data!$A$3:$N$54, 13, FALSE)</f>
        <v>1602.2210235093942</v>
      </c>
    </row>
    <row r="42" spans="1:7" x14ac:dyDescent="0.25">
      <c r="A42" s="27" t="s">
        <v>22</v>
      </c>
      <c r="B42" s="49" t="s">
        <v>23</v>
      </c>
      <c r="C42" s="29">
        <f>VLOOKUP($A42, Data!$A$3:$N$54, 14, FALSE)/VLOOKUP($A42, Data!$A$3:$N$54, 3, FALSE)</f>
        <v>65.849729289230737</v>
      </c>
      <c r="D42" s="5"/>
      <c r="E42" s="59">
        <f>VLOOKUP($A42, Data!$A$3:$N$54, 13, FALSE)/VLOOKUP($A42, Data!$A$3:$N$54, 3, FALSE)</f>
        <v>1.7180365933980063E-2</v>
      </c>
      <c r="F42" s="5"/>
      <c r="G42" s="44">
        <f>VLOOKUP($A42, Data!$A$3:$N$54, 14, FALSE)/VLOOKUP($A42, Data!$A$3:$N$54, 13, FALSE)</f>
        <v>3832.8478882391164</v>
      </c>
    </row>
    <row r="43" spans="1:7" x14ac:dyDescent="0.25">
      <c r="A43" s="27" t="s">
        <v>10</v>
      </c>
      <c r="B43" s="49" t="s">
        <v>11</v>
      </c>
      <c r="C43" s="29">
        <f>VLOOKUP($A43, Data!$A$3:$N$54, 14, FALSE)/VLOOKUP($A43, Data!$A$3:$N$54, 3, FALSE)</f>
        <v>161.02021135087202</v>
      </c>
      <c r="D43" s="5"/>
      <c r="E43" s="59">
        <f>VLOOKUP($A43, Data!$A$3:$N$54, 13, FALSE)/VLOOKUP($A43, Data!$A$3:$N$54, 3, FALSE)</f>
        <v>5.8249391755155873E-2</v>
      </c>
      <c r="F43" s="5"/>
      <c r="G43" s="44">
        <f>VLOOKUP($A43, Data!$A$3:$N$54, 14, FALSE)/VLOOKUP($A43, Data!$A$3:$N$54, 13, FALSE)</f>
        <v>2764.3243388308774</v>
      </c>
    </row>
    <row r="44" spans="1:7" x14ac:dyDescent="0.25">
      <c r="A44" s="27" t="s">
        <v>50</v>
      </c>
      <c r="B44" s="49" t="s">
        <v>51</v>
      </c>
      <c r="C44" s="29">
        <f>VLOOKUP($A44, Data!$A$3:$N$54, 14, FALSE)/VLOOKUP($A44, Data!$A$3:$N$54, 3, FALSE)</f>
        <v>58.112304182514166</v>
      </c>
      <c r="D44" s="5"/>
      <c r="E44" s="59">
        <f>VLOOKUP($A44, Data!$A$3:$N$54, 13, FALSE)/VLOOKUP($A44, Data!$A$3:$N$54, 3, FALSE)</f>
        <v>2.0428809690001926E-2</v>
      </c>
      <c r="F44" s="5"/>
      <c r="G44" s="44">
        <f>VLOOKUP($A44, Data!$A$3:$N$54, 14, FALSE)/VLOOKUP($A44, Data!$A$3:$N$54, 13, FALSE)</f>
        <v>2844.6250694163027</v>
      </c>
    </row>
    <row r="45" spans="1:7" x14ac:dyDescent="0.25">
      <c r="A45" s="27" t="s">
        <v>102</v>
      </c>
      <c r="B45" s="49" t="s">
        <v>103</v>
      </c>
      <c r="C45" s="29">
        <f>VLOOKUP($A45, Data!$A$3:$N$54, 14, FALSE)/VLOOKUP($A45, Data!$A$3:$N$54, 3, FALSE)</f>
        <v>28.71776507157994</v>
      </c>
      <c r="D45" s="5"/>
      <c r="E45" s="59">
        <f>VLOOKUP($A45, Data!$A$3:$N$54, 13, FALSE)/VLOOKUP($A45, Data!$A$3:$N$54, 3, FALSE)</f>
        <v>1.8719337696461662E-2</v>
      </c>
      <c r="F45" s="5"/>
      <c r="G45" s="44">
        <f>VLOOKUP($A45, Data!$A$3:$N$54, 14, FALSE)/VLOOKUP($A45, Data!$A$3:$N$54, 13, FALSE)</f>
        <v>1534.1229234305756</v>
      </c>
    </row>
    <row r="46" spans="1:7" x14ac:dyDescent="0.25">
      <c r="A46" s="27" t="s">
        <v>64</v>
      </c>
      <c r="B46" s="49" t="s">
        <v>65</v>
      </c>
      <c r="C46" s="29">
        <f>VLOOKUP($A46, Data!$A$3:$N$54, 14, FALSE)/VLOOKUP($A46, Data!$A$3:$N$54, 3, FALSE)</f>
        <v>61.594782414003816</v>
      </c>
      <c r="D46" s="5"/>
      <c r="E46" s="59">
        <f>VLOOKUP($A46, Data!$A$3:$N$54, 13, FALSE)/VLOOKUP($A46, Data!$A$3:$N$54, 3, FALSE)</f>
        <v>4.8062428940107177E-2</v>
      </c>
      <c r="F46" s="5"/>
      <c r="G46" s="44">
        <f>VLOOKUP($A46, Data!$A$3:$N$54, 14, FALSE)/VLOOKUP($A46, Data!$A$3:$N$54, 13, FALSE)</f>
        <v>1281.5578357631473</v>
      </c>
    </row>
    <row r="47" spans="1:7" x14ac:dyDescent="0.25">
      <c r="A47" s="27" t="s">
        <v>16</v>
      </c>
      <c r="B47" s="49" t="s">
        <v>17</v>
      </c>
      <c r="C47" s="29">
        <f>VLOOKUP($A47, Data!$A$3:$N$54, 14, FALSE)/VLOOKUP($A47, Data!$A$3:$N$54, 3, FALSE)</f>
        <v>155.66066580785863</v>
      </c>
      <c r="D47" s="5"/>
      <c r="E47" s="59">
        <f>VLOOKUP($A47, Data!$A$3:$N$54, 13, FALSE)/VLOOKUP($A47, Data!$A$3:$N$54, 3, FALSE)</f>
        <v>8.0961107755464209E-2</v>
      </c>
      <c r="F47" s="5"/>
      <c r="G47" s="44">
        <f>VLOOKUP($A47, Data!$A$3:$N$54, 14, FALSE)/VLOOKUP($A47, Data!$A$3:$N$54, 13, FALSE)</f>
        <v>1922.6597822502349</v>
      </c>
    </row>
    <row r="48" spans="1:7" x14ac:dyDescent="0.25">
      <c r="A48" s="27" t="s">
        <v>20</v>
      </c>
      <c r="B48" s="49" t="s">
        <v>21</v>
      </c>
      <c r="C48" s="29">
        <f>VLOOKUP($A48, Data!$A$3:$N$54, 14, FALSE)/VLOOKUP($A48, Data!$A$3:$N$54, 3, FALSE)</f>
        <v>84.865462019305724</v>
      </c>
      <c r="D48" s="5"/>
      <c r="E48" s="59">
        <f>VLOOKUP($A48, Data!$A$3:$N$54, 13, FALSE)/VLOOKUP($A48, Data!$A$3:$N$54, 3, FALSE)</f>
        <v>0.17876766502714425</v>
      </c>
      <c r="F48" s="5"/>
      <c r="G48" s="44">
        <f>VLOOKUP($A48, Data!$A$3:$N$54, 14, FALSE)/VLOOKUP($A48, Data!$A$3:$N$54, 13, FALSE)</f>
        <v>474.72490064922914</v>
      </c>
    </row>
    <row r="49" spans="1:7" x14ac:dyDescent="0.25">
      <c r="A49" s="27" t="s">
        <v>72</v>
      </c>
      <c r="B49" s="49" t="s">
        <v>73</v>
      </c>
      <c r="C49" s="29">
        <f>VLOOKUP($A49, Data!$A$3:$N$54, 14, FALSE)/VLOOKUP($A49, Data!$A$3:$N$54, 3, FALSE)</f>
        <v>61.821977835614398</v>
      </c>
      <c r="D49" s="5"/>
      <c r="E49" s="59">
        <f>VLOOKUP($A49, Data!$A$3:$N$54, 13, FALSE)/VLOOKUP($A49, Data!$A$3:$N$54, 3, FALSE)</f>
        <v>2.6029809501564034E-2</v>
      </c>
      <c r="F49" s="5"/>
      <c r="G49" s="44">
        <f>VLOOKUP($A49, Data!$A$3:$N$54, 14, FALSE)/VLOOKUP($A49, Data!$A$3:$N$54, 13, FALSE)</f>
        <v>2375.0453429903032</v>
      </c>
    </row>
    <row r="50" spans="1:7" x14ac:dyDescent="0.25">
      <c r="A50" s="27" t="s">
        <v>86</v>
      </c>
      <c r="B50" s="49" t="s">
        <v>87</v>
      </c>
      <c r="C50" s="29">
        <f>VLOOKUP($A50, Data!$A$3:$N$54, 14, FALSE)/VLOOKUP($A50, Data!$A$3:$N$54, 3, FALSE)</f>
        <v>19.277958922213053</v>
      </c>
      <c r="D50" s="5"/>
      <c r="E50" s="59">
        <f>VLOOKUP($A50, Data!$A$3:$N$54, 13, FALSE)/VLOOKUP($A50, Data!$A$3:$N$54, 3, FALSE)</f>
        <v>0.27041818395169309</v>
      </c>
      <c r="F50" s="5"/>
      <c r="G50" s="44">
        <f>VLOOKUP($A50, Data!$A$3:$N$54, 14, FALSE)/VLOOKUP($A50, Data!$A$3:$N$54, 13, FALSE)</f>
        <v>71.289432687177666</v>
      </c>
    </row>
    <row r="51" spans="1:7" x14ac:dyDescent="0.25">
      <c r="A51" s="27" t="s">
        <v>48</v>
      </c>
      <c r="B51" s="49" t="s">
        <v>49</v>
      </c>
      <c r="C51" s="29">
        <f>VLOOKUP($A51, Data!$A$3:$N$54, 14, FALSE)/VLOOKUP($A51, Data!$A$3:$N$54, 3, FALSE)</f>
        <v>42.874362443386765</v>
      </c>
      <c r="D51" s="5"/>
      <c r="E51" s="59">
        <f>VLOOKUP($A51, Data!$A$3:$N$54, 13, FALSE)/VLOOKUP($A51, Data!$A$3:$N$54, 3, FALSE)</f>
        <v>1.7620405124053974E-2</v>
      </c>
      <c r="F51" s="5"/>
      <c r="G51" s="44">
        <f>VLOOKUP($A51, Data!$A$3:$N$54, 14, FALSE)/VLOOKUP($A51, Data!$A$3:$N$54, 13, FALSE)</f>
        <v>2433.2222864080522</v>
      </c>
    </row>
    <row r="52" spans="1:7" x14ac:dyDescent="0.25">
      <c r="A52" s="27" t="s">
        <v>54</v>
      </c>
      <c r="B52" s="49" t="s">
        <v>55</v>
      </c>
      <c r="C52" s="29">
        <f>VLOOKUP($A52, Data!$A$3:$N$54, 14, FALSE)/VLOOKUP($A52, Data!$A$3:$N$54, 3, FALSE)</f>
        <v>70.078152246651229</v>
      </c>
      <c r="D52" s="5"/>
      <c r="E52" s="59">
        <f>VLOOKUP($A52, Data!$A$3:$N$54, 13, FALSE)/VLOOKUP($A52, Data!$A$3:$N$54, 3, FALSE)</f>
        <v>3.559960668093487E-2</v>
      </c>
      <c r="F52" s="5"/>
      <c r="G52" s="44">
        <f>VLOOKUP($A52, Data!$A$3:$N$54, 14, FALSE)/VLOOKUP($A52, Data!$A$3:$N$54, 13, FALSE)</f>
        <v>1968.5091713156796</v>
      </c>
    </row>
    <row r="53" spans="1:7" x14ac:dyDescent="0.25">
      <c r="A53" s="27" t="s">
        <v>68</v>
      </c>
      <c r="B53" s="49" t="s">
        <v>69</v>
      </c>
      <c r="C53" s="29">
        <f>VLOOKUP($A53, Data!$A$3:$N$54, 14, FALSE)/VLOOKUP($A53, Data!$A$3:$N$54, 3, FALSE)</f>
        <v>70.351337330197083</v>
      </c>
      <c r="D53" s="5"/>
      <c r="E53" s="59">
        <f>VLOOKUP($A53, Data!$A$3:$N$54, 13, FALSE)/VLOOKUP($A53, Data!$A$3:$N$54, 3, FALSE)</f>
        <v>0.18666289886384629</v>
      </c>
      <c r="F53" s="5"/>
      <c r="G53" s="44">
        <f>VLOOKUP($A53, Data!$A$3:$N$54, 14, FALSE)/VLOOKUP($A53, Data!$A$3:$N$54, 13, FALSE)</f>
        <v>376.88977166004486</v>
      </c>
    </row>
    <row r="54" spans="1:7" x14ac:dyDescent="0.25">
      <c r="A54" s="28" t="s">
        <v>24</v>
      </c>
      <c r="B54" s="51" t="s">
        <v>25</v>
      </c>
      <c r="C54" s="29">
        <f>VLOOKUP($A54, Data!$A$3:$N$54, 14, FALSE)/VLOOKUP($A54, Data!$A$3:$N$54, 3, FALSE)</f>
        <v>273.35925340516616</v>
      </c>
      <c r="D54" s="7"/>
      <c r="E54" s="59">
        <f>VLOOKUP($A54, Data!$A$3:$N$54, 13, FALSE)/VLOOKUP($A54, Data!$A$3:$N$54, 3, FALSE)</f>
        <v>5.1218471667611981E-2</v>
      </c>
      <c r="F54" s="7"/>
      <c r="G54" s="44">
        <f>VLOOKUP($A54, Data!$A$3:$N$54, 14, FALSE)/VLOOKUP($A54, Data!$A$3:$N$54, 13, FALSE)</f>
        <v>5337.1224190202647</v>
      </c>
    </row>
  </sheetData>
  <mergeCells count="1">
    <mergeCell ref="C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C2" sqref="C2"/>
    </sheetView>
  </sheetViews>
  <sheetFormatPr defaultRowHeight="15" x14ac:dyDescent="0.25"/>
  <cols>
    <col min="1" max="1" width="23.85546875" customWidth="1"/>
    <col min="2" max="2" width="20.7109375" customWidth="1"/>
    <col min="3" max="3" width="59" customWidth="1"/>
    <col min="4" max="4" width="46.28515625" style="3" customWidth="1"/>
    <col min="5" max="5" width="23.28515625" customWidth="1"/>
    <col min="6" max="6" width="64.42578125" style="3" customWidth="1"/>
  </cols>
  <sheetData>
    <row r="1" spans="1:6" x14ac:dyDescent="0.25">
      <c r="A1" s="80" t="s">
        <v>148</v>
      </c>
      <c r="B1" s="15" t="s">
        <v>121</v>
      </c>
      <c r="C1" s="15" t="s">
        <v>138</v>
      </c>
      <c r="D1" s="102" t="s">
        <v>122</v>
      </c>
      <c r="E1" s="15" t="s">
        <v>143</v>
      </c>
      <c r="F1" s="102" t="s">
        <v>146</v>
      </c>
    </row>
    <row r="2" spans="1:6" s="16" customFormat="1" ht="45" x14ac:dyDescent="0.25">
      <c r="A2" s="123" t="s">
        <v>147</v>
      </c>
      <c r="B2" s="31" t="s">
        <v>2</v>
      </c>
      <c r="C2" s="32" t="s">
        <v>157</v>
      </c>
      <c r="D2" s="32" t="s">
        <v>145</v>
      </c>
      <c r="E2" s="99" t="s">
        <v>144</v>
      </c>
      <c r="F2" s="33" t="s">
        <v>164</v>
      </c>
    </row>
    <row r="3" spans="1:6" s="16" customFormat="1" ht="60" x14ac:dyDescent="0.25">
      <c r="A3" s="124"/>
      <c r="B3" s="18" t="s">
        <v>123</v>
      </c>
      <c r="C3" s="18" t="s">
        <v>158</v>
      </c>
      <c r="D3" s="18" t="s">
        <v>145</v>
      </c>
      <c r="E3" s="97" t="s">
        <v>144</v>
      </c>
      <c r="F3" s="34" t="s">
        <v>165</v>
      </c>
    </row>
    <row r="4" spans="1:6" s="16" customFormat="1" ht="45" x14ac:dyDescent="0.25">
      <c r="A4" s="124"/>
      <c r="B4" s="18" t="s">
        <v>124</v>
      </c>
      <c r="C4" s="18" t="s">
        <v>159</v>
      </c>
      <c r="D4" s="19" t="s">
        <v>178</v>
      </c>
      <c r="E4" s="17" t="s">
        <v>181</v>
      </c>
      <c r="F4" s="35" t="s">
        <v>164</v>
      </c>
    </row>
    <row r="5" spans="1:6" s="16" customFormat="1" ht="45" x14ac:dyDescent="0.25">
      <c r="A5" s="124"/>
      <c r="B5" s="18" t="s">
        <v>5</v>
      </c>
      <c r="C5" s="18" t="s">
        <v>179</v>
      </c>
      <c r="D5" s="18" t="s">
        <v>180</v>
      </c>
      <c r="E5" s="17" t="s">
        <v>182</v>
      </c>
      <c r="F5" s="35" t="s">
        <v>183</v>
      </c>
    </row>
    <row r="6" spans="1:6" ht="60" x14ac:dyDescent="0.25">
      <c r="A6" s="125"/>
      <c r="B6" s="100" t="s">
        <v>149</v>
      </c>
      <c r="C6" s="36" t="s">
        <v>160</v>
      </c>
      <c r="D6" s="36" t="s">
        <v>151</v>
      </c>
      <c r="E6" s="101" t="s">
        <v>150</v>
      </c>
      <c r="F6" s="38"/>
    </row>
    <row r="7" spans="1:6" s="16" customFormat="1" ht="15" customHeight="1" x14ac:dyDescent="0.25">
      <c r="A7" s="124" t="s">
        <v>152</v>
      </c>
      <c r="B7" s="39" t="s">
        <v>2</v>
      </c>
      <c r="C7" s="18" t="s">
        <v>157</v>
      </c>
      <c r="D7" s="18" t="s">
        <v>145</v>
      </c>
      <c r="E7" s="97" t="s">
        <v>144</v>
      </c>
      <c r="F7" s="35" t="s">
        <v>164</v>
      </c>
    </row>
    <row r="8" spans="1:6" s="16" customFormat="1" ht="60" x14ac:dyDescent="0.25">
      <c r="A8" s="124"/>
      <c r="B8" s="18" t="s">
        <v>123</v>
      </c>
      <c r="C8" s="18" t="s">
        <v>158</v>
      </c>
      <c r="D8" s="18" t="s">
        <v>145</v>
      </c>
      <c r="E8" s="97" t="s">
        <v>144</v>
      </c>
      <c r="F8" s="34" t="s">
        <v>165</v>
      </c>
    </row>
    <row r="9" spans="1:6" s="16" customFormat="1" ht="45" x14ac:dyDescent="0.25">
      <c r="A9" s="124"/>
      <c r="B9" s="18" t="s">
        <v>124</v>
      </c>
      <c r="C9" s="18" t="s">
        <v>184</v>
      </c>
      <c r="D9" s="19" t="s">
        <v>178</v>
      </c>
      <c r="E9" s="17" t="s">
        <v>181</v>
      </c>
      <c r="F9" s="35" t="s">
        <v>164</v>
      </c>
    </row>
    <row r="10" spans="1:6" s="16" customFormat="1" ht="45" x14ac:dyDescent="0.25">
      <c r="A10" s="124"/>
      <c r="B10" s="18" t="s">
        <v>5</v>
      </c>
      <c r="C10" s="18" t="s">
        <v>185</v>
      </c>
      <c r="D10" s="18" t="s">
        <v>180</v>
      </c>
      <c r="E10" s="17" t="s">
        <v>182</v>
      </c>
      <c r="F10" s="34"/>
    </row>
    <row r="11" spans="1:6" ht="90" x14ac:dyDescent="0.25">
      <c r="A11" s="124"/>
      <c r="B11" s="39" t="s">
        <v>149</v>
      </c>
      <c r="C11" s="18" t="s">
        <v>161</v>
      </c>
      <c r="D11" s="18" t="s">
        <v>156</v>
      </c>
      <c r="E11" s="98" t="s">
        <v>154</v>
      </c>
      <c r="F11" s="35" t="s">
        <v>155</v>
      </c>
    </row>
    <row r="12" spans="1:6" ht="60" x14ac:dyDescent="0.25">
      <c r="A12" s="125"/>
      <c r="B12" s="37" t="s">
        <v>139</v>
      </c>
      <c r="C12" s="36" t="s">
        <v>162</v>
      </c>
      <c r="D12" s="36" t="s">
        <v>163</v>
      </c>
      <c r="E12" s="103" t="s">
        <v>153</v>
      </c>
      <c r="F12" s="38"/>
    </row>
    <row r="13" spans="1:6" ht="60" x14ac:dyDescent="0.25">
      <c r="A13" s="123" t="s">
        <v>166</v>
      </c>
      <c r="B13" s="40" t="s">
        <v>5</v>
      </c>
      <c r="C13" s="32" t="s">
        <v>167</v>
      </c>
      <c r="D13" s="33" t="s">
        <v>168</v>
      </c>
      <c r="E13" s="104" t="s">
        <v>169</v>
      </c>
      <c r="F13" s="33" t="s">
        <v>170</v>
      </c>
    </row>
    <row r="14" spans="1:6" ht="60" x14ac:dyDescent="0.25">
      <c r="A14" s="124"/>
      <c r="B14" s="19" t="s">
        <v>149</v>
      </c>
      <c r="C14" s="18" t="s">
        <v>186</v>
      </c>
      <c r="D14" s="35" t="s">
        <v>168</v>
      </c>
      <c r="E14" s="98" t="s">
        <v>169</v>
      </c>
      <c r="F14" s="35" t="s">
        <v>170</v>
      </c>
    </row>
    <row r="15" spans="1:6" ht="30" x14ac:dyDescent="0.25">
      <c r="A15" s="120" t="s">
        <v>125</v>
      </c>
      <c r="B15" s="32" t="s">
        <v>126</v>
      </c>
      <c r="C15" s="40" t="s">
        <v>171</v>
      </c>
      <c r="D15" s="40" t="s">
        <v>127</v>
      </c>
      <c r="E15" s="126"/>
      <c r="F15" s="127"/>
    </row>
    <row r="16" spans="1:6" ht="30" x14ac:dyDescent="0.25">
      <c r="A16" s="121"/>
      <c r="B16" s="18" t="s">
        <v>128</v>
      </c>
      <c r="C16" s="19" t="s">
        <v>172</v>
      </c>
      <c r="D16" s="19" t="s">
        <v>129</v>
      </c>
      <c r="E16" s="128"/>
      <c r="F16" s="129"/>
    </row>
    <row r="17" spans="1:6" ht="30" x14ac:dyDescent="0.25">
      <c r="A17" s="121"/>
      <c r="B17" s="18" t="s">
        <v>130</v>
      </c>
      <c r="C17" s="18" t="s">
        <v>173</v>
      </c>
      <c r="D17" s="18"/>
      <c r="E17" s="128"/>
      <c r="F17" s="129"/>
    </row>
    <row r="18" spans="1:6" ht="30" x14ac:dyDescent="0.25">
      <c r="A18" s="121"/>
      <c r="B18" s="18" t="s">
        <v>118</v>
      </c>
      <c r="C18" s="19" t="s">
        <v>131</v>
      </c>
      <c r="D18" s="18" t="s">
        <v>132</v>
      </c>
      <c r="E18" s="128"/>
      <c r="F18" s="129"/>
    </row>
    <row r="19" spans="1:6" ht="45" x14ac:dyDescent="0.25">
      <c r="A19" s="121"/>
      <c r="B19" s="18" t="s">
        <v>133</v>
      </c>
      <c r="C19" s="18"/>
      <c r="D19" s="18" t="s">
        <v>134</v>
      </c>
      <c r="E19" s="128"/>
      <c r="F19" s="129"/>
    </row>
    <row r="20" spans="1:6" ht="45" x14ac:dyDescent="0.25">
      <c r="A20" s="122"/>
      <c r="B20" s="36" t="s">
        <v>135</v>
      </c>
      <c r="C20" s="37" t="s">
        <v>136</v>
      </c>
      <c r="D20" s="36" t="s">
        <v>137</v>
      </c>
      <c r="E20" s="108"/>
      <c r="F20" s="109"/>
    </row>
  </sheetData>
  <mergeCells count="5">
    <mergeCell ref="A15:A20"/>
    <mergeCell ref="A2:A6"/>
    <mergeCell ref="A7:A12"/>
    <mergeCell ref="A13:A14"/>
    <mergeCell ref="E15:F20"/>
  </mergeCells>
  <hyperlinks>
    <hyperlink ref="E2" r:id="rId1"/>
    <hyperlink ref="E3" r:id="rId2"/>
    <hyperlink ref="E6" r:id="rId3"/>
    <hyperlink ref="E11" r:id="rId4"/>
    <hyperlink ref="E12" r:id="rId5"/>
    <hyperlink ref="E13" r:id="rId6"/>
    <hyperlink ref="E7" r:id="rId7"/>
    <hyperlink ref="E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Ratios - TANF</vt:lpstr>
      <vt:lpstr>Ratios - CCDF</vt:lpstr>
      <vt:lpstr>Ratios - SSBG</vt:lpstr>
      <vt:lpstr>Documentation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Randall, Megan</dc:creator>
  <cp:lastModifiedBy>Iselin, John</cp:lastModifiedBy>
  <dcterms:created xsi:type="dcterms:W3CDTF">2015-07-09T18:59:46Z</dcterms:created>
  <dcterms:modified xsi:type="dcterms:W3CDTF">2015-10-11T19:56:18Z</dcterms:modified>
</cp:coreProperties>
</file>